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81" documentId="6_{A7BF95EB-F696-427D-BAAD-A1581BC029EC}" xr6:coauthVersionLast="47" xr6:coauthVersionMax="47" xr10:uidLastSave="{DE2049AE-3857-4E4E-B6E6-D9350824B7C0}"/>
  <bookViews>
    <workbookView xWindow="13320" yWindow="-16320" windowWidth="29040" windowHeight="15720" tabRatio="645" xr2:uid="{00000000-000D-0000-FFFF-FFFF00000000}"/>
  </bookViews>
  <sheets>
    <sheet name="Table of Contents" sheetId="40" r:id="rId1"/>
    <sheet name="Items Document Map" sheetId="34" r:id="rId2"/>
    <sheet name="Items Details" sheetId="2" r:id="rId3"/>
    <sheet name="Option Sets Map" sheetId="16" r:id="rId4"/>
    <sheet name="Option Sets Details" sheetId="10" r:id="rId5"/>
    <sheet name="IDCTE Certs" sheetId="33" r:id="rId6"/>
    <sheet name="Assignment Changes" sheetId="38" r:id="rId7"/>
    <sheet name="Assignment_Endorsements" sheetId="32" r:id="rId8"/>
    <sheet name="Districts and Schools" sheetId="21" r:id="rId9"/>
    <sheet name="Changes (after July)" sheetId="6" r:id="rId10"/>
  </sheets>
  <definedNames>
    <definedName name="_xlnm._FilterDatabase" localSheetId="6" hidden="1">'Assignment Changes'!$A$1:$C$634</definedName>
    <definedName name="_xlnm._FilterDatabase" localSheetId="7" hidden="1">Assignment_Endorsements!$A$1:$K$2287</definedName>
    <definedName name="_xlnm._FilterDatabase" localSheetId="8" hidden="1">'Districts and Schools'!$A$1:$D$1036</definedName>
    <definedName name="_xlnm._FilterDatabase" localSheetId="5" hidden="1">'IDCTE Certs'!$A$1:$A$156</definedName>
    <definedName name="_xlnm._FilterDatabase" localSheetId="2" hidden="1">'Items Details'!$A$1:$X$359</definedName>
    <definedName name="_xlnm._FilterDatabase" localSheetId="4" hidden="1">'Option Sets Details'!$A$1:$E$4205</definedName>
    <definedName name="Account_Code">'Option Sets Details'!$A$2:$C$92</definedName>
    <definedName name="Annual_School_Finance">'Items Details'!$A$331:$C$341</definedName>
    <definedName name="AssignmentCourse_Codes">Assignment_Endorsements!$C:$C</definedName>
    <definedName name="Border_Student">'Option Sets Details'!$A$93:$B$95</definedName>
    <definedName name="Calendar_Type">'Option Sets Details'!$A$96:$B$101</definedName>
    <definedName name="CIP_Codes">'Option Sets Details'!$A$102:$B$2788</definedName>
    <definedName name="College_Credit">'Option Sets Details'!$A$2789:$B$2803</definedName>
    <definedName name="Content_Grade_Level">'Option Sets Details'!$A$2804:$B$2818</definedName>
    <definedName name="Contract_Number">'Option Sets Details'!$A$2819:$B$2821</definedName>
    <definedName name="Contract_Type">'Option Sets Details'!$A$2822:$B$2833</definedName>
    <definedName name="Country">'Option Sets Details'!$A$2834:$B$3092</definedName>
    <definedName name="Course_Exit_Reason">'Option Sets Details'!$A$3094:$B$3098</definedName>
    <definedName name="Course_Type">'Option Sets Details'!$A$3099:$B$3103</definedName>
    <definedName name="Day_Type">'Option Sets Details'!$A$3099:$B$3102</definedName>
    <definedName name="Disciplinary_Action_Type">'Option Sets Details'!$A$3104:$B$3109</definedName>
    <definedName name="Disciplinary_Actions">'Items Details'!$A$286:$C$305</definedName>
    <definedName name="District_Calendars">'Items Details'!$A$95:$C$102</definedName>
    <definedName name="Districts">'Districts and Schools'!$A:$A</definedName>
    <definedName name="Early_Childhood_Determination">'Option Sets Details'!$A$3110:$B$3113</definedName>
    <definedName name="Early_Childhood_Eligibility_Decision">'Option Sets Details'!$A$3109:$B$3109</definedName>
    <definedName name="Early_Childhood_Refering_Agency">'Option Sets Details'!$A$3110:$B$3111</definedName>
    <definedName name="Education_Degree">'Option Sets Details'!$A$3119:$B$3130</definedName>
    <definedName name="Employment_Status">'Option Sets Details'!$A$3131:$B$3133</definedName>
    <definedName name="Entry_Reasons">'Option Sets Details'!$A$3134:$B$3147</definedName>
    <definedName name="Exceptionality">'Option Sets Details'!$A$3148:$B$3161</definedName>
    <definedName name="Exit_Reasons">'Option Sets Details'!$A$3162:$B$3183</definedName>
    <definedName name="Extra_Pay_Type">'Option Sets Details'!$A$3184:$B$3194</definedName>
    <definedName name="Facility_Type">'Option Sets Details'!$A$3185:$B$3194</definedName>
    <definedName name="Fiscal_Transparency">'Items Details'!$A$343:$C$359</definedName>
    <definedName name="Function_Code">'Option Sets Details'!$A$3195:$B$3235</definedName>
    <definedName name="Fund_Number">'Option Sets Details'!$A$3236:$B$3332</definedName>
    <definedName name="Funding_Source">'Option Sets Details'!$A$3333:$B$3349</definedName>
    <definedName name="Gender">'Option Sets Details'!$A$3350:$B$3351</definedName>
    <definedName name="Gifted_Exit_Reason">'Option Sets Details'!$A$3352:$B$3359</definedName>
    <definedName name="Gifted_Students">'Items Details'!$A$130:$C$142</definedName>
    <definedName name="Grade_Level">'Option Sets Details'!$A$3360:$B$3374</definedName>
    <definedName name="Higher_Ed_Institutions">'Option Sets Details'!$A$3375:$B$3393</definedName>
    <definedName name="Homeless_Residence">'Option Sets Details'!$A$3394:$B$3397</definedName>
    <definedName name="Idaho_Counties">'Option Sets Details'!$A$3398:$B$3442</definedName>
    <definedName name="Idaho_Regions">'Option Sets Details'!$A$3437:$B$3442</definedName>
    <definedName name="IDEA_Interim_Removal_Reason">'Option Sets Details'!$A$3443:$B$3446</definedName>
    <definedName name="Improvement_Status">'Option Sets Details'!$A$3443:$B$3445</definedName>
    <definedName name="Instructional_Setting">'Option Sets Details'!$A$3447:$B$3455</definedName>
    <definedName name="Kindergarten_Session_Type">'Option Sets Details'!$A$3456:$B$3464</definedName>
    <definedName name="Languages">'Option Sets Details'!$A$3465:$B$3949</definedName>
    <definedName name="Lunch_Status">'Option Sets Details'!$A$3114:$B$3118</definedName>
    <definedName name="Master_Course_Schedule">'Items Details'!$A$2:$D$17</definedName>
    <definedName name="Migrant_Program_Type">'Option Sets Details'!$A$3116:$B$3116</definedName>
    <definedName name="Military_Connection">'Option Sets Details'!$A$3951:$B$3954</definedName>
    <definedName name="Modified_Duration_Reason">'Option Sets Details'!$A$3955:$B$3966</definedName>
    <definedName name="Object_Code">'Option Sets Details'!$A$3967:$B$3974</definedName>
    <definedName name="Parapro_High_School_Degree">'Option Sets Details'!$A$3978:$B$3980</definedName>
    <definedName name="Parapro_Type">'Option Sets Details'!$A$3975:$B$3977</definedName>
    <definedName name="PH_School">'Option Sets Details'!$A$3986:$B$3988</definedName>
    <definedName name="Phone_Type">'Option Sets Details'!$A$3981:$B$3985</definedName>
    <definedName name="Program_Contact_Role">'Option Sets Details'!$A$3989:$B$4040</definedName>
    <definedName name="Program_Contacts">'Items Details'!$A$307:$C$329</definedName>
    <definedName name="Program_Exit_Reason">'Option Sets Details'!$A$4041:$B$4050</definedName>
    <definedName name="Program_Status_GT">'Option Sets Details'!$A$4051:$B$4052</definedName>
    <definedName name="Program_Status_SE">'Option Sets Details'!$A$4051:$B$4053</definedName>
    <definedName name="Provider_Schools">'Option Sets Details'!$A$4054:$B$4054</definedName>
    <definedName name="Record_Type_ASF">'Option Sets Details'!$A$4055:$B$4057</definedName>
    <definedName name="Record_Type_FTR">'Option Sets Details'!$A$4056:$B$4057</definedName>
    <definedName name="Schools">'Districts and Schools'!$C:$C</definedName>
    <definedName name="Special_Ed_Determination_late">'Option Sets Details'!$A$4058:$B$4065</definedName>
    <definedName name="Special_Ed_Eligibility">'Option Sets Details'!$A$4066:$B$4068</definedName>
    <definedName name="Special_Ed_Environment">'Option Sets Details'!$A$4069:$B$4087</definedName>
    <definedName name="Special_Education_Students">'Items Details'!$A$103:$C$129</definedName>
    <definedName name="Staff_Assignments">'Items Details'!$A$270:$C$285</definedName>
    <definedName name="Staff_Demographics">'Items Details'!$A$143:$C$269</definedName>
    <definedName name="Staff_Exit_Reason">'Option Sets Details'!$A$4089:$B$4106</definedName>
    <definedName name="State_Exception_Rule">'Option Sets Details'!$A$4107:$B$4111</definedName>
    <definedName name="State_Province">'Option Sets Details'!$A$4112:$B$4175</definedName>
    <definedName name="Student_Attendance">'Items Details'!$A$88:$C$94</definedName>
    <definedName name="Student_Course_Enrollment">'Items Details'!$A$70:$C$87</definedName>
    <definedName name="Student_Demographics">'Items Details'!$A$18:$D$69</definedName>
    <definedName name="Teaching_Role">'Option Sets Details'!$A$4176:$B$4182</definedName>
    <definedName name="Undetermined_Reason">'Option Sets Details'!$A$4183:$B$4187</definedName>
    <definedName name="Weapon_Type">'Option Sets Details'!$A$4188:$B$4200</definedName>
    <definedName name="Yes_No">'Option Sets Details'!$A$4201:$B$4202</definedName>
    <definedName name="Yes_No_NA">'Option Sets Details'!$A$4203:$B$4205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4" l="1"/>
  <c r="D8" i="34" l="1"/>
  <c r="D9" i="34"/>
  <c r="D10" i="34"/>
  <c r="D11" i="34"/>
  <c r="D12" i="34"/>
  <c r="D7" i="34" l="1"/>
  <c r="D4" i="34"/>
  <c r="D5" i="34"/>
  <c r="D6" i="34"/>
  <c r="D34" i="34" l="1"/>
  <c r="D36" i="34" s="1"/>
  <c r="D27" i="34"/>
  <c r="D29" i="34" s="1"/>
  <c r="D20" i="34"/>
  <c r="D22" i="34" s="1"/>
  <c r="F22" i="34"/>
  <c r="F29" i="34"/>
  <c r="F36" i="34"/>
  <c r="H27" i="34" l="1"/>
  <c r="H20" i="34"/>
  <c r="H29" i="34"/>
  <c r="H36" i="34"/>
  <c r="H22" i="34"/>
  <c r="E4040" i="10" l="1"/>
  <c r="E4039" i="10"/>
  <c r="E4038" i="10"/>
  <c r="E4037" i="10"/>
  <c r="E4036" i="10"/>
  <c r="E4035" i="10"/>
  <c r="E4034" i="10"/>
  <c r="E4033" i="10"/>
  <c r="E4032" i="10"/>
  <c r="E4031" i="10"/>
  <c r="E4030" i="10"/>
  <c r="E4029" i="10"/>
  <c r="E4028" i="10"/>
  <c r="E4027" i="10"/>
  <c r="E4026" i="10"/>
  <c r="E4025" i="10"/>
  <c r="E4024" i="10"/>
  <c r="E4023" i="10"/>
  <c r="E4022" i="10"/>
  <c r="E4021" i="10"/>
  <c r="E4020" i="10"/>
  <c r="E4019" i="10"/>
  <c r="E4018" i="10"/>
  <c r="E4017" i="10"/>
  <c r="E4016" i="10"/>
  <c r="E4015" i="10"/>
  <c r="E4014" i="10"/>
  <c r="E4013" i="10"/>
  <c r="E4012" i="10"/>
  <c r="E4011" i="10"/>
  <c r="E4010" i="10"/>
  <c r="E4009" i="10"/>
  <c r="E4008" i="10"/>
  <c r="E4007" i="10"/>
  <c r="E4006" i="10"/>
  <c r="E4005" i="10"/>
  <c r="E4004" i="10"/>
  <c r="E4003" i="10"/>
  <c r="E4002" i="10"/>
  <c r="E4001" i="10"/>
  <c r="E4000" i="10"/>
  <c r="E3999" i="10"/>
  <c r="E3998" i="10"/>
  <c r="E3997" i="10"/>
  <c r="E3996" i="10"/>
  <c r="E3995" i="10"/>
  <c r="E3994" i="10"/>
  <c r="E3993" i="10"/>
  <c r="E3992" i="10"/>
  <c r="E3991" i="10"/>
  <c r="E3990" i="10"/>
  <c r="E3989" i="10"/>
  <c r="B2787" i="10" l="1"/>
  <c r="B2786" i="10"/>
  <c r="B2785" i="10"/>
  <c r="B2784" i="10"/>
  <c r="B2783" i="10"/>
  <c r="B2782" i="10"/>
  <c r="B2781" i="10"/>
  <c r="B2780" i="10"/>
  <c r="B2779" i="10"/>
  <c r="B2778" i="10"/>
  <c r="B2777" i="10"/>
  <c r="B2776" i="10"/>
  <c r="B2775" i="10"/>
  <c r="B2774" i="10"/>
  <c r="B2773" i="10"/>
  <c r="B2772" i="10"/>
  <c r="B2771" i="10"/>
  <c r="B2770" i="10"/>
  <c r="B2769" i="10"/>
  <c r="B2768" i="10"/>
  <c r="B2767" i="10"/>
  <c r="B2766" i="10"/>
  <c r="B2765" i="10"/>
  <c r="B2764" i="10"/>
  <c r="B2763" i="10"/>
  <c r="B2762" i="10"/>
  <c r="B2761" i="10"/>
  <c r="B2760" i="10"/>
  <c r="B2759" i="10"/>
  <c r="B2758" i="10"/>
  <c r="B2757" i="10"/>
  <c r="B2756" i="10"/>
  <c r="B2755" i="10"/>
  <c r="B2754" i="10"/>
  <c r="B2753" i="10"/>
  <c r="B2752" i="10"/>
  <c r="B2751" i="10"/>
  <c r="B2750" i="10"/>
  <c r="B2749" i="10"/>
  <c r="B2748" i="10"/>
  <c r="B2747" i="10"/>
  <c r="B2746" i="10"/>
  <c r="B2745" i="10"/>
  <c r="B2744" i="10"/>
  <c r="B2743" i="10"/>
  <c r="B2742" i="10"/>
  <c r="B2741" i="10"/>
  <c r="B2740" i="10"/>
  <c r="B2739" i="10"/>
  <c r="B2738" i="10"/>
  <c r="B2737" i="10"/>
  <c r="B2736" i="10"/>
  <c r="B2735" i="10"/>
  <c r="B2734" i="10"/>
  <c r="B2733" i="10"/>
  <c r="B2732" i="10"/>
  <c r="B2731" i="10"/>
  <c r="B2730" i="10"/>
  <c r="B2729" i="10"/>
  <c r="B2728" i="10"/>
  <c r="B2727" i="10"/>
  <c r="B2726" i="10"/>
  <c r="B2725" i="10"/>
  <c r="B2724" i="10"/>
  <c r="B2723" i="10"/>
  <c r="B2722" i="10"/>
  <c r="B2721" i="10"/>
  <c r="B2720" i="10"/>
  <c r="B2719" i="10"/>
  <c r="B2718" i="10"/>
  <c r="B2717" i="10"/>
  <c r="B2716" i="10"/>
  <c r="B2715" i="10"/>
  <c r="B2714" i="10"/>
  <c r="B2713" i="10"/>
  <c r="B2712" i="10"/>
  <c r="B2711" i="10"/>
  <c r="B2710" i="10"/>
  <c r="B2709" i="10"/>
  <c r="B2708" i="10"/>
  <c r="B2707" i="10"/>
  <c r="B2706" i="10"/>
  <c r="B2705" i="10"/>
  <c r="B2704" i="10"/>
  <c r="B2703" i="10"/>
  <c r="B2702" i="10"/>
  <c r="B2701" i="10"/>
  <c r="B2700" i="10"/>
  <c r="B2699" i="10"/>
  <c r="B2698" i="10"/>
  <c r="B2697" i="10"/>
  <c r="B2696" i="10"/>
  <c r="B2695" i="10"/>
  <c r="B2694" i="10"/>
  <c r="B2693" i="10"/>
  <c r="B2692" i="10"/>
  <c r="B2691" i="10"/>
  <c r="B2690" i="10"/>
  <c r="B2689" i="10"/>
  <c r="B2688" i="10"/>
  <c r="B2687" i="10"/>
  <c r="B2686" i="10"/>
  <c r="B2685" i="10"/>
  <c r="B2684" i="10"/>
  <c r="B2683" i="10"/>
  <c r="B2682" i="10"/>
  <c r="B2681" i="10"/>
  <c r="B2680" i="10"/>
  <c r="B2679" i="10"/>
  <c r="B2678" i="10"/>
  <c r="B2677" i="10"/>
  <c r="B2676" i="10"/>
  <c r="B2675" i="10"/>
  <c r="B2674" i="10"/>
  <c r="B2673" i="10"/>
  <c r="B2672" i="10"/>
  <c r="B2671" i="10"/>
  <c r="B2670" i="10"/>
  <c r="B2669" i="10"/>
  <c r="B2668" i="10"/>
  <c r="B2667" i="10"/>
  <c r="B2666" i="10"/>
  <c r="B2665" i="10"/>
  <c r="B2664" i="10"/>
  <c r="B2663" i="10"/>
  <c r="B2662" i="10"/>
  <c r="B2661" i="10"/>
  <c r="B2660" i="10"/>
  <c r="B2659" i="10"/>
  <c r="B2658" i="10"/>
  <c r="B2657" i="10"/>
  <c r="B2656" i="10"/>
  <c r="B2655" i="10"/>
  <c r="B2654" i="10"/>
  <c r="B2653" i="10"/>
  <c r="B2652" i="10"/>
  <c r="B2651" i="10"/>
  <c r="B2650" i="10"/>
  <c r="B2649" i="10"/>
  <c r="B2648" i="10"/>
  <c r="B2647" i="10"/>
  <c r="B2646" i="10"/>
  <c r="B2645" i="10"/>
  <c r="B2644" i="10"/>
  <c r="B2643" i="10"/>
  <c r="B2642" i="10"/>
  <c r="B2641" i="10"/>
  <c r="B2640" i="10"/>
  <c r="B2639" i="10"/>
  <c r="B2638" i="10"/>
  <c r="B2637" i="10"/>
  <c r="B2636" i="10"/>
  <c r="B2635" i="10"/>
  <c r="B2634" i="10"/>
  <c r="B2633" i="10"/>
  <c r="B2632" i="10"/>
  <c r="B2631" i="10"/>
  <c r="B2630" i="10"/>
  <c r="B2629" i="10"/>
  <c r="B2628" i="10"/>
  <c r="B2627" i="10"/>
  <c r="B2626" i="10"/>
  <c r="B2625" i="10"/>
  <c r="B2624" i="10"/>
  <c r="B2623" i="10"/>
  <c r="B2622" i="10"/>
  <c r="B2621" i="10"/>
  <c r="B2620" i="10"/>
  <c r="B2619" i="10"/>
  <c r="B2618" i="10"/>
  <c r="B2617" i="10"/>
  <c r="B2616" i="10"/>
  <c r="B2615" i="10"/>
  <c r="B2614" i="10"/>
  <c r="B2613" i="10"/>
  <c r="B2612" i="10"/>
  <c r="B2611" i="10"/>
  <c r="B2610" i="10"/>
  <c r="B2609" i="10"/>
  <c r="B2608" i="10"/>
  <c r="B2607" i="10"/>
  <c r="B2606" i="10"/>
  <c r="B2605" i="10"/>
  <c r="B2604" i="10"/>
  <c r="B2603" i="10"/>
  <c r="B2602" i="10"/>
  <c r="B2601" i="10"/>
  <c r="B2600" i="10"/>
  <c r="B2599" i="10"/>
  <c r="B2598" i="10"/>
  <c r="B2597" i="10"/>
  <c r="B2596" i="10"/>
  <c r="B2595" i="10"/>
  <c r="B2594" i="10"/>
  <c r="B2593" i="10"/>
  <c r="B2592" i="10"/>
  <c r="B2591" i="10"/>
  <c r="B2590" i="10"/>
  <c r="B2589" i="10"/>
  <c r="B2588" i="10"/>
  <c r="B2587" i="10"/>
  <c r="B2586" i="10"/>
  <c r="B2585" i="10"/>
  <c r="B2584" i="10"/>
  <c r="B2583" i="10"/>
  <c r="B2582" i="10"/>
  <c r="B2581" i="10"/>
  <c r="B2580" i="10"/>
  <c r="B2579" i="10"/>
  <c r="B2578" i="10"/>
  <c r="B2577" i="10"/>
  <c r="B2576" i="10"/>
  <c r="B2575" i="10"/>
  <c r="B2574" i="10"/>
  <c r="B2573" i="10"/>
  <c r="B2572" i="10"/>
  <c r="B2571" i="10"/>
  <c r="B2570" i="10"/>
  <c r="B2569" i="10"/>
  <c r="B2568" i="10"/>
  <c r="B2567" i="10"/>
  <c r="B2566" i="10"/>
  <c r="B2565" i="10"/>
  <c r="B2564" i="10"/>
  <c r="B2563" i="10"/>
  <c r="B2562" i="10"/>
  <c r="B2561" i="10"/>
  <c r="B2560" i="10"/>
  <c r="B2559" i="10"/>
  <c r="B2558" i="10"/>
  <c r="B2557" i="10"/>
  <c r="B2556" i="10"/>
  <c r="B2555" i="10"/>
  <c r="B2554" i="10"/>
  <c r="B2553" i="10"/>
  <c r="B2552" i="10"/>
  <c r="B2551" i="10"/>
  <c r="B2550" i="10"/>
  <c r="B2549" i="10"/>
  <c r="B2548" i="10"/>
  <c r="B2547" i="10"/>
  <c r="B2546" i="10"/>
  <c r="B2545" i="10"/>
  <c r="B2544" i="10"/>
  <c r="B2543" i="10"/>
  <c r="B2542" i="10"/>
  <c r="B2541" i="10"/>
  <c r="B2540" i="10"/>
  <c r="B2539" i="10"/>
  <c r="B2538" i="10"/>
  <c r="B2537" i="10"/>
  <c r="B2536" i="10"/>
  <c r="B2535" i="10"/>
  <c r="B2534" i="10"/>
  <c r="B2533" i="10"/>
  <c r="B2532" i="10"/>
  <c r="B2531" i="10"/>
  <c r="B2530" i="10"/>
  <c r="B2529" i="10"/>
  <c r="B2528" i="10"/>
  <c r="B2527" i="10"/>
  <c r="B2526" i="10"/>
  <c r="B2525" i="10"/>
  <c r="B2524" i="10"/>
  <c r="B2523" i="10"/>
  <c r="B2522" i="10"/>
  <c r="B2521" i="10"/>
  <c r="B2520" i="10"/>
  <c r="B2519" i="10"/>
  <c r="B2518" i="10"/>
  <c r="B2517" i="10"/>
  <c r="B2516" i="10"/>
  <c r="B2515" i="10"/>
  <c r="B2514" i="10"/>
  <c r="B2513" i="10"/>
  <c r="B2512" i="10"/>
  <c r="B2511" i="10"/>
  <c r="B2510" i="10"/>
  <c r="B2509" i="10"/>
  <c r="B2508" i="10"/>
  <c r="B2507" i="10"/>
  <c r="B2506" i="10"/>
  <c r="B2505" i="10"/>
  <c r="B2504" i="10"/>
  <c r="B2503" i="10"/>
  <c r="B2502" i="10"/>
  <c r="B2501" i="10"/>
  <c r="B2500" i="10"/>
  <c r="B2499" i="10"/>
  <c r="B2498" i="10"/>
  <c r="B2497" i="10"/>
  <c r="B2496" i="10"/>
  <c r="B2495" i="10"/>
  <c r="B2494" i="10"/>
  <c r="B2493" i="10"/>
  <c r="B2492" i="10"/>
  <c r="B2491" i="10"/>
  <c r="B2490" i="10"/>
  <c r="B2489" i="10"/>
  <c r="B2488" i="10"/>
  <c r="B2487" i="10"/>
  <c r="B2486" i="10"/>
  <c r="B2485" i="10"/>
  <c r="B2484" i="10"/>
  <c r="B2483" i="10"/>
  <c r="B2482" i="10"/>
  <c r="B2481" i="10"/>
  <c r="B2480" i="10"/>
  <c r="B2479" i="10"/>
  <c r="B2478" i="10"/>
  <c r="B2477" i="10"/>
  <c r="B2476" i="10"/>
  <c r="B2475" i="10"/>
  <c r="B2474" i="10"/>
  <c r="B2473" i="10"/>
  <c r="B2472" i="10"/>
  <c r="B2471" i="10"/>
  <c r="B2470" i="10"/>
  <c r="B2469" i="10"/>
  <c r="B2468" i="10"/>
  <c r="B2467" i="10"/>
  <c r="B2466" i="10"/>
  <c r="B2465" i="10"/>
  <c r="B2464" i="10"/>
  <c r="B2463" i="10"/>
  <c r="B2462" i="10"/>
  <c r="B2461" i="10"/>
  <c r="B2460" i="10"/>
  <c r="B2459" i="10"/>
  <c r="B2458" i="10"/>
  <c r="B2457" i="10"/>
  <c r="B2456" i="10"/>
  <c r="B2455" i="10"/>
  <c r="B2454" i="10"/>
  <c r="B2453" i="10"/>
  <c r="B2452" i="10"/>
  <c r="B2451" i="10"/>
  <c r="B2450" i="10"/>
  <c r="B2449" i="10"/>
  <c r="B2448" i="10"/>
  <c r="B2447" i="10"/>
  <c r="B2446" i="10"/>
  <c r="B2445" i="10"/>
  <c r="B2444" i="10"/>
  <c r="B2443" i="10"/>
  <c r="B2442" i="10"/>
  <c r="B2441" i="10"/>
  <c r="B2440" i="10"/>
  <c r="B2439" i="10"/>
  <c r="B2438" i="10"/>
  <c r="B2437" i="10"/>
  <c r="B2436" i="10"/>
  <c r="B2435" i="10"/>
  <c r="B2434" i="10"/>
  <c r="B2433" i="10"/>
  <c r="B2432" i="10"/>
  <c r="B2431" i="10"/>
  <c r="B2430" i="10"/>
  <c r="B2429" i="10"/>
  <c r="B2428" i="10"/>
  <c r="B2427" i="10"/>
  <c r="B2426" i="10"/>
  <c r="B2425" i="10"/>
  <c r="B2424" i="10"/>
  <c r="B2423" i="10"/>
  <c r="B2422" i="10"/>
  <c r="B2421" i="10"/>
  <c r="B2420" i="10"/>
  <c r="B2419" i="10"/>
  <c r="B2418" i="10"/>
  <c r="B2417" i="10"/>
  <c r="B2416" i="10"/>
  <c r="B2415" i="10"/>
  <c r="B2414" i="10"/>
  <c r="B2413" i="10"/>
  <c r="B2412" i="10"/>
  <c r="B2411" i="10"/>
  <c r="B2410" i="10"/>
  <c r="B2409" i="10"/>
  <c r="B2408" i="10"/>
  <c r="B2407" i="10"/>
  <c r="B2406" i="10"/>
  <c r="B2405" i="10"/>
  <c r="B2404" i="10"/>
  <c r="B2403" i="10"/>
  <c r="B2402" i="10"/>
  <c r="B2401" i="10"/>
  <c r="B2400" i="10"/>
  <c r="B2399" i="10"/>
  <c r="B2398" i="10"/>
  <c r="B2397" i="10"/>
  <c r="B2396" i="10"/>
  <c r="B2395" i="10"/>
  <c r="B2394" i="10"/>
  <c r="B2393" i="10"/>
  <c r="B2392" i="10"/>
  <c r="B2391" i="10"/>
  <c r="B2390" i="10"/>
  <c r="B2389" i="10"/>
  <c r="B2388" i="10"/>
  <c r="B2387" i="10"/>
  <c r="B2386" i="10"/>
  <c r="B2385" i="10"/>
  <c r="B2384" i="10"/>
  <c r="B2383" i="10"/>
  <c r="B2382" i="10"/>
  <c r="B2381" i="10"/>
  <c r="B2380" i="10"/>
  <c r="B2379" i="10"/>
  <c r="B2378" i="10"/>
  <c r="B2377" i="10"/>
  <c r="B2376" i="10"/>
  <c r="B2375" i="10"/>
  <c r="B2374" i="10"/>
  <c r="B2373" i="10"/>
  <c r="B2372" i="10"/>
  <c r="B2371" i="10"/>
  <c r="B2370" i="10"/>
  <c r="B2369" i="10"/>
  <c r="B2368" i="10"/>
  <c r="B2367" i="10"/>
  <c r="B2366" i="10"/>
  <c r="B2365" i="10"/>
  <c r="B2364" i="10"/>
  <c r="B2363" i="10"/>
  <c r="B2362" i="10"/>
  <c r="B2361" i="10"/>
  <c r="B2360" i="10"/>
  <c r="B2359" i="10"/>
  <c r="B2358" i="10"/>
  <c r="B2357" i="10"/>
  <c r="B2356" i="10"/>
  <c r="B2355" i="10"/>
  <c r="B2354" i="10"/>
  <c r="B2353" i="10"/>
  <c r="B2352" i="10"/>
  <c r="B2351" i="10"/>
  <c r="B2350" i="10"/>
  <c r="B2349" i="10"/>
  <c r="B2348" i="10"/>
  <c r="B2347" i="10"/>
  <c r="B2346" i="10"/>
  <c r="B2345" i="10"/>
  <c r="B2344" i="10"/>
  <c r="B2343" i="10"/>
  <c r="B2342" i="10"/>
  <c r="B2341" i="10"/>
  <c r="B2340" i="10"/>
  <c r="B2339" i="10"/>
  <c r="B2338" i="10"/>
  <c r="B2337" i="10"/>
  <c r="B2336" i="10"/>
  <c r="B2335" i="10"/>
  <c r="B2334" i="10"/>
  <c r="B2333" i="10"/>
  <c r="B2332" i="10"/>
  <c r="B2331" i="10"/>
  <c r="B2330" i="10"/>
  <c r="B2329" i="10"/>
  <c r="B2328" i="10"/>
  <c r="B2327" i="10"/>
  <c r="B2326" i="10"/>
  <c r="B2325" i="10"/>
  <c r="B2324" i="10"/>
  <c r="B2323" i="10"/>
  <c r="B2322" i="10"/>
  <c r="B2321" i="10"/>
  <c r="B2320" i="10"/>
  <c r="B2319" i="10"/>
  <c r="B2318" i="10"/>
  <c r="B2317" i="10"/>
  <c r="B2316" i="10"/>
  <c r="B2315" i="10"/>
  <c r="B2314" i="10"/>
  <c r="B2313" i="10"/>
  <c r="B2312" i="10"/>
  <c r="B2311" i="10"/>
  <c r="B2310" i="10"/>
  <c r="B2309" i="10"/>
  <c r="B2308" i="10"/>
  <c r="B2307" i="10"/>
  <c r="B2306" i="10"/>
  <c r="B2305" i="10"/>
  <c r="B2304" i="10"/>
  <c r="B2303" i="10"/>
  <c r="B2302" i="10"/>
  <c r="B2301" i="10"/>
  <c r="B2300" i="10"/>
  <c r="B2299" i="10"/>
  <c r="B2298" i="10"/>
  <c r="B2297" i="10"/>
  <c r="B2296" i="10"/>
  <c r="B2295" i="10"/>
  <c r="B2294" i="10"/>
  <c r="B2293" i="10"/>
  <c r="B2292" i="10"/>
  <c r="B2291" i="10"/>
  <c r="B2290" i="10"/>
  <c r="B2289" i="10"/>
  <c r="B2288" i="10"/>
  <c r="B2287" i="10"/>
  <c r="B2286" i="10"/>
  <c r="B2285" i="10"/>
  <c r="B2284" i="10"/>
  <c r="B2283" i="10"/>
  <c r="B2282" i="10"/>
  <c r="B2281" i="10"/>
  <c r="B2280" i="10"/>
  <c r="B2279" i="10"/>
  <c r="B2278" i="10"/>
  <c r="B2277" i="10"/>
  <c r="B2276" i="10"/>
  <c r="B2275" i="10"/>
  <c r="B2274" i="10"/>
  <c r="B2273" i="10"/>
  <c r="B2272" i="10"/>
  <c r="B2271" i="10"/>
  <c r="B2270" i="10"/>
  <c r="B2269" i="10"/>
  <c r="B2268" i="10"/>
  <c r="B2267" i="10"/>
  <c r="B2266" i="10"/>
  <c r="B2265" i="10"/>
  <c r="B2264" i="10"/>
  <c r="B2263" i="10"/>
  <c r="B2262" i="10"/>
  <c r="B2261" i="10"/>
  <c r="B2260" i="10"/>
  <c r="B2259" i="10"/>
  <c r="B2258" i="10"/>
  <c r="B2257" i="10"/>
  <c r="B2256" i="10"/>
  <c r="B2255" i="10"/>
  <c r="B2254" i="10"/>
  <c r="B2253" i="10"/>
  <c r="B2252" i="10"/>
  <c r="B2251" i="10"/>
  <c r="B2250" i="10"/>
  <c r="B2249" i="10"/>
  <c r="B2248" i="10"/>
  <c r="B2247" i="10"/>
  <c r="B2246" i="10"/>
  <c r="B2245" i="10"/>
  <c r="B2244" i="10"/>
  <c r="B2243" i="10"/>
  <c r="B2242" i="10"/>
  <c r="B2241" i="10"/>
  <c r="B2240" i="10"/>
  <c r="B2239" i="10"/>
  <c r="B2238" i="10"/>
  <c r="B2237" i="10"/>
  <c r="B2236" i="10"/>
  <c r="B2235" i="10"/>
  <c r="B2234" i="10"/>
  <c r="B2233" i="10"/>
  <c r="B2232" i="10"/>
  <c r="B2231" i="10"/>
  <c r="B2230" i="10"/>
  <c r="B2229" i="10"/>
  <c r="B2228" i="10"/>
  <c r="B2227" i="10"/>
  <c r="B2226" i="10"/>
  <c r="B2225" i="10"/>
  <c r="B2224" i="10"/>
  <c r="B2223" i="10"/>
  <c r="B2222" i="10"/>
  <c r="B2221" i="10"/>
  <c r="B2220" i="10"/>
  <c r="B2219" i="10"/>
  <c r="B2218" i="10"/>
  <c r="B2217" i="10"/>
  <c r="B2216" i="10"/>
  <c r="B2215" i="10"/>
  <c r="B2214" i="10"/>
  <c r="B2213" i="10"/>
  <c r="B2212" i="10"/>
  <c r="B2211" i="10"/>
  <c r="B2210" i="10"/>
  <c r="B2209" i="10"/>
  <c r="B2208" i="10"/>
  <c r="B2207" i="10"/>
  <c r="B2206" i="10"/>
  <c r="B2205" i="10"/>
  <c r="B2204" i="10"/>
  <c r="B2203" i="10"/>
  <c r="B2202" i="10"/>
  <c r="B2201" i="10"/>
  <c r="B2200" i="10"/>
  <c r="B2199" i="10"/>
  <c r="B2198" i="10"/>
  <c r="B2197" i="10"/>
  <c r="B2196" i="10"/>
  <c r="B2195" i="10"/>
  <c r="B2194" i="10"/>
  <c r="B2193" i="10"/>
  <c r="B2192" i="10"/>
  <c r="B2191" i="10"/>
  <c r="B2190" i="10"/>
  <c r="B2189" i="10"/>
  <c r="B2188" i="10"/>
  <c r="B2187" i="10"/>
  <c r="B2186" i="10"/>
  <c r="B2185" i="10"/>
  <c r="B2184" i="10"/>
  <c r="B2183" i="10"/>
  <c r="B2182" i="10"/>
  <c r="B2181" i="10"/>
  <c r="B2180" i="10"/>
  <c r="B2179" i="10"/>
  <c r="B2178" i="10"/>
  <c r="B2177" i="10"/>
  <c r="B2176" i="10"/>
  <c r="B2175" i="10"/>
  <c r="B2174" i="10"/>
  <c r="B2173" i="10"/>
  <c r="B2172" i="10"/>
  <c r="B2171" i="10"/>
  <c r="B2170" i="10"/>
  <c r="B2169" i="10"/>
  <c r="B2168" i="10"/>
  <c r="B2167" i="10"/>
  <c r="B2166" i="10"/>
  <c r="B2165" i="10"/>
  <c r="B2164" i="10"/>
  <c r="B2163" i="10"/>
  <c r="B2162" i="10"/>
  <c r="B2161" i="10"/>
  <c r="B2160" i="10"/>
  <c r="B2159" i="10"/>
  <c r="B2158" i="10"/>
  <c r="B2157" i="10"/>
  <c r="B2156" i="10"/>
  <c r="B2155" i="10"/>
  <c r="B2154" i="10"/>
  <c r="B2153" i="10"/>
  <c r="B2152" i="10"/>
  <c r="B2151" i="10"/>
  <c r="B2150" i="10"/>
  <c r="B2149" i="10"/>
  <c r="B2148" i="10"/>
  <c r="B2147" i="10"/>
  <c r="B2146" i="10"/>
  <c r="B2145" i="10"/>
  <c r="B2144" i="10"/>
  <c r="B2143" i="10"/>
  <c r="B2142" i="10"/>
  <c r="B2141" i="10"/>
  <c r="B2140" i="10"/>
  <c r="B2139" i="10"/>
  <c r="B2138" i="10"/>
  <c r="B2137" i="10"/>
  <c r="B2136" i="10"/>
  <c r="B2135" i="10"/>
  <c r="B2134" i="10"/>
  <c r="B2133" i="10"/>
  <c r="B2132" i="10"/>
  <c r="B2131" i="10"/>
  <c r="B2130" i="10"/>
  <c r="B2129" i="10"/>
  <c r="B2128" i="10"/>
  <c r="B2127" i="10"/>
  <c r="B2126" i="10"/>
  <c r="B2125" i="10"/>
  <c r="B2124" i="10"/>
  <c r="B2123" i="10"/>
  <c r="B2122" i="10"/>
  <c r="B2121" i="10"/>
  <c r="B2120" i="10"/>
  <c r="B2119" i="10"/>
  <c r="B2118" i="10"/>
  <c r="B2117" i="10"/>
  <c r="B2116" i="10"/>
  <c r="B2115" i="10"/>
  <c r="B2114" i="10"/>
  <c r="B2113" i="10"/>
  <c r="B2112" i="10"/>
  <c r="B2111" i="10"/>
  <c r="B2110" i="10"/>
  <c r="B2109" i="10"/>
  <c r="B2108" i="10"/>
  <c r="B2107" i="10"/>
  <c r="B2106" i="10"/>
  <c r="B2105" i="10"/>
  <c r="B2104" i="10"/>
  <c r="B2103" i="10"/>
  <c r="B2102" i="10"/>
  <c r="B2101" i="10"/>
  <c r="B2100" i="10"/>
  <c r="B2099" i="10"/>
  <c r="B2098" i="10"/>
  <c r="B2097" i="10"/>
  <c r="B2096" i="10"/>
  <c r="B2095" i="10"/>
  <c r="B2094" i="10"/>
  <c r="B2093" i="10"/>
  <c r="B2092" i="10"/>
  <c r="B2091" i="10"/>
  <c r="B2090" i="10"/>
  <c r="B2089" i="10"/>
  <c r="B2088" i="10"/>
  <c r="B2087" i="10"/>
  <c r="B2086" i="10"/>
  <c r="B2085" i="10"/>
  <c r="B2084" i="10"/>
  <c r="B2083" i="10"/>
  <c r="B2082" i="10"/>
  <c r="B2081" i="10"/>
  <c r="B2080" i="10"/>
  <c r="B2079" i="10"/>
  <c r="B2078" i="10"/>
  <c r="B2077" i="10"/>
  <c r="B2076" i="10"/>
  <c r="B2075" i="10"/>
  <c r="B2074" i="10"/>
  <c r="B2073" i="10"/>
  <c r="B2072" i="10"/>
  <c r="B2071" i="10"/>
  <c r="B2070" i="10"/>
  <c r="B2069" i="10"/>
  <c r="B2068" i="10"/>
  <c r="B2067" i="10"/>
  <c r="B2066" i="10"/>
  <c r="B2065" i="10"/>
  <c r="B2064" i="10"/>
  <c r="B2063" i="10"/>
  <c r="B2062" i="10"/>
  <c r="B2061" i="10"/>
  <c r="B2060" i="10"/>
  <c r="B2059" i="10"/>
  <c r="B2058" i="10"/>
  <c r="B2057" i="10"/>
  <c r="B2056" i="10"/>
  <c r="B2055" i="10"/>
  <c r="B2054" i="10"/>
  <c r="B2053" i="10"/>
  <c r="B2052" i="10"/>
  <c r="B2051" i="10"/>
  <c r="B2050" i="10"/>
  <c r="B2049" i="10"/>
  <c r="B2048" i="10"/>
  <c r="B2047" i="10"/>
  <c r="B2046" i="10"/>
  <c r="B2045" i="10"/>
  <c r="B2044" i="10"/>
  <c r="B2043" i="10"/>
  <c r="B2042" i="10"/>
  <c r="B2041" i="10"/>
  <c r="B2040" i="10"/>
  <c r="B2039" i="10"/>
  <c r="B2038" i="10"/>
  <c r="B2037" i="10"/>
  <c r="B2036" i="10"/>
  <c r="B2035" i="10"/>
  <c r="B2034" i="10"/>
  <c r="B2033" i="10"/>
  <c r="B2032" i="10"/>
  <c r="B2031" i="10"/>
  <c r="B2030" i="10"/>
  <c r="B2029" i="10"/>
  <c r="B2028" i="10"/>
  <c r="B2027" i="10"/>
  <c r="B2026" i="10"/>
  <c r="B2025" i="10"/>
  <c r="B2024" i="10"/>
  <c r="B2023" i="10"/>
  <c r="B2022" i="10"/>
  <c r="B2021" i="10"/>
  <c r="B2020" i="10"/>
  <c r="B2019" i="10"/>
  <c r="B2018" i="10"/>
  <c r="B2017" i="10"/>
  <c r="B2016" i="10"/>
  <c r="B2015" i="10"/>
  <c r="B2014" i="10"/>
  <c r="B2013" i="10"/>
  <c r="B2012" i="10"/>
  <c r="B2011" i="10"/>
  <c r="B2010" i="10"/>
  <c r="B2009" i="10"/>
  <c r="B2008" i="10"/>
  <c r="B2007" i="10"/>
  <c r="B2006" i="10"/>
  <c r="B2005" i="10"/>
  <c r="B2004" i="10"/>
  <c r="B2003" i="10"/>
  <c r="B2002" i="10"/>
  <c r="B2001" i="10"/>
  <c r="B2000" i="10"/>
  <c r="B1999" i="10"/>
  <c r="B1998" i="10"/>
  <c r="B1997" i="10"/>
  <c r="B1996" i="10"/>
  <c r="B1995" i="10"/>
  <c r="B1994" i="10"/>
  <c r="B1993" i="10"/>
  <c r="B1992" i="10"/>
  <c r="B1991" i="10"/>
  <c r="B1990" i="10"/>
  <c r="B1989" i="10"/>
  <c r="B1988" i="10"/>
  <c r="B1987" i="10"/>
  <c r="B1986" i="10"/>
  <c r="B1985" i="10"/>
  <c r="B1984" i="10"/>
  <c r="B1983" i="10"/>
  <c r="B1982" i="10"/>
  <c r="B1981" i="10"/>
  <c r="B1980" i="10"/>
  <c r="B1979" i="10"/>
  <c r="B1978" i="10"/>
  <c r="B1977" i="10"/>
  <c r="B1976" i="10"/>
  <c r="B1975" i="10"/>
  <c r="B1974" i="10"/>
  <c r="B1973" i="10"/>
  <c r="B1972" i="10"/>
  <c r="B1971" i="10"/>
  <c r="B1970" i="10"/>
  <c r="B1969" i="10"/>
  <c r="B1968" i="10"/>
  <c r="B1967" i="10"/>
  <c r="B1966" i="10"/>
  <c r="B1965" i="10"/>
  <c r="B1964" i="10"/>
  <c r="B1963" i="10"/>
  <c r="B1962" i="10"/>
  <c r="B1961" i="10"/>
  <c r="B1960" i="10"/>
  <c r="B1959" i="10"/>
  <c r="B1958" i="10"/>
  <c r="B1957" i="10"/>
  <c r="B1956" i="10"/>
  <c r="B1955" i="10"/>
  <c r="B1954" i="10"/>
  <c r="B1953" i="10"/>
  <c r="B1952" i="10"/>
  <c r="B1951" i="10"/>
  <c r="B1950" i="10"/>
  <c r="B1949" i="10"/>
  <c r="B1948" i="10"/>
  <c r="B1947" i="10"/>
  <c r="B1946" i="10"/>
  <c r="B1945" i="10"/>
  <c r="B1944" i="10"/>
  <c r="B1943" i="10"/>
  <c r="B1942" i="10"/>
  <c r="B1941" i="10"/>
  <c r="B1940" i="10"/>
  <c r="B1939" i="10"/>
  <c r="B1938" i="10"/>
  <c r="B1937" i="10"/>
  <c r="B1936" i="10"/>
  <c r="B1935" i="10"/>
  <c r="B1934" i="10"/>
  <c r="B1933" i="10"/>
  <c r="B1932" i="10"/>
  <c r="B1931" i="10"/>
  <c r="B1930" i="10"/>
  <c r="B1929" i="10"/>
  <c r="B1928" i="10"/>
  <c r="B1927" i="10"/>
  <c r="B1926" i="10"/>
  <c r="B1925" i="10"/>
  <c r="B1924" i="10"/>
  <c r="B1923" i="10"/>
  <c r="B1922" i="10"/>
  <c r="B1921" i="10"/>
  <c r="B1920" i="10"/>
  <c r="B1919" i="10"/>
  <c r="B1918" i="10"/>
  <c r="B1917" i="10"/>
  <c r="B1916" i="10"/>
  <c r="B1915" i="10"/>
  <c r="B1914" i="10"/>
  <c r="B1913" i="10"/>
  <c r="B1912" i="10"/>
  <c r="B1911" i="10"/>
  <c r="B1910" i="10"/>
  <c r="B1909" i="10"/>
  <c r="B1908" i="10"/>
  <c r="B1907" i="10"/>
  <c r="B1906" i="10"/>
  <c r="B1905" i="10"/>
  <c r="B1904" i="10"/>
  <c r="B1903" i="10"/>
  <c r="B1902" i="10"/>
  <c r="B1901" i="10"/>
  <c r="B1900" i="10"/>
  <c r="B1899" i="10"/>
  <c r="B1898" i="10"/>
  <c r="B1897" i="10"/>
  <c r="B1896" i="10"/>
  <c r="B1895" i="10"/>
  <c r="B1894" i="10"/>
  <c r="B1893" i="10"/>
  <c r="B1892" i="10"/>
  <c r="B1891" i="10"/>
  <c r="B1890" i="10"/>
  <c r="B1889" i="10"/>
  <c r="B1888" i="10"/>
  <c r="B1887" i="10"/>
  <c r="B1886" i="10"/>
  <c r="B1885" i="10"/>
  <c r="B1884" i="10"/>
  <c r="B1883" i="10"/>
  <c r="B1882" i="10"/>
  <c r="B1881" i="10"/>
  <c r="B1880" i="10"/>
  <c r="B1879" i="10"/>
  <c r="B1878" i="10"/>
  <c r="B1877" i="10"/>
  <c r="B1876" i="10"/>
  <c r="B1875" i="10"/>
  <c r="B1874" i="10"/>
  <c r="B1873" i="10"/>
  <c r="B1872" i="10"/>
  <c r="B1871" i="10"/>
  <c r="B1870" i="10"/>
  <c r="B1869" i="10"/>
  <c r="B1868" i="10"/>
  <c r="B1867" i="10"/>
  <c r="B1866" i="10"/>
  <c r="B1865" i="10"/>
  <c r="B1864" i="10"/>
  <c r="B1863" i="10"/>
  <c r="B1862" i="10"/>
  <c r="B1861" i="10"/>
  <c r="B1860" i="10"/>
  <c r="B1859" i="10"/>
  <c r="B1858" i="10"/>
  <c r="B1857" i="10"/>
  <c r="B1856" i="10"/>
  <c r="B1855" i="10"/>
  <c r="B1854" i="10"/>
  <c r="B1853" i="10"/>
  <c r="B1852" i="10"/>
  <c r="B1851" i="10"/>
  <c r="B1850" i="10"/>
  <c r="B1849" i="10"/>
  <c r="B1848" i="10"/>
  <c r="B1847" i="10"/>
  <c r="B1846" i="10"/>
  <c r="B1845" i="10"/>
  <c r="B1844" i="10"/>
  <c r="B1843" i="10"/>
  <c r="B1842" i="10"/>
  <c r="B1841" i="10"/>
  <c r="B1840" i="10"/>
  <c r="B1839" i="10"/>
  <c r="B1838" i="10"/>
  <c r="B1837" i="10"/>
  <c r="B1836" i="10"/>
  <c r="B1835" i="10"/>
  <c r="B1834" i="10"/>
  <c r="B1833" i="10"/>
  <c r="B1832" i="10"/>
  <c r="B1831" i="10"/>
  <c r="B1830" i="10"/>
  <c r="B1829" i="10"/>
  <c r="B1828" i="10"/>
  <c r="B1827" i="10"/>
  <c r="B1826" i="10"/>
  <c r="B1825" i="10"/>
  <c r="B1824" i="10"/>
  <c r="B1823" i="10"/>
  <c r="B1822" i="10"/>
  <c r="B1821" i="10"/>
  <c r="B1820" i="10"/>
  <c r="B1819" i="10"/>
  <c r="B1818" i="10"/>
  <c r="B1817" i="10"/>
  <c r="B1816" i="10"/>
  <c r="B1815" i="10"/>
  <c r="B1814" i="10"/>
  <c r="B1813" i="10"/>
  <c r="B1812" i="10"/>
  <c r="B1811" i="10"/>
  <c r="B1810" i="10"/>
  <c r="B1809" i="10"/>
  <c r="B1808" i="10"/>
  <c r="B1807" i="10"/>
  <c r="B1806" i="10"/>
  <c r="B1805" i="10"/>
  <c r="B1804" i="10"/>
  <c r="B1803" i="10"/>
  <c r="B1802" i="10"/>
  <c r="B1801" i="10"/>
  <c r="B1800" i="10"/>
  <c r="B1799" i="10"/>
  <c r="B1798" i="10"/>
  <c r="B1797" i="10"/>
  <c r="B1796" i="10"/>
  <c r="B1795" i="10"/>
  <c r="B1794" i="10"/>
  <c r="B1793" i="10"/>
  <c r="B1792" i="10"/>
  <c r="B1791" i="10"/>
  <c r="B1790" i="10"/>
  <c r="B1789" i="10"/>
  <c r="B1788" i="10"/>
  <c r="B1787" i="10"/>
  <c r="B1786" i="10"/>
  <c r="B1785" i="10"/>
  <c r="B1784" i="10"/>
  <c r="B1783" i="10"/>
  <c r="B1782" i="10"/>
  <c r="B1781" i="10"/>
  <c r="B1780" i="10"/>
  <c r="B1779" i="10"/>
  <c r="B1778" i="10"/>
  <c r="B1777" i="10"/>
  <c r="B1776" i="10"/>
  <c r="B1775" i="10"/>
  <c r="B1774" i="10"/>
  <c r="B1773" i="10"/>
  <c r="B1772" i="10"/>
  <c r="B1771" i="10"/>
  <c r="B1770" i="10"/>
  <c r="B1769" i="10"/>
  <c r="B1768" i="10"/>
  <c r="B1767" i="10"/>
  <c r="B1766" i="10"/>
  <c r="B1765" i="10"/>
  <c r="B1764" i="10"/>
  <c r="B1763" i="10"/>
  <c r="B1762" i="10"/>
  <c r="B1761" i="10"/>
  <c r="B1760" i="10"/>
  <c r="B1759" i="10"/>
  <c r="B1758" i="10"/>
  <c r="B1757" i="10"/>
  <c r="B1756" i="10"/>
  <c r="B1755" i="10"/>
  <c r="B1754" i="10"/>
  <c r="B1753" i="10"/>
  <c r="B1752" i="10"/>
  <c r="B1751" i="10"/>
  <c r="B1750" i="10"/>
  <c r="B1749" i="10"/>
  <c r="B1748" i="10"/>
  <c r="B1747" i="10"/>
  <c r="B1746" i="10"/>
  <c r="B1745" i="10"/>
  <c r="B1744" i="10"/>
  <c r="B1743" i="10"/>
  <c r="B1742" i="10"/>
  <c r="B1741" i="10"/>
  <c r="B1740" i="10"/>
  <c r="B1739" i="10"/>
  <c r="B1738" i="10"/>
  <c r="B1737" i="10"/>
  <c r="B1736" i="10"/>
  <c r="B1735" i="10"/>
  <c r="B1734" i="10"/>
  <c r="B1733" i="10"/>
  <c r="B1732" i="10"/>
  <c r="B1731" i="10"/>
  <c r="B1730" i="10"/>
  <c r="B1729" i="10"/>
  <c r="B1728" i="10"/>
  <c r="B1727" i="10"/>
  <c r="B1726" i="10"/>
  <c r="B1725" i="10"/>
  <c r="B1724" i="10"/>
  <c r="B1723" i="10"/>
  <c r="B1722" i="10"/>
  <c r="B1721" i="10"/>
  <c r="B1720" i="10"/>
  <c r="B1719" i="10"/>
  <c r="B1718" i="10"/>
  <c r="B1717" i="10"/>
  <c r="B1716" i="10"/>
  <c r="B1715" i="10"/>
  <c r="B1714" i="10"/>
  <c r="B1713" i="10"/>
  <c r="B1712" i="10"/>
  <c r="B1711" i="10"/>
  <c r="B1710" i="10"/>
  <c r="B1709" i="10"/>
  <c r="B1708" i="10"/>
  <c r="B1707" i="10"/>
  <c r="B1706" i="10"/>
  <c r="B1705" i="10"/>
  <c r="B1704" i="10"/>
  <c r="B1703" i="10"/>
  <c r="B1702" i="10"/>
  <c r="B1701" i="10"/>
  <c r="B1700" i="10"/>
  <c r="B1699" i="10"/>
  <c r="B1698" i="10"/>
  <c r="B1697" i="10"/>
  <c r="B1696" i="10"/>
  <c r="B1695" i="10"/>
  <c r="B1694" i="10"/>
  <c r="B1693" i="10"/>
  <c r="B1692" i="10"/>
  <c r="B1691" i="10"/>
  <c r="B1690" i="10"/>
  <c r="B1689" i="10"/>
  <c r="B1688" i="10"/>
  <c r="B1687" i="10"/>
  <c r="B1686" i="10"/>
  <c r="B1685" i="10"/>
  <c r="B1684" i="10"/>
  <c r="B1683" i="10"/>
  <c r="B1682" i="10"/>
  <c r="B1681" i="10"/>
  <c r="B1680" i="10"/>
  <c r="B1679" i="10"/>
  <c r="B1678" i="10"/>
  <c r="B1677" i="10"/>
  <c r="B1676" i="10"/>
  <c r="B1675" i="10"/>
  <c r="B1674" i="10"/>
  <c r="B1673" i="10"/>
  <c r="B1672" i="10"/>
  <c r="B1671" i="10"/>
  <c r="B1670" i="10"/>
  <c r="B1669" i="10"/>
  <c r="B1668" i="10"/>
  <c r="B1667" i="10"/>
  <c r="B1666" i="10"/>
  <c r="B1665" i="10"/>
  <c r="B1664" i="10"/>
  <c r="B1663" i="10"/>
  <c r="B1662" i="10"/>
  <c r="B1661" i="10"/>
  <c r="B1660" i="10"/>
  <c r="B1659" i="10"/>
  <c r="B1658" i="10"/>
  <c r="B1657" i="10"/>
  <c r="B1656" i="10"/>
  <c r="B1655" i="10"/>
  <c r="B1654" i="10"/>
  <c r="B1653" i="10"/>
  <c r="B1652" i="10"/>
  <c r="B1651" i="10"/>
  <c r="B1650" i="10"/>
  <c r="B1649" i="10"/>
  <c r="B1648" i="10"/>
  <c r="B1647" i="10"/>
  <c r="B1646" i="10"/>
  <c r="B1645" i="10"/>
  <c r="B1644" i="10"/>
  <c r="B1643" i="10"/>
  <c r="B1642" i="10"/>
  <c r="B1641" i="10"/>
  <c r="B1640" i="10"/>
  <c r="B1639" i="10"/>
  <c r="B1638" i="10"/>
  <c r="B1637" i="10"/>
  <c r="B1636" i="10"/>
  <c r="B1635" i="10"/>
  <c r="B1634" i="10"/>
  <c r="B1633" i="10"/>
  <c r="B1632" i="10"/>
  <c r="B1631" i="10"/>
  <c r="B1630" i="10"/>
  <c r="B1629" i="10"/>
  <c r="B1628" i="10"/>
  <c r="B1627" i="10"/>
  <c r="B1626" i="10"/>
  <c r="B1625" i="10"/>
  <c r="B1624" i="10"/>
  <c r="B1623" i="10"/>
  <c r="B1622" i="10"/>
  <c r="B1621" i="10"/>
  <c r="B1620" i="10"/>
  <c r="B1619" i="10"/>
  <c r="B1618" i="10"/>
  <c r="B1617" i="10"/>
  <c r="B1616" i="10"/>
  <c r="B1615" i="10"/>
  <c r="B1614" i="10"/>
  <c r="B1613" i="10"/>
  <c r="B1612" i="10"/>
  <c r="B1611" i="10"/>
  <c r="B1610" i="10"/>
  <c r="B1609" i="10"/>
  <c r="B1608" i="10"/>
  <c r="B1607" i="10"/>
  <c r="B1606" i="10"/>
  <c r="B1605" i="10"/>
  <c r="B1604" i="10"/>
  <c r="B1603" i="10"/>
  <c r="B1602" i="10"/>
  <c r="B1601" i="10"/>
  <c r="B1600" i="10"/>
  <c r="B1599" i="10"/>
  <c r="B1598" i="10"/>
  <c r="B1597" i="10"/>
  <c r="B1596" i="10"/>
  <c r="B1595" i="10"/>
  <c r="B1594" i="10"/>
  <c r="B1593" i="10"/>
  <c r="B1592" i="10"/>
  <c r="B1591" i="10"/>
  <c r="B1590" i="10"/>
  <c r="B1589" i="10"/>
  <c r="B1588" i="10"/>
  <c r="B1587" i="10"/>
  <c r="B1586" i="10"/>
  <c r="B1585" i="10"/>
  <c r="B1584" i="10"/>
  <c r="B1583" i="10"/>
  <c r="B1582" i="10"/>
  <c r="B1581" i="10"/>
  <c r="B1580" i="10"/>
  <c r="B1579" i="10"/>
  <c r="B1578" i="10"/>
  <c r="B1577" i="10"/>
  <c r="B1576" i="10"/>
  <c r="B1575" i="10"/>
  <c r="B1574" i="10"/>
  <c r="B1573" i="10"/>
  <c r="B1572" i="10"/>
  <c r="B1571" i="10"/>
  <c r="B1570" i="10"/>
  <c r="B1569" i="10"/>
  <c r="B1568" i="10"/>
  <c r="B1567" i="10"/>
  <c r="B1566" i="10"/>
  <c r="B1565" i="10"/>
  <c r="B1564" i="10"/>
  <c r="B1563" i="10"/>
  <c r="B1562" i="10"/>
  <c r="B1561" i="10"/>
  <c r="B1560" i="10"/>
  <c r="B1559" i="10"/>
  <c r="B1558" i="10"/>
  <c r="B1557" i="10"/>
  <c r="B1556" i="10"/>
  <c r="B1555" i="10"/>
  <c r="B1554" i="10"/>
  <c r="B1553" i="10"/>
  <c r="B1552" i="10"/>
  <c r="B1551" i="10"/>
  <c r="B1550" i="10"/>
  <c r="B1549" i="10"/>
  <c r="B1548" i="10"/>
  <c r="B1547" i="10"/>
  <c r="B1546" i="10"/>
  <c r="B1545" i="10"/>
  <c r="B1544" i="10"/>
  <c r="B1543" i="10"/>
  <c r="B1542" i="10"/>
  <c r="B1541" i="10"/>
  <c r="B1540" i="10"/>
  <c r="B1539" i="10"/>
  <c r="B1538" i="10"/>
  <c r="B1537" i="10"/>
  <c r="B1536" i="10"/>
  <c r="B1535" i="10"/>
  <c r="B1534" i="10"/>
  <c r="B1533" i="10"/>
  <c r="B1532" i="10"/>
  <c r="B1531" i="10"/>
  <c r="B1530" i="10"/>
  <c r="B1529" i="10"/>
  <c r="B1528" i="10"/>
  <c r="B1527" i="10"/>
  <c r="B1526" i="10"/>
  <c r="B1525" i="10"/>
  <c r="B1524" i="10"/>
  <c r="B1523" i="10"/>
  <c r="B1522" i="10"/>
  <c r="B1521" i="10"/>
  <c r="B1520" i="10"/>
  <c r="B1519" i="10"/>
  <c r="B1518" i="10"/>
  <c r="B1517" i="10"/>
  <c r="B1516" i="10"/>
  <c r="B1515" i="10"/>
  <c r="B1514" i="10"/>
  <c r="B1513" i="10"/>
  <c r="B1512" i="10"/>
  <c r="B1511" i="10"/>
  <c r="B1510" i="10"/>
  <c r="B1509" i="10"/>
  <c r="B1508" i="10"/>
  <c r="B1507" i="10"/>
  <c r="B1506" i="10"/>
  <c r="B1505" i="10"/>
  <c r="B1504" i="10"/>
  <c r="B1503" i="10"/>
  <c r="B1502" i="10"/>
  <c r="B1501" i="10"/>
  <c r="B1500" i="10"/>
  <c r="B1499" i="10"/>
  <c r="B1498" i="10"/>
  <c r="B1497" i="10"/>
  <c r="B1496" i="10"/>
  <c r="B1495" i="10"/>
  <c r="B1494" i="10"/>
  <c r="B1493" i="10"/>
  <c r="B1492" i="10"/>
  <c r="B1491" i="10"/>
  <c r="B1490" i="10"/>
  <c r="B1489" i="10"/>
  <c r="B1488" i="10"/>
  <c r="B1487" i="10"/>
  <c r="B1486" i="10"/>
  <c r="B1485" i="10"/>
  <c r="B1484" i="10"/>
  <c r="B1483" i="10"/>
  <c r="B1482" i="10"/>
  <c r="B1481" i="10"/>
  <c r="B1480" i="10"/>
  <c r="B1479" i="10"/>
  <c r="B1478" i="10"/>
  <c r="B1477" i="10"/>
  <c r="B1476" i="10"/>
  <c r="B1475" i="10"/>
  <c r="B1474" i="10"/>
  <c r="B1473" i="10"/>
  <c r="B1472" i="10"/>
  <c r="B1471" i="10"/>
  <c r="B1470" i="10"/>
  <c r="B1469" i="10"/>
  <c r="B1468" i="10"/>
  <c r="B1467" i="10"/>
  <c r="B1466" i="10"/>
  <c r="B1465" i="10"/>
  <c r="B1464" i="10"/>
  <c r="B1463" i="10"/>
  <c r="B1462" i="10"/>
  <c r="B1461" i="10"/>
  <c r="B1460" i="10"/>
  <c r="B1459" i="10"/>
  <c r="B1458" i="10"/>
  <c r="B1457" i="10"/>
  <c r="B1456" i="10"/>
  <c r="B1455" i="10"/>
  <c r="B1454" i="10"/>
  <c r="B1453" i="10"/>
  <c r="B1452" i="10"/>
  <c r="B1451" i="10"/>
  <c r="B1450" i="10"/>
  <c r="B1449" i="10"/>
  <c r="B1448" i="10"/>
  <c r="B1447" i="10"/>
  <c r="B1446" i="10"/>
  <c r="B1445" i="10"/>
  <c r="B1444" i="10"/>
  <c r="B1443" i="10"/>
  <c r="B1442" i="10"/>
  <c r="B1441" i="10"/>
  <c r="B1440" i="10"/>
  <c r="B1439" i="10"/>
  <c r="B1438" i="10"/>
  <c r="B1437" i="10"/>
  <c r="B1436" i="10"/>
  <c r="B1435" i="10"/>
  <c r="B1434" i="10"/>
  <c r="B1433" i="10"/>
  <c r="B1432" i="10"/>
  <c r="B1431" i="10"/>
  <c r="B1430" i="10"/>
  <c r="B1429" i="10"/>
  <c r="B1428" i="10"/>
  <c r="B1427" i="10"/>
  <c r="B1426" i="10"/>
  <c r="B1425" i="10"/>
  <c r="B1424" i="10"/>
  <c r="B1423" i="10"/>
  <c r="B1422" i="10"/>
  <c r="B1421" i="10"/>
  <c r="B1420" i="10"/>
  <c r="B1419" i="10"/>
  <c r="B1418" i="10"/>
  <c r="B1417" i="10"/>
  <c r="B1416" i="10"/>
  <c r="B1415" i="10"/>
  <c r="B1414" i="10"/>
  <c r="B1413" i="10"/>
  <c r="B1412" i="10"/>
  <c r="B1411" i="10"/>
  <c r="B1410" i="10"/>
  <c r="B1409" i="10"/>
  <c r="B1408" i="10"/>
  <c r="B1407" i="10"/>
  <c r="B1406" i="10"/>
  <c r="B1405" i="10"/>
  <c r="B1404" i="10"/>
  <c r="B1403" i="10"/>
  <c r="B1402" i="10"/>
  <c r="B1401" i="10"/>
  <c r="B1400" i="10"/>
  <c r="B1399" i="10"/>
  <c r="B1398" i="10"/>
  <c r="B1397" i="10"/>
  <c r="B1396" i="10"/>
  <c r="B1395" i="10"/>
  <c r="B1394" i="10"/>
  <c r="B1393" i="10"/>
  <c r="B1392" i="10"/>
  <c r="B1391" i="10"/>
  <c r="B1390" i="10"/>
  <c r="B1389" i="10"/>
  <c r="B1388" i="10"/>
  <c r="B1387" i="10"/>
  <c r="B1386" i="10"/>
  <c r="B1385" i="10"/>
  <c r="B1384" i="10"/>
  <c r="B1383" i="10"/>
  <c r="B1382" i="10"/>
  <c r="B1381" i="10"/>
  <c r="B1380" i="10"/>
  <c r="B1379" i="10"/>
  <c r="B1378" i="10"/>
  <c r="B1377" i="10"/>
  <c r="B1376" i="10"/>
  <c r="B1375" i="10"/>
  <c r="B1374" i="10"/>
  <c r="B1373" i="10"/>
  <c r="B1372" i="10"/>
  <c r="B1371" i="10"/>
  <c r="B1370" i="10"/>
  <c r="B1369" i="10"/>
  <c r="B1368" i="10"/>
  <c r="B1367" i="10"/>
  <c r="B1366" i="10"/>
  <c r="B1365" i="10"/>
  <c r="B1364" i="10"/>
  <c r="B1363" i="10"/>
  <c r="B1362" i="10"/>
  <c r="B1361" i="10"/>
  <c r="B1360" i="10"/>
  <c r="B1359" i="10"/>
  <c r="B1358" i="10"/>
  <c r="B1357" i="10"/>
  <c r="B1356" i="10"/>
  <c r="B1355" i="10"/>
  <c r="B1354" i="10"/>
  <c r="B1353" i="10"/>
  <c r="B1352" i="10"/>
  <c r="B1351" i="10"/>
  <c r="B1350" i="10"/>
  <c r="B1349" i="10"/>
  <c r="B1348" i="10"/>
  <c r="B1347" i="10"/>
  <c r="B1346" i="10"/>
  <c r="B1345" i="10"/>
  <c r="B1344" i="10"/>
  <c r="B1343" i="10"/>
  <c r="B1342" i="10"/>
  <c r="B1341" i="10"/>
  <c r="B1340" i="10"/>
  <c r="B1339" i="10"/>
  <c r="B1338" i="10"/>
  <c r="B1337" i="10"/>
  <c r="B1336" i="10"/>
  <c r="B1335" i="10"/>
  <c r="B1334" i="10"/>
  <c r="B1333" i="10"/>
  <c r="B1332" i="10"/>
  <c r="B1331" i="10"/>
  <c r="B1330" i="10"/>
  <c r="B1329" i="10"/>
  <c r="B1328" i="10"/>
  <c r="B1327" i="10"/>
  <c r="B1326" i="10"/>
  <c r="B1325" i="10"/>
  <c r="B1324" i="10"/>
  <c r="B1323" i="10"/>
  <c r="B1322" i="10"/>
  <c r="B1321" i="10"/>
  <c r="B1320" i="10"/>
  <c r="B1319" i="10"/>
  <c r="B1318" i="10"/>
  <c r="B1317" i="10"/>
  <c r="B1316" i="10"/>
  <c r="B1315" i="10"/>
  <c r="B1314" i="10"/>
  <c r="B1313" i="10"/>
  <c r="B1312" i="10"/>
  <c r="B1311" i="10"/>
  <c r="B1310" i="10"/>
  <c r="B1309" i="10"/>
  <c r="B1308" i="10"/>
  <c r="B1307" i="10"/>
  <c r="B1306" i="10"/>
  <c r="B1305" i="10"/>
  <c r="B1304" i="10"/>
  <c r="B1303" i="10"/>
  <c r="B1302" i="10"/>
  <c r="B1301" i="10"/>
  <c r="B1300" i="10"/>
  <c r="B1299" i="10"/>
  <c r="B1298" i="10"/>
  <c r="B1297" i="10"/>
  <c r="B1296" i="10"/>
  <c r="B1295" i="10"/>
  <c r="B1294" i="10"/>
  <c r="B1293" i="10"/>
  <c r="B1292" i="10"/>
  <c r="B1291" i="10"/>
  <c r="B1290" i="10"/>
  <c r="B1289" i="10"/>
  <c r="B1288" i="10"/>
  <c r="B1287" i="10"/>
  <c r="B1286" i="10"/>
  <c r="B1285" i="10"/>
  <c r="B1284" i="10"/>
  <c r="B1283" i="10"/>
  <c r="B1282" i="10"/>
  <c r="B1281" i="10"/>
  <c r="B1280" i="10"/>
  <c r="B1279" i="10"/>
  <c r="B1278" i="10"/>
  <c r="B1277" i="10"/>
  <c r="B1276" i="10"/>
  <c r="B1275" i="10"/>
  <c r="B1274" i="10"/>
  <c r="B1273" i="10"/>
  <c r="B1272" i="10"/>
  <c r="B1271" i="10"/>
  <c r="B1270" i="10"/>
  <c r="B1269" i="10"/>
  <c r="B1268" i="10"/>
  <c r="B1267" i="10"/>
  <c r="B1266" i="10"/>
  <c r="B1265" i="10"/>
  <c r="B1264" i="10"/>
  <c r="B1263" i="10"/>
  <c r="B1262" i="10"/>
  <c r="B1261" i="10"/>
  <c r="B1260" i="10"/>
  <c r="B1259" i="10"/>
  <c r="B1258" i="10"/>
  <c r="B1257" i="10"/>
  <c r="B1256" i="10"/>
  <c r="B1255" i="10"/>
  <c r="B1254" i="10"/>
  <c r="B1253" i="10"/>
  <c r="B1252" i="10"/>
  <c r="B1251" i="10"/>
  <c r="B1250" i="10"/>
  <c r="B1249" i="10"/>
  <c r="B1248" i="10"/>
  <c r="B1247" i="10"/>
  <c r="B1246" i="10"/>
  <c r="B1245" i="10"/>
  <c r="B1244" i="10"/>
  <c r="B1243" i="10"/>
  <c r="B1242" i="10"/>
  <c r="B1241" i="10"/>
  <c r="B1240" i="10"/>
  <c r="B1239" i="10"/>
  <c r="B1238" i="10"/>
  <c r="B1237" i="10"/>
  <c r="B1236" i="10"/>
  <c r="B1235" i="10"/>
  <c r="B1234" i="10"/>
  <c r="B1233" i="10"/>
  <c r="B1232" i="10"/>
  <c r="B1231" i="10"/>
  <c r="B1230" i="10"/>
  <c r="B1229" i="10"/>
  <c r="B1228" i="10"/>
  <c r="B1227" i="10"/>
  <c r="B1226" i="10"/>
  <c r="B1225" i="10"/>
  <c r="B1224" i="10"/>
  <c r="B1223" i="10"/>
  <c r="B1222" i="10"/>
  <c r="B1221" i="10"/>
  <c r="B1220" i="10"/>
  <c r="B1219" i="10"/>
  <c r="B1218" i="10"/>
  <c r="B1217" i="10"/>
  <c r="B1216" i="10"/>
  <c r="B1215" i="10"/>
  <c r="B1214" i="10"/>
  <c r="B1213" i="10"/>
  <c r="B1212" i="10"/>
  <c r="B1211" i="10"/>
  <c r="B1210" i="10"/>
  <c r="B1209" i="10"/>
  <c r="B1208" i="10"/>
  <c r="B1207" i="10"/>
  <c r="B1206" i="10"/>
  <c r="B1205" i="10"/>
  <c r="B1204" i="10"/>
  <c r="B1203" i="10"/>
  <c r="B1202" i="10"/>
  <c r="B1201" i="10"/>
  <c r="B1200" i="10"/>
  <c r="B1199" i="10"/>
  <c r="B1198" i="10"/>
  <c r="B1197" i="10"/>
  <c r="B1196" i="10"/>
  <c r="B1195" i="10"/>
  <c r="B1194" i="10"/>
  <c r="B1193" i="10"/>
  <c r="B1192" i="10"/>
  <c r="B1191" i="10"/>
  <c r="B1190" i="10"/>
  <c r="B1189" i="10"/>
  <c r="B1188" i="10"/>
  <c r="B1187" i="10"/>
  <c r="B1186" i="10"/>
  <c r="B1185" i="10"/>
  <c r="B1184" i="10"/>
  <c r="B1183" i="10"/>
  <c r="B1182" i="10"/>
  <c r="B1181" i="10"/>
  <c r="B1180" i="10"/>
  <c r="B1179" i="10"/>
  <c r="B1178" i="10"/>
  <c r="B1177" i="10"/>
  <c r="B1176" i="10"/>
  <c r="B1175" i="10"/>
  <c r="B1174" i="10"/>
  <c r="B1173" i="10"/>
  <c r="B1172" i="10"/>
  <c r="B1171" i="10"/>
  <c r="B1170" i="10"/>
  <c r="B1169" i="10"/>
  <c r="B1168" i="10"/>
  <c r="B1167" i="10"/>
  <c r="B1166" i="10"/>
  <c r="B1165" i="10"/>
  <c r="B1164" i="10"/>
  <c r="B1163" i="10"/>
  <c r="B1162" i="10"/>
  <c r="B1161" i="10"/>
  <c r="B1160" i="10"/>
  <c r="B1159" i="10"/>
  <c r="B1158" i="10"/>
  <c r="B1157" i="10"/>
  <c r="B1156" i="10"/>
  <c r="B1155" i="10"/>
  <c r="B1154" i="10"/>
  <c r="B1153" i="10"/>
  <c r="B1152" i="10"/>
  <c r="B1151" i="10"/>
  <c r="B1150" i="10"/>
  <c r="B1149" i="10"/>
  <c r="B1148" i="10"/>
  <c r="B1147" i="10"/>
  <c r="B1146" i="10"/>
  <c r="B1145" i="10"/>
  <c r="B1144" i="10"/>
  <c r="B1143" i="10"/>
  <c r="B1142" i="10"/>
  <c r="B1141" i="10"/>
  <c r="B1140" i="10"/>
  <c r="B1139" i="10"/>
  <c r="B1138" i="10"/>
  <c r="B1137" i="10"/>
  <c r="B1136" i="10"/>
  <c r="B1135" i="10"/>
  <c r="B1134" i="10"/>
  <c r="B1133" i="10"/>
  <c r="B1132" i="10"/>
  <c r="B1131" i="10"/>
  <c r="B1130" i="10"/>
  <c r="B1129" i="10"/>
  <c r="B1128" i="10"/>
  <c r="B1127" i="10"/>
  <c r="B1126" i="10"/>
  <c r="B1125" i="10"/>
  <c r="B1124" i="10"/>
  <c r="B1123" i="10"/>
  <c r="B1122" i="10"/>
  <c r="B1121" i="10"/>
  <c r="B1120" i="10"/>
  <c r="B1119" i="10"/>
  <c r="B1118" i="10"/>
  <c r="B1117" i="10"/>
  <c r="B1116" i="10"/>
  <c r="B1115" i="10"/>
  <c r="B1114" i="10"/>
  <c r="B1113" i="10"/>
  <c r="B1112" i="10"/>
  <c r="B1111" i="10"/>
  <c r="B1110" i="10"/>
  <c r="B1109" i="10"/>
  <c r="B1108" i="10"/>
  <c r="B1107" i="10"/>
  <c r="B1106" i="10"/>
  <c r="B1105" i="10"/>
  <c r="B1104" i="10"/>
  <c r="B1103" i="10"/>
  <c r="B1102" i="10"/>
  <c r="B1101" i="10"/>
  <c r="B1100" i="10"/>
  <c r="B1099" i="10"/>
  <c r="B1098" i="10"/>
  <c r="B1097" i="10"/>
  <c r="B1096" i="10"/>
  <c r="B1095" i="10"/>
  <c r="B1094" i="10"/>
  <c r="B1093" i="10"/>
  <c r="B1092" i="10"/>
  <c r="B1091" i="10"/>
  <c r="B1090" i="10"/>
  <c r="B1089" i="10"/>
  <c r="B1088" i="10"/>
  <c r="B1087" i="10"/>
  <c r="B1086" i="10"/>
  <c r="B1085" i="10"/>
  <c r="B1084" i="10"/>
  <c r="B1083" i="10"/>
  <c r="B1082" i="10"/>
  <c r="B1081" i="10"/>
  <c r="B1080" i="10"/>
  <c r="B1079" i="10"/>
  <c r="B1078" i="10"/>
  <c r="B1077" i="10"/>
  <c r="B1076" i="10"/>
  <c r="B1075" i="10"/>
  <c r="B1074" i="10"/>
  <c r="B1073" i="10"/>
  <c r="B1072" i="10"/>
  <c r="B1071" i="10"/>
  <c r="B1070" i="10"/>
  <c r="B1069" i="10"/>
  <c r="B1068" i="10"/>
  <c r="B1067" i="10"/>
  <c r="B1066" i="10"/>
  <c r="B1065" i="10"/>
  <c r="B1064" i="10"/>
  <c r="B1063" i="10"/>
  <c r="B1062" i="10"/>
  <c r="B1061" i="10"/>
  <c r="B1060" i="10"/>
  <c r="B1059" i="10"/>
  <c r="B1058" i="10"/>
  <c r="B1057" i="10"/>
  <c r="B1056" i="10"/>
  <c r="B1055" i="10"/>
  <c r="B1054" i="10"/>
  <c r="B1053" i="10"/>
  <c r="B1052" i="10"/>
  <c r="B1051" i="10"/>
  <c r="B1050" i="10"/>
  <c r="B1049" i="10"/>
  <c r="B1048" i="10"/>
  <c r="B1047" i="10"/>
  <c r="B1046" i="10"/>
  <c r="B1045" i="10"/>
  <c r="B1044" i="10"/>
  <c r="B1043" i="10"/>
  <c r="B1042" i="10"/>
  <c r="B1041" i="10"/>
  <c r="B1040" i="10"/>
  <c r="B1039" i="10"/>
  <c r="B1038" i="10"/>
  <c r="B1037" i="10"/>
  <c r="B1036" i="10"/>
  <c r="B1035" i="10"/>
  <c r="B1034" i="10"/>
  <c r="B1033" i="10"/>
  <c r="B1032" i="10"/>
  <c r="B1031" i="10"/>
  <c r="B1030" i="10"/>
  <c r="B1029" i="10"/>
  <c r="B1028" i="10"/>
  <c r="B1027" i="10"/>
  <c r="B1026" i="10"/>
  <c r="B1025" i="10"/>
  <c r="B1024" i="10"/>
  <c r="B1023" i="10"/>
  <c r="B1022" i="10"/>
  <c r="B1021" i="10"/>
  <c r="B1020" i="10"/>
  <c r="B1019" i="10"/>
  <c r="B1018" i="10"/>
  <c r="B1017" i="10"/>
  <c r="B1016" i="10"/>
  <c r="B1015" i="10"/>
  <c r="B1014" i="10"/>
  <c r="B1013" i="10"/>
  <c r="B1012" i="10"/>
  <c r="B1011" i="10"/>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D13" i="34" l="1"/>
  <c r="H13" i="34" s="1"/>
  <c r="F15" i="34"/>
  <c r="H12" i="34"/>
  <c r="H11" i="34"/>
  <c r="H10" i="34"/>
  <c r="H9" i="34"/>
  <c r="H8" i="34"/>
  <c r="H7" i="34"/>
  <c r="H6" i="34"/>
  <c r="H5" i="34"/>
  <c r="H4" i="34"/>
  <c r="D15" i="34" l="1"/>
  <c r="H15" i="34" s="1"/>
</calcChain>
</file>

<file path=xl/sharedStrings.xml><?xml version="1.0" encoding="utf-8"?>
<sst xmlns="http://schemas.openxmlformats.org/spreadsheetml/2006/main" count="49186" uniqueCount="13576">
  <si>
    <t>2022-2023 ISEE Data Collection</t>
  </si>
  <si>
    <t>Last Updated</t>
  </si>
  <si>
    <t>Sheet 1</t>
  </si>
  <si>
    <t>Table of Contents</t>
  </si>
  <si>
    <t>Sheet 2</t>
  </si>
  <si>
    <t>Items Document Map</t>
  </si>
  <si>
    <t>Sheet 3</t>
  </si>
  <si>
    <t>Items Details</t>
  </si>
  <si>
    <t>Sheet 4</t>
  </si>
  <si>
    <t>Option Sets Map</t>
  </si>
  <si>
    <t>Sheet 5</t>
  </si>
  <si>
    <t>Option Sets Details</t>
  </si>
  <si>
    <t>Sheet 6</t>
  </si>
  <si>
    <t>IDCTE Certs</t>
  </si>
  <si>
    <t>Sheet 7</t>
  </si>
  <si>
    <t>Assignment Changes</t>
  </si>
  <si>
    <t>Sheet 8</t>
  </si>
  <si>
    <t>Assignments_Endorsements</t>
  </si>
  <si>
    <t>Sheet 9</t>
  </si>
  <si>
    <t>Districts and Schools</t>
  </si>
  <si>
    <t>Sheet 10</t>
  </si>
  <si>
    <t>Changes</t>
  </si>
  <si>
    <t>File List</t>
  </si>
  <si>
    <t>SY22-23</t>
  </si>
  <si>
    <t>SY21-22</t>
  </si>
  <si>
    <t>Change</t>
  </si>
  <si>
    <t>Master Course Schedule</t>
  </si>
  <si>
    <t>Student Demographics</t>
  </si>
  <si>
    <t>Student Course Enrollment</t>
  </si>
  <si>
    <t>Student Attendance</t>
  </si>
  <si>
    <t>District Calendars</t>
  </si>
  <si>
    <t>Special Education Students</t>
  </si>
  <si>
    <t>Gifted Students</t>
  </si>
  <si>
    <t>Staff Demographics and Employment</t>
  </si>
  <si>
    <t>Edited</t>
  </si>
  <si>
    <t>►</t>
  </si>
  <si>
    <t>Staff Assignments</t>
  </si>
  <si>
    <t>Disciplinary Action</t>
  </si>
  <si>
    <t>Total Possible Items</t>
  </si>
  <si>
    <t>Items Document Map - ISEE Program Contacts</t>
  </si>
  <si>
    <t>Program Contacts</t>
  </si>
  <si>
    <t>Items Document Map - ISEE Annual School Finance</t>
  </si>
  <si>
    <t>FY22-23</t>
  </si>
  <si>
    <t>FY21-22</t>
  </si>
  <si>
    <t>Annual School Finance (FY2022-2023)</t>
  </si>
  <si>
    <t>Items Document Map -  ISEE Financial Transparency</t>
  </si>
  <si>
    <t>New</t>
  </si>
  <si>
    <t>Financial Tranparency</t>
  </si>
  <si>
    <t>For the date reported, was the student identified as a Self Directed Learner as defined in Idaho Code 33-512D. SELF-DIRECTED LEARNER DESIGNATION.</t>
  </si>
  <si>
    <t>Collection</t>
  </si>
  <si>
    <t>Section</t>
  </si>
  <si>
    <t>Section Name</t>
  </si>
  <si>
    <t>Item Number</t>
  </si>
  <si>
    <t>Item Description</t>
  </si>
  <si>
    <t>Field Name</t>
  </si>
  <si>
    <t>Repeatable</t>
  </si>
  <si>
    <t>Definition</t>
  </si>
  <si>
    <t>Office</t>
  </si>
  <si>
    <t>Steward</t>
  </si>
  <si>
    <t>Data Type</t>
  </si>
  <si>
    <t>Format</t>
  </si>
  <si>
    <t>Option Set Name</t>
  </si>
  <si>
    <t>Min Value</t>
  </si>
  <si>
    <t>Max Value</t>
  </si>
  <si>
    <t>Required</t>
  </si>
  <si>
    <t>Logic</t>
  </si>
  <si>
    <t xml:space="preserve">Why It Is Collected </t>
  </si>
  <si>
    <t>Federal</t>
  </si>
  <si>
    <t>State</t>
  </si>
  <si>
    <t>Collect Agg/Disagg</t>
  </si>
  <si>
    <t>Report Agg/DisAgg</t>
  </si>
  <si>
    <t>Validation Why</t>
  </si>
  <si>
    <t>ISEE - v13</t>
  </si>
  <si>
    <t>0</t>
  </si>
  <si>
    <t>1</t>
  </si>
  <si>
    <t>School Identification Code</t>
  </si>
  <si>
    <t>schoolId</t>
  </si>
  <si>
    <t>The SDE assigned four-digit number associated with the school.</t>
  </si>
  <si>
    <t>Option Set</t>
  </si>
  <si>
    <t>9999</t>
  </si>
  <si>
    <t>Schools</t>
  </si>
  <si>
    <t>PSF, ESEA/ESSA, Certification, SPED,  Validation</t>
  </si>
  <si>
    <t>Y</t>
  </si>
  <si>
    <t>DisAgg</t>
  </si>
  <si>
    <t>2</t>
  </si>
  <si>
    <t>Course Code</t>
  </si>
  <si>
    <t>courseCode</t>
  </si>
  <si>
    <t xml:space="preserve">The Idaho state course code that best outlines the particular course section.  This code should be the same code used when matching  records between Staff Assignments, Student Course Enrollments and Master Course Schedule files.  </t>
  </si>
  <si>
    <t>999999</t>
  </si>
  <si>
    <t>PSF, ESEA/ESSA, Certification, SPED,  Adv. Opps, OSBE, Validation</t>
  </si>
  <si>
    <t>3</t>
  </si>
  <si>
    <t>Course Type</t>
  </si>
  <si>
    <t>courseType</t>
  </si>
  <si>
    <t>The structure and environment for the course.</t>
  </si>
  <si>
    <t>X</t>
  </si>
  <si>
    <t>PSF, ESEA/ESSA, Certification, Adv. Opps,  Validation</t>
  </si>
  <si>
    <t>4</t>
  </si>
  <si>
    <t>Instructional Setting</t>
  </si>
  <si>
    <t>setting</t>
  </si>
  <si>
    <t>Regarding instruction type, the typical instructional setting for this course section.</t>
  </si>
  <si>
    <t>XX</t>
  </si>
  <si>
    <t>PSF, ESEA/ESSA, Certification, SPED,  Adv. Opps, Validation</t>
  </si>
  <si>
    <t>5</t>
  </si>
  <si>
    <t>Minutes Per Week</t>
  </si>
  <si>
    <t>minsWeek</t>
  </si>
  <si>
    <t>Minutes per week the class is in session.  If course is a block schedule class with different times per week (e.g. meets M/W/F one week and T/Th the next) then average the time across the two weeks.</t>
  </si>
  <si>
    <t>PSF, CTE, Validation</t>
  </si>
  <si>
    <t>N</t>
  </si>
  <si>
    <t>State minimum requirements</t>
  </si>
  <si>
    <t>6</t>
  </si>
  <si>
    <t>Content Grade Level</t>
  </si>
  <si>
    <t>gradeLevel</t>
  </si>
  <si>
    <t>The instructional content grade level (regardless of the grade level of the students enrolled).</t>
  </si>
  <si>
    <t>PSF, Certification, SPED,  Adv. Opps, OSBE, Validation</t>
  </si>
  <si>
    <t>7</t>
  </si>
  <si>
    <t>Section Period</t>
  </si>
  <si>
    <t>period</t>
  </si>
  <si>
    <t>The period of the day for the instructional course/assignment section</t>
  </si>
  <si>
    <t>XXXXXXXXXXXXXXX</t>
  </si>
  <si>
    <t>Validation</t>
  </si>
  <si>
    <t>8</t>
  </si>
  <si>
    <t>Section Identification</t>
  </si>
  <si>
    <t>sectionId</t>
  </si>
  <si>
    <t xml:space="preserve">The unique identifier for the specific section of an instructional course/assignment. </t>
  </si>
  <si>
    <t>XXXXXXXXXXXXXXXXXXXXXXXXX</t>
  </si>
  <si>
    <t>ESEA/ESSA, Adv. Opps, Validation</t>
  </si>
  <si>
    <t>9</t>
  </si>
  <si>
    <t>Section Alias Name</t>
  </si>
  <si>
    <t>sectionAlias</t>
  </si>
  <si>
    <t xml:space="preserve">The district section name associated with the section ID number for the specific section of an instructional course/assignment. </t>
  </si>
  <si>
    <t>10</t>
  </si>
  <si>
    <t>Section Start Date</t>
  </si>
  <si>
    <t>sectionStartDate</t>
  </si>
  <si>
    <t xml:space="preserve">The date in which the section is to start; matching Staff Assignments and Student Course Enrollments should not start before this date. </t>
  </si>
  <si>
    <t>Date</t>
  </si>
  <si>
    <t>MM/DD/YYYY or MM/DD/YY</t>
  </si>
  <si>
    <t>11</t>
  </si>
  <si>
    <t>Section End Date</t>
  </si>
  <si>
    <t>sectionEndDate</t>
  </si>
  <si>
    <t xml:space="preserve">The date in which the section is to end; matching Staff Assignments and Student Course Enrollments should not end after this date. </t>
  </si>
  <si>
    <t>12</t>
  </si>
  <si>
    <t>Provider School</t>
  </si>
  <si>
    <t>providerSchool</t>
  </si>
  <si>
    <t>The institution providing instruction of a non-regular course, i.e. virtual or distance learning.</t>
  </si>
  <si>
    <t>Conditional</t>
  </si>
  <si>
    <t>PSF, ESEA/ESSA, Certification, Adv. Opps., CTE</t>
  </si>
  <si>
    <t>13</t>
  </si>
  <si>
    <t>Provider School Name</t>
  </si>
  <si>
    <t>providerSchoolName</t>
  </si>
  <si>
    <t>The name of the institution providing instruction of a non-regular course, i.e. virtual or distance learning. Use this for ProviderSchool code 9999 or 0999 option sets.</t>
  </si>
  <si>
    <t>14</t>
  </si>
  <si>
    <t>Provider Instructor</t>
  </si>
  <si>
    <t>providerInstructor</t>
  </si>
  <si>
    <t>The EDUID of the teacher of the course.  This is the employee of the provider school.  Only applies to non-regular course, for example virtual or distance learning courses.</t>
  </si>
  <si>
    <t>15</t>
  </si>
  <si>
    <t>Provider Instructor Name</t>
  </si>
  <si>
    <t>providerInstructorName</t>
  </si>
  <si>
    <t>The Name of the teacher of the course.  This is the employee of the provider school.  Only applies to non-regular course, for example virtual or distance learning courses.</t>
  </si>
  <si>
    <t>Idaho State Student ID</t>
  </si>
  <si>
    <t>idStuId</t>
  </si>
  <si>
    <t>The student's assigned unique Idaho identification number.</t>
  </si>
  <si>
    <t>PSF, Validation</t>
  </si>
  <si>
    <t>SDE Validation, SDE Research, Sub-group reporting</t>
  </si>
  <si>
    <t>Last Name</t>
  </si>
  <si>
    <t>lastName</t>
  </si>
  <si>
    <t>The complete legal surname/family name(s). That which may be inherited (passed) to an individual at birth, baptism, or during another naming ceremony, or through legal change.</t>
  </si>
  <si>
    <t>SDE Validation</t>
  </si>
  <si>
    <t>First Name</t>
  </si>
  <si>
    <t>firstName</t>
  </si>
  <si>
    <t>The complete legal given first name(s) given to an individual at birth, baptism, or during another naming ceremony, or through legal change.</t>
  </si>
  <si>
    <t>Middle Name</t>
  </si>
  <si>
    <t>middleName</t>
  </si>
  <si>
    <t>The complete legal given secondary name(s) given to an individual at birth, baptism, or during another naming ceremony.</t>
  </si>
  <si>
    <t>Optional</t>
  </si>
  <si>
    <t>Name Suffix</t>
  </si>
  <si>
    <t>suffix</t>
  </si>
  <si>
    <t>An appendage, if any, used to denote an individual's generation in his family (e.g., Jr., Sr., III).</t>
  </si>
  <si>
    <t>Birth Date</t>
  </si>
  <si>
    <t>birthDate</t>
  </si>
  <si>
    <t>The month, day, and year on which an individual was born.</t>
  </si>
  <si>
    <t>Validation, PSF, SPED, Edfacts</t>
  </si>
  <si>
    <t>Gender</t>
  </si>
  <si>
    <t>gender</t>
  </si>
  <si>
    <t>A person's gender -- either Male or Female</t>
  </si>
  <si>
    <t>ESEA/ESSA, EdFacts, OCR, EDEN</t>
  </si>
  <si>
    <t>Is Hispanic</t>
  </si>
  <si>
    <t>hispanic</t>
  </si>
  <si>
    <t>A flag indicating if the individual is Hispanic or Latino. An indication that the person traces his or her origin or descent to Mexico, Puerto Rico, Cuba, Central and South America, and other Spanish cultures, regardless of race.</t>
  </si>
  <si>
    <t>Yes/No</t>
  </si>
  <si>
    <t>Is Asian</t>
  </si>
  <si>
    <t>asian</t>
  </si>
  <si>
    <t xml:space="preserve">A flag indicating if the individual is Asian. A person having origins in any of the original peoples of the Far East, Southeast Asia, or the Indian Subcontinent. This area includes, for example, Cambodia, China, India, Japan, Korea, Malaysia, Pakistan, the Philippine Islands, Thailand, and Vietnam.
</t>
  </si>
  <si>
    <t>Is American Indian or Alaska Native</t>
  </si>
  <si>
    <t>indian</t>
  </si>
  <si>
    <t xml:space="preserve">A flag indicating if the individual is American Indian or Alaskan Native.  A person having origins in any of the original peoples of North and South America (including Central America), and who maintains cultural identification through tribal affiliation or community attachment.
</t>
  </si>
  <si>
    <t>Is Black or African American</t>
  </si>
  <si>
    <t>black</t>
  </si>
  <si>
    <t xml:space="preserve">A flag indicating if the individual is African American. A person having origins in any of the black racial groups of Africa.
</t>
  </si>
  <si>
    <t>Is Native Hawaiian or Pacific Islander</t>
  </si>
  <si>
    <t>islander</t>
  </si>
  <si>
    <t>A flag indicating if the individual is Native Hawaiian or Other Pacific Islander. A person having origins in any of the original peoples of Hawaii, Guam, Samoa, or other Pacific Islands.</t>
  </si>
  <si>
    <t>Is White</t>
  </si>
  <si>
    <t>white</t>
  </si>
  <si>
    <t>A flag indicating if the individual is White or Caucasian. A person having origins in any of the original peoples of Europe, Middle East, or North Africa.</t>
  </si>
  <si>
    <t>Base School ID</t>
  </si>
  <si>
    <t>baseSchoolId</t>
  </si>
  <si>
    <t>The SDE assigned four-digit number associated with the school (within your district) primarily responsible for the academic instruction, educational services and achievement of the student for the current enrollment period.</t>
  </si>
  <si>
    <t>PSF, ESEA/ESSA, EdFacts, OCR, EDEN</t>
  </si>
  <si>
    <t>County of Residence</t>
  </si>
  <si>
    <t>county</t>
  </si>
  <si>
    <t xml:space="preserve">The County of residence for the student's home address.  </t>
  </si>
  <si>
    <t>99</t>
  </si>
  <si>
    <t>Idaho Counties</t>
  </si>
  <si>
    <t>PSF, Adv. Opps</t>
  </si>
  <si>
    <t>16</t>
  </si>
  <si>
    <t>Zip Code</t>
  </si>
  <si>
    <t>zip</t>
  </si>
  <si>
    <t>The Postal Service zip code for the student's home address.  Either just the first five digits or the full zip+4 (without any dashes or spaces).</t>
  </si>
  <si>
    <t>99999 or 999999999</t>
  </si>
  <si>
    <t>Validation, State for Forest Fund Calculations,  Direct Certification</t>
  </si>
  <si>
    <t>17</t>
  </si>
  <si>
    <t>Is Private or Home Schooled</t>
  </si>
  <si>
    <t>phSchool</t>
  </si>
  <si>
    <t>A flag indicating that student receives majority of educational instruction using the curriculum adopted by the parent/guardian or private (or non-public) entity.</t>
  </si>
  <si>
    <t>PH School</t>
  </si>
  <si>
    <t>PSF, Edfacts Validation</t>
  </si>
  <si>
    <t>18</t>
  </si>
  <si>
    <t>Grade Level</t>
  </si>
  <si>
    <t xml:space="preserve">The code identifying the grade level of the student. </t>
  </si>
  <si>
    <t>Birthdate, Student Demographics, Course Enrollement, Provider School Table</t>
  </si>
  <si>
    <t>19</t>
  </si>
  <si>
    <t>Grade Point Average UnWeighted</t>
  </si>
  <si>
    <t>uGPA</t>
  </si>
  <si>
    <t>The unweighted cumulative grade point average covering all high school transcript credits. Calculated on a 4.0 maximum scale. Used in aiding the student with the Idaho Opportunity Scholarship as well as the application process for Idaho’s public colleges and universities.</t>
  </si>
  <si>
    <t>Board of Ed</t>
  </si>
  <si>
    <t>Number</t>
  </si>
  <si>
    <t>9.99</t>
  </si>
  <si>
    <t>0.00</t>
  </si>
  <si>
    <t>4.00</t>
  </si>
  <si>
    <t>OSBE</t>
  </si>
  <si>
    <t>20</t>
  </si>
  <si>
    <t>Economic Disadvantage Status</t>
  </si>
  <si>
    <t>econDisStatus</t>
  </si>
  <si>
    <t>An indicator of how the student meets the criteria for classification as having an economic disadvantage status; using Direct Certification, eligibility of free or reduced price lunches through a National School Lunch Program, or other qualifying measures such as household income surveys.</t>
  </si>
  <si>
    <t>Economic Disadvantage</t>
  </si>
  <si>
    <t>USDA, EDFacts, ESEA/ESSA</t>
  </si>
  <si>
    <t>21</t>
  </si>
  <si>
    <t>Is Special Ed</t>
  </si>
  <si>
    <t>specialEd</t>
  </si>
  <si>
    <t>A flag indicating if the student has an active Individualized Education Program (IEP) or Service Plan (SP) under the IDEA, part B.</t>
  </si>
  <si>
    <t>22</t>
  </si>
  <si>
    <t>Is 504</t>
  </si>
  <si>
    <t>A cumulative flag indicating if the student has (or had) an active education plan under the rules of section 504 of the Rehabilitation act, during their current base school enrollment in the current school-year.</t>
  </si>
  <si>
    <t>IDEA and OSEP compliance, EDFacts, OCR</t>
  </si>
  <si>
    <t>23</t>
  </si>
  <si>
    <t>At Risk</t>
  </si>
  <si>
    <t>atRisk</t>
  </si>
  <si>
    <t>PSF</t>
  </si>
  <si>
    <t>24</t>
  </si>
  <si>
    <t>Military Connected Student</t>
  </si>
  <si>
    <t>militaryConnected</t>
  </si>
  <si>
    <t>The identification of how a student is military connected as a dependent of at least one Active Duty member (parent or guardian) of the United States Armed Forces military services.</t>
  </si>
  <si>
    <t>Military Connection</t>
  </si>
  <si>
    <t>ESEA/ESSA</t>
  </si>
  <si>
    <t>25</t>
  </si>
  <si>
    <t>Is Title I Served</t>
  </si>
  <si>
    <t>servedTitleI</t>
  </si>
  <si>
    <t>A cumulative flag indicating if the student has received services under the rules of Title IA of ESSA at any time during their current base school enrollment in the current school-year. For students attending a Title I, Part A public school operating a Schoolwide Program report Yes for all students.</t>
  </si>
  <si>
    <t>Title Program Funding</t>
  </si>
  <si>
    <t>26</t>
  </si>
  <si>
    <t xml:space="preserve">Is Idaho Resident </t>
  </si>
  <si>
    <t>idResident</t>
  </si>
  <si>
    <t>A flag indicating if the student is a permanent resident of Idaho. (read more below)
Border In Students - No 
Foreign Exchange Visitors/Students - No</t>
  </si>
  <si>
    <t>PSF, EDFacts</t>
  </si>
  <si>
    <t xml:space="preserve"> </t>
  </si>
  <si>
    <t>27</t>
  </si>
  <si>
    <t>On Educational (F1) Visa</t>
  </si>
  <si>
    <t>onVisa</t>
  </si>
  <si>
    <t>A flag indicating if the student is on an Educational (F-1) Visa. (read more below)
F-1 visa students can only attend schools that have a SEVP certification with Department of Homeland Security (DHS). 
F-1 visa students are issued Form I-20s.</t>
  </si>
  <si>
    <t>Yes/No/NA</t>
  </si>
  <si>
    <t>28</t>
  </si>
  <si>
    <t>Is Gifted/Talented</t>
  </si>
  <si>
    <t>gifted</t>
  </si>
  <si>
    <t>A flag indicating if the student is Gifted and/or Talented.</t>
  </si>
  <si>
    <t>29</t>
  </si>
  <si>
    <t>Is Homeless</t>
  </si>
  <si>
    <t>homeless</t>
  </si>
  <si>
    <t>A cumulative flag indicating whether an individual ever lacked a fixed, regular, and adequate nighttime residence during their enrollment in the district for the current school-year. Includes 1) children and youths who are sharing the housing of other persons due to loss of housing, economic hardship, or similar reason; are living in motels, hotels, trailer parks, or camping grounds due to the lack of alternative accommodations; are living in emergency or transitional shelters; are abandoned in hospitals; 2) children and youths who have a primary nighttime residence that is a public or private place not designed for or ordinarily used as a regular sleeping accommodation for human beings…  3) children and youths who are living in cars, parks, public spaces, abandoned buildings, substandard housing, bus or train stations, or similar settings; and 4) migratory children who qualify as homeless for the purposes of this subtitle because the children are living in circumstances described in 1 through 3.</t>
  </si>
  <si>
    <t>EDFacts, Title Program Funding</t>
  </si>
  <si>
    <t>30</t>
  </si>
  <si>
    <t>If Homeless, is an unaccompanied youth</t>
  </si>
  <si>
    <t>homelessUAY</t>
  </si>
  <si>
    <t>A cumulative flag for a student who is (or was) homeless during their enrollment in the district for the current school-year. Was this student ever identified as an unaccompanied youth; a youth who was not in the physical custody of a parent or guardian AND who fit the McKinney-Vento definition of homeless? This field is required when [homeless ] = Y</t>
  </si>
  <si>
    <t>31</t>
  </si>
  <si>
    <t>Homeless Residence</t>
  </si>
  <si>
    <t>homelessResidence</t>
  </si>
  <si>
    <t>An indication of a homeless student's initial primary nighttime residence at the time they were first identified as being homeless during their enrollment in the district for the current school-year.</t>
  </si>
  <si>
    <t>32</t>
  </si>
  <si>
    <t>Is Bus Rider</t>
  </si>
  <si>
    <t>busRider</t>
  </si>
  <si>
    <t xml:space="preserve">A flag indicating if the student is eligible to receive transportation to and from school, by the LEA.
Student eligibility for state funded student transportation services is defined in Idaho Codes 33-1501, 33-1502, and 33-5208(4).
Resides within the LEA boundary, supported by physical address, or resides within the LEA boundaries and meets the safety busing criteria, supported by address, and are registered to ride. 
Students with disability only need meet LEA residence, supported  by physical address and are registered to ride. 
If homeless are transported and registered to ride, claim as eligible. 
A student with disabilities whose Individualized Education Plan (IEP) requires transportation is eligible for transportation as a related service (IDEA) under the Student Transportation Support Program regardless of distance from the school.
Students who attend school at an alternate location as assigned by the local board of trustees may be expected to walk reasonable distances between schools (IC Idaho Code 33-1501).  
Transporting or shuttling students between schools or buildings in conjunction with non-reimbursable programs is a non-reimbursable expense and all such mileage shall be documented and tracked as non-reimbursable shuttle miles. 
</t>
  </si>
  <si>
    <t>33</t>
  </si>
  <si>
    <t>Is Border Student</t>
  </si>
  <si>
    <t>borderStudent</t>
  </si>
  <si>
    <t>A flag indicating if this is a student crossing state lines to attend school.  Border Out means an Idaho resident attending in another state, and the Idaho district is paying tuition for that student.  Border In means a resident of another state attending an Idaho school, for which the Idaho district is receiving tuition (excluded from funding calculations).  Include the ID for the exchange district in the border district ID field.</t>
  </si>
  <si>
    <t>Border Student</t>
  </si>
  <si>
    <t>PFS, EDFacts</t>
  </si>
  <si>
    <t>Transportation</t>
  </si>
  <si>
    <t>34</t>
  </si>
  <si>
    <t>Other Border District ID</t>
  </si>
  <si>
    <t>borderId</t>
  </si>
  <si>
    <t>For border students, the SDE assigned ID for the other district involved in the exchange of this border student. Contact SDE for this identifier.</t>
  </si>
  <si>
    <t>35</t>
  </si>
  <si>
    <t>Is Immigrant</t>
  </si>
  <si>
    <t>immigrant</t>
  </si>
  <si>
    <t>An indication that the child is eligible as “immigrant children and youth,” which is defined under Title III in Section 3201(5) of the ESEA, referring to individuals who: (A) are aged 3 through 21; (B) were not born in any State; and (C) have not been attending one or more schools in any one or more States for more than 3 full academic years. 
Note: “State” is defined in Section 3201(13) of the ESEA to include the 50 States, the District of Columbia, and Puerto Rico. Therefore, students born in Puerto Rico may not be included as “immigrant” students under Title III. 
Note: The term “immigrant” as used in Title III is not related to an individual's legal status in the United States.
Note: A student is NOT considered a Title III immigrant if the student has been attending one or more schools in any States for a total of more than 3 full academic years.</t>
  </si>
  <si>
    <t>EdFacts, ESEA/ESSA</t>
  </si>
  <si>
    <t>36</t>
  </si>
  <si>
    <t>Immigrant US School Begin Date</t>
  </si>
  <si>
    <t>immigrantEntry</t>
  </si>
  <si>
    <t>For Immigrant students, the year, month and day of initial enrollment into any United States school. The month and year are all that are critical. -- use the first of the month if the day of the date is unknown.
Note: Only report for [immigrant] = Y</t>
  </si>
  <si>
    <t>37</t>
  </si>
  <si>
    <t>Immigrant Native Language</t>
  </si>
  <si>
    <t>nativeLanguage</t>
  </si>
  <si>
    <t>For Immigrant students, the dominant or most frequent language spoken in the home. 
(Note: A list of language codes is currently maintained and updated by the ISO as ISO 639-2) 
Note: Only report for [immigrant] = Y</t>
  </si>
  <si>
    <t>Languages</t>
  </si>
  <si>
    <t>38</t>
  </si>
  <si>
    <t>Immigrant Home Country Code</t>
  </si>
  <si>
    <t>country</t>
  </si>
  <si>
    <t>For Immigrant students, the code for the country in which an individual is born. 
(Note: A list of countries and codes is currently maintained and updated by the International Organization for Standardization as ISO 3166.)
Note: Only report for [immigrant] = Y</t>
  </si>
  <si>
    <t>Country</t>
  </si>
  <si>
    <t>39</t>
  </si>
  <si>
    <t>Typically Developing Peer</t>
  </si>
  <si>
    <t>tdPeer</t>
  </si>
  <si>
    <t>Is the student enrolled as a Typically Developing Peer in an early childhood or pre-kindergarten program.  Typically Developing Peers act as role models for early childhood special education students.</t>
  </si>
  <si>
    <t>Title programs, SPED</t>
  </si>
  <si>
    <t>40</t>
  </si>
  <si>
    <t>Is Self Directed Learner</t>
  </si>
  <si>
    <t>selfDirectedLearner</t>
  </si>
  <si>
    <t>For grade levels K-12, during the current school year base school enrollment, was this student ever identified as a Self-Directed Learner as defined by Idaho Code 33-512D. SELF-DIRECTED LEARNER DESIGNATION</t>
  </si>
  <si>
    <t>41</t>
  </si>
  <si>
    <t>Earned Industry Certification</t>
  </si>
  <si>
    <t>earnedIndustryCert</t>
  </si>
  <si>
    <t>For (grade levels 9-12) during the current school year base school enrollment, has this student earned an industry recognized, CTE approved, certificate? 
(See list of approved certs on the IDCTE Certs tab)
IDAPA 08.02.03.112.03 - College and career readiness is determined by any High School participation in advanced opportunities, earning industry recognized certification(s), and/or participation in recognized high school apprenticeship program(s).</t>
  </si>
  <si>
    <t>42</t>
  </si>
  <si>
    <t>Apprenticeship Participant</t>
  </si>
  <si>
    <t>apprenticeshipParticipant</t>
  </si>
  <si>
    <t>For (grade levels 9-12) during the current school year base school enrollment, has/is this student participating in School to Registered Apprenticeship Program (STRAP)?
IDAPA 08.02.03.112.03 - College and career readiness is determined by any High School participation in advanced opportunities, earning industry recognized certification(s), and/or participation in recognized high school apprenticeship program(s).</t>
  </si>
  <si>
    <t>43</t>
  </si>
  <si>
    <t>Is Chronically Absent</t>
  </si>
  <si>
    <t>chronicallyAbsent</t>
  </si>
  <si>
    <t>A flag indicating if the student was enrolled in the baseSchool for at least 10 school days at any time during the school year, and missed at least 10% of the total school days in which they were enrolled at the baseSchool. Absent means, students who miss more than 50% of a school day, for any reason. Grades K-12 only. Report upon School Exit.</t>
  </si>
  <si>
    <t>44</t>
  </si>
  <si>
    <t>District Entry Date</t>
  </si>
  <si>
    <t>districtEntryDate</t>
  </si>
  <si>
    <t>The month, day, and year on which the student (re)entered and began to receive instructional services in the district during the current school year.</t>
  </si>
  <si>
    <t>PSF, EdFacts, Adv. Opps.</t>
  </si>
  <si>
    <t>45</t>
  </si>
  <si>
    <t>District Entry Reason</t>
  </si>
  <si>
    <t>districtEntryType</t>
  </si>
  <si>
    <t>The process by which a student entered the school district.</t>
  </si>
  <si>
    <t>Entry Reasons</t>
  </si>
  <si>
    <t>46</t>
  </si>
  <si>
    <t>School Entry Date</t>
  </si>
  <si>
    <t>schoolEntryDate</t>
  </si>
  <si>
    <t>The month, day, and year on which the student entered and began to receive instructional services at the school during the current school year.</t>
  </si>
  <si>
    <t>47</t>
  </si>
  <si>
    <t>School Entry Reason</t>
  </si>
  <si>
    <t>schoolEntryType</t>
  </si>
  <si>
    <t>The process by which a student entered the school.</t>
  </si>
  <si>
    <t>48</t>
  </si>
  <si>
    <t>School Exit Date</t>
  </si>
  <si>
    <t>schoolExitDate</t>
  </si>
  <si>
    <t>The month, day, and year of the date of an individual's last attendance in school, the day on which an individual graduated, or the date on which it becomes known officially that an individual left that school  for this particular school year. (including changing schools within the district)</t>
  </si>
  <si>
    <t>49</t>
  </si>
  <si>
    <t>School Exit Reason</t>
  </si>
  <si>
    <t>schoolExitType</t>
  </si>
  <si>
    <t>The circumstances under which the student has exited from the school.</t>
  </si>
  <si>
    <t>Exit Reasons</t>
  </si>
  <si>
    <t>50</t>
  </si>
  <si>
    <t>District Exit Date</t>
  </si>
  <si>
    <t>districtExitDate</t>
  </si>
  <si>
    <t>The month, day, and year of the individual's last day of attendance (if known) within the District, the day on which an individual graduated, or the date on which it becomes known officially that an individual left the District for this particular school year.</t>
  </si>
  <si>
    <t>51</t>
  </si>
  <si>
    <t>District Exit Reason</t>
  </si>
  <si>
    <t>districtExitType</t>
  </si>
  <si>
    <t>The circumstances under which the student exited from membership in the district</t>
  </si>
  <si>
    <t xml:space="preserve">  0</t>
  </si>
  <si>
    <t>SLDS, Validation</t>
  </si>
  <si>
    <t>The SDE assigned four-digit number associated with the school where the student is enrolled in courses.</t>
  </si>
  <si>
    <t>PSF, EdFacts,  ESEA/ESSA, Certification, SPED, Adv. Opps.</t>
  </si>
  <si>
    <t xml:space="preserve">The Idaho state course code that best outlines the particular course section.  This code should be the same code used when matching  records between Staff Assignments, Student Course Enrollments and Master Course Schedule files. </t>
  </si>
  <si>
    <t>PSF, EdFacts,  ESEA/ESSA, Certification, SPED, Adv. Opps., CTE</t>
  </si>
  <si>
    <t>The unique identifier for the specific section of an instructional course/assignment.</t>
  </si>
  <si>
    <t>The district section name associated with the section ID number for the specific section of an instructional course/assignment.</t>
  </si>
  <si>
    <t>Course Entry Date</t>
  </si>
  <si>
    <t>entryDate</t>
  </si>
  <si>
    <t>The date in which the student started receiving instruction for the course.</t>
  </si>
  <si>
    <t>Course Exit Date</t>
  </si>
  <si>
    <t>exitDate</t>
  </si>
  <si>
    <t>The date in which the student stopped receiving instruction for the course.</t>
  </si>
  <si>
    <t>Course Exit Reason</t>
  </si>
  <si>
    <t>exitReason</t>
  </si>
  <si>
    <t>The reason in which the student exited course.</t>
  </si>
  <si>
    <t>EdFacts,  ESEA/ESSA,  Adv. Opps.</t>
  </si>
  <si>
    <t>Credits Offered</t>
  </si>
  <si>
    <t>creditsOffered</t>
  </si>
  <si>
    <t xml:space="preserve">The number of offered credit(s),  or credit like unit which is to be earned, awarded or otherwise given to the student, by the school, for meeting or displaying competency, providing adequate growth to support advancing the student to the next grade or class section. </t>
  </si>
  <si>
    <t>EdFacts,  ESEA/ESSA,  Adv. Opps., CTE, OSBE</t>
  </si>
  <si>
    <t>Credits Earned</t>
  </si>
  <si>
    <t>creditEarned</t>
  </si>
  <si>
    <t>Upon exiting a course, the credit or credit-like unit which has been earned, awarded or otherwise given to the student for meeting or displaying competency, advancing to the next grade or class section.</t>
  </si>
  <si>
    <t>50.0</t>
  </si>
  <si>
    <t>Credit Recovery</t>
  </si>
  <si>
    <t>creditRecovery</t>
  </si>
  <si>
    <t xml:space="preserve">Currently for Alternative High School courses only; Is this course for “credit recovery” for this student? A credit recovery course is that course which the student reenrolled to attempt to receive credit for a previously failed or incomplete course credit.
IDAPA 08.02.03.112.03(c)(i) School Quality Measures by School Category - Credit recovery and accumulation. ** FOR ALTERNATIVE HIGH SCHOOL COURSE ENROLLMENT ONLY ** </t>
  </si>
  <si>
    <t>Final Grade</t>
  </si>
  <si>
    <t>grade</t>
  </si>
  <si>
    <t>The final grade awarded to the student at course exit.  This field is a District decisional value which is required whenever creditEarned is greater than 0. May be reflected as;   P, Pass, F, Fail, A+, B-, C, D, UG – Ungraded, NG – Not Graded or numeric values such as 75, 80, 90, 97, etc.</t>
  </si>
  <si>
    <t>XXXX</t>
  </si>
  <si>
    <t>Dual Credit</t>
  </si>
  <si>
    <t>dualCredit</t>
  </si>
  <si>
    <t xml:space="preserve">Is this student enrolled in this course to earn Dual Credit (both high school and college credit)? Dual Credit means simultaneous credits to be awarded to the student on his or her secondary AND postsecondary transcript for the completion of a single course. </t>
  </si>
  <si>
    <t>College credit issued</t>
  </si>
  <si>
    <t>Ccissued</t>
  </si>
  <si>
    <t>If course is a dual credit course and student is receiving dual credit, has the college issued full credit for successfully completing the course?</t>
  </si>
  <si>
    <t>Support D/C</t>
  </si>
  <si>
    <t>College Credits Offered</t>
  </si>
  <si>
    <t>collegeCredits</t>
  </si>
  <si>
    <t>The number of credits to be awarded by the college for dual credit.</t>
  </si>
  <si>
    <t>College issuing credit</t>
  </si>
  <si>
    <t>CollegeID</t>
  </si>
  <si>
    <t>If student received dual credit, which college/university issued the college credit?</t>
  </si>
  <si>
    <t>College Credit</t>
  </si>
  <si>
    <t>XXXXXXXXX</t>
  </si>
  <si>
    <t>School ID</t>
  </si>
  <si>
    <t>The SDE assigned four-digit number associated with the school where the student is enrolled.</t>
  </si>
  <si>
    <t>Calendar Number</t>
  </si>
  <si>
    <t>calendarId</t>
  </si>
  <si>
    <t>A unique identifier for different calendars in use with the district.  Use "1" if only one calendar applies.  Example differences are if different grade bands have different calendars or for year round schools, if groups of students are in different tracks.</t>
  </si>
  <si>
    <t>999999999999999</t>
  </si>
  <si>
    <t>date</t>
  </si>
  <si>
    <t>The date of this attendance record.</t>
  </si>
  <si>
    <t>Daily Attendance</t>
  </si>
  <si>
    <t>attendance</t>
  </si>
  <si>
    <t>The attendance for the given student on the selected day.  For most students this should be one of 0, .5 or 1.0.  (0 or .5 Kindergarten only).  For students in alternative high schools, and private/homeschool students on a DR calendar, this should be the hours of attendance -- All others, this is an FTE for the day. Less than 2.5 hours should be reported as 0, 2.5 hours to 4 hours is 0.5 days, and more than four hours available for instruction is 1.0 days.</t>
  </si>
  <si>
    <t>Decimal</t>
  </si>
  <si>
    <t>99.999</t>
  </si>
  <si>
    <t>PSF, EDFacts, Validation</t>
  </si>
  <si>
    <t>Self Directed Learner</t>
  </si>
  <si>
    <t>selfDirLearn</t>
  </si>
  <si>
    <t>For the date reported, was the student identified as a Self-Directed Learner as defined in Idaho Code 33-512D. SELF-DIRECTED LEARNER DESIGNATION</t>
  </si>
  <si>
    <t>DistrictCalendars</t>
  </si>
  <si>
    <t xml:space="preserve">A unique identifier for different calendars in use with the district.  Example differences are if different grade bands have different calendars or, for year round schools, if groups of students are in different tracks attending different days.  All students on the same calendar are expected to have the same attendance.   Within a given school year, you can not change the calendarType associated with the Calendar ID. </t>
  </si>
  <si>
    <t>Calendar Type</t>
  </si>
  <si>
    <t>calendarType</t>
  </si>
  <si>
    <t>The type of calendar described such as R-Regular, A-Alternative High School (hours), K-Kindergarten, DR-Dual Enrollment, etc.  The calendar type may not change for a given calendar ID within a given school year.</t>
  </si>
  <si>
    <t>1-2</t>
  </si>
  <si>
    <t>X or XX</t>
  </si>
  <si>
    <t>Kindergarten Session Type</t>
  </si>
  <si>
    <t>kSessionType</t>
  </si>
  <si>
    <t>The way that Kindergarten classes are scheduled for this Calendar.  Options are in the option set.  This field is required when the [Calendar Type] = K</t>
  </si>
  <si>
    <t>The calendar day for the current record.</t>
  </si>
  <si>
    <t>Instructional Time</t>
  </si>
  <si>
    <t>instructionTime</t>
  </si>
  <si>
    <t>The time available for instruction.  For most schools this should be 0, 0.5 or 1.0.  Less than 2.5 hours of instruction time should be reported as 0, 2.5 hours to 3.99 hours of instruction time is 0.5 days, and 4.0 hours or more of instruction time is 1.0 days.  The total of all time categories should not exceed 1.0 for any given day.  For alternative calendars or dual enrollment calendars, instruction time is entered in hours rather than .5 half or 1.0 whole days.</t>
  </si>
  <si>
    <t>99.9</t>
  </si>
  <si>
    <t>Emergency Closure Time</t>
  </si>
  <si>
    <t>emergClosureTime</t>
  </si>
  <si>
    <t>The time when the school had an unplanned closure. Neither students nor staff are expected to attend. Reasons for the closure include such things as weather events or widespread illness.  For most schools this should be 0, 0.5, or 1.0 days.  Less than 2.5 hours should be reported as 0, 2.5 hours to 4 hours is 0.5 days, and more than four hours as 1.0. For alternative calendars or dual enrollment calendars, instruction time is entered in hours rather than in ADA.</t>
  </si>
  <si>
    <t>Non-instructional Time</t>
  </si>
  <si>
    <t>nonInstrucTime</t>
  </si>
  <si>
    <t>The time used for non-instruction -- vacation, staff development, or as a placeholder for non-instructional days.  For most schools this should be 0, 0.5, or 1.0.  Less than 2.5 hours should be reported as 0, 2.5 hours to 4 hours is 0.5 days, and more than four hours is 1.0 day.   For alternative calendars or dual enrollment calendars, instruction time is entered in hours rather than in ADA.</t>
  </si>
  <si>
    <t>Special Education</t>
  </si>
  <si>
    <t>Resident School ID</t>
  </si>
  <si>
    <t>resSchoolId</t>
  </si>
  <si>
    <t>The SDE assigned four-digit number associated with the school responsible for the students primary education.</t>
  </si>
  <si>
    <t>IDEA and OSEP compliance, EDFacts</t>
  </si>
  <si>
    <t>Service School ID</t>
  </si>
  <si>
    <t>servSchoolId</t>
  </si>
  <si>
    <t>The SDE assigned four-digit number associated with the school responsible for the students special education services.</t>
  </si>
  <si>
    <t>Exceptionality 1</t>
  </si>
  <si>
    <t>exceptionality1</t>
  </si>
  <si>
    <t>Exceptionality</t>
  </si>
  <si>
    <t>Agg</t>
  </si>
  <si>
    <t>Environment</t>
  </si>
  <si>
    <t>environment</t>
  </si>
  <si>
    <t>The least restrictive environment (LRE) within which the student receives their education.</t>
  </si>
  <si>
    <t>Special Ed Environment</t>
  </si>
  <si>
    <t>minPerWeek</t>
  </si>
  <si>
    <t>2100</t>
  </si>
  <si>
    <t>Early Childhood Referred by DHW</t>
  </si>
  <si>
    <t>ECReferredDhw</t>
  </si>
  <si>
    <t>A flag indicating if the Department of Health and Welfare, Infant Toddler Program, referred the student as potentially eligible for special education and related services.</t>
  </si>
  <si>
    <t>EC Eligibility Decision Timeliness</t>
  </si>
  <si>
    <t>ECDecTim</t>
  </si>
  <si>
    <t>Eligibility Determination was late</t>
  </si>
  <si>
    <t>ECDecLate</t>
  </si>
  <si>
    <t xml:space="preserve">If eligibility determination and/or IEP occurred after the child's third birthday, report number of days late. 
</t>
  </si>
  <si>
    <t>999</t>
  </si>
  <si>
    <t>Report &gt; 0, when ECDecTim = N. Else, leave blank.</t>
  </si>
  <si>
    <t>Eligibility Determination late reason</t>
  </si>
  <si>
    <t>ECLateRea</t>
  </si>
  <si>
    <t>If eligibility determination and/or IEP are late, report reason for delay.</t>
  </si>
  <si>
    <t>Early Childhood Determination Late</t>
  </si>
  <si>
    <t>Late Reason of other explanation</t>
  </si>
  <si>
    <t>ECLROther</t>
  </si>
  <si>
    <t>If eligibility determination for special education and related services was late, and reason was other, explain</t>
  </si>
  <si>
    <t>Initial Determination Date</t>
  </si>
  <si>
    <t>IDSpedDate</t>
  </si>
  <si>
    <t>The date of the student's first eligibility determination for special education services and related services whether eligible or not. The date that the eligibility team came to consensus on whether the student was initially eligible or not eligible for special education and related services. Does not include re-evaluation.</t>
  </si>
  <si>
    <t>Program Entry Date</t>
  </si>
  <si>
    <t>SEEntryDate</t>
  </si>
  <si>
    <t>The date the student first received special education services during the current school year within the enrolled District.</t>
  </si>
  <si>
    <t>Active IEP Date</t>
  </si>
  <si>
    <t>IEPDate</t>
  </si>
  <si>
    <t>The current IEP meeting date. The date that a fully constituted IEP team met and came to consensus on the current IEP.</t>
  </si>
  <si>
    <t>DisAgg/Agg</t>
  </si>
  <si>
    <t>Initial Consent Date</t>
  </si>
  <si>
    <t>consentDate</t>
  </si>
  <si>
    <t>The date the LEA received the parent's written (signed) consent for initial assessment.  This starts the clock for the 60 day timeline. Required if IDSpedDate is after the last day of the prior school year or if 60DTline is reported.</t>
  </si>
  <si>
    <t>60-day timeline</t>
  </si>
  <si>
    <t>60DTline</t>
  </si>
  <si>
    <t>Days late</t>
  </si>
  <si>
    <t>DaysLate</t>
  </si>
  <si>
    <t>Late Determination Reason</t>
  </si>
  <si>
    <t>LDRea</t>
  </si>
  <si>
    <t>Special Ed Determination Late</t>
  </si>
  <si>
    <t>If late due to state exception rule</t>
  </si>
  <si>
    <t>ExRule</t>
  </si>
  <si>
    <t>State Exception Rule</t>
  </si>
  <si>
    <t>Sped Eligibility</t>
  </si>
  <si>
    <t>SpedEligible</t>
  </si>
  <si>
    <t>Special Ed Eligibility (Yes/No/Undetermined)</t>
  </si>
  <si>
    <t>Undetermined Reason</t>
  </si>
  <si>
    <t>UndetRea</t>
  </si>
  <si>
    <t>The Reason for selecting undetermined for eligibility of special education services.</t>
  </si>
  <si>
    <t>Special Ed Status</t>
  </si>
  <si>
    <t>SEStatus</t>
  </si>
  <si>
    <t>Program Status</t>
  </si>
  <si>
    <t>Special Ed Exit Date</t>
  </si>
  <si>
    <t>SEExitDate</t>
  </si>
  <si>
    <t>MM/dd/YYYY OR MM/DD/YY</t>
  </si>
  <si>
    <t>Special Ed Exit Reason</t>
  </si>
  <si>
    <t>SEExitReason</t>
  </si>
  <si>
    <t>Program Exit Reason</t>
  </si>
  <si>
    <t>Case Manager Idaho Staff ID</t>
  </si>
  <si>
    <t>caseManager</t>
  </si>
  <si>
    <t>The Case Manager's unique Idaho Staff Identification Number. (i.e. Sped Director, Special Education Teacher, etc.) Report the Sped Director in the case where staff is contracted.</t>
  </si>
  <si>
    <t>XXXXXXXXXX</t>
  </si>
  <si>
    <t>Notes</t>
  </si>
  <si>
    <t>notes</t>
  </si>
  <si>
    <t>Any comments or explanatory notes for the data in this record.</t>
  </si>
  <si>
    <t>optional</t>
  </si>
  <si>
    <t>Gifted</t>
  </si>
  <si>
    <t>EDUID</t>
  </si>
  <si>
    <t>The SDE assigned four-digit number associated with the school where the student receives their education, i.e. where they are served</t>
  </si>
  <si>
    <t>State Funding - not used for Edfacts</t>
  </si>
  <si>
    <t>Academically Gifted</t>
  </si>
  <si>
    <t>academicGift</t>
  </si>
  <si>
    <t>A flag indicating if the student is academically gifted.</t>
  </si>
  <si>
    <t>Creatively Gifted</t>
  </si>
  <si>
    <t>creativeGift</t>
  </si>
  <si>
    <t>A flag indicating if the student is creatively gifted.</t>
  </si>
  <si>
    <t>Intellectually Gifted</t>
  </si>
  <si>
    <t>intellectualGift</t>
  </si>
  <si>
    <t>A flag indicating if the student is intellectually gifted</t>
  </si>
  <si>
    <t>Leadership Gifted</t>
  </si>
  <si>
    <t>leadershipGift</t>
  </si>
  <si>
    <t>A flag indicating if the student is gifted in the area of leadership.</t>
  </si>
  <si>
    <t>Visual/Performing Arts Gifted</t>
  </si>
  <si>
    <t>artsGift</t>
  </si>
  <si>
    <t>A flag indicating if the student is gifted in the visual or performing arts.</t>
  </si>
  <si>
    <t>Gifted Status</t>
  </si>
  <si>
    <t>GTStatus</t>
  </si>
  <si>
    <t>The status of the student relative to gifted/talented education (active or inactive)</t>
  </si>
  <si>
    <t>Gifted Program Entry Date</t>
  </si>
  <si>
    <t>GTEntryDate</t>
  </si>
  <si>
    <t>The date the student first received services for gifted/talented students during the current school year within the enrolled District.</t>
  </si>
  <si>
    <t>GAT Identified Date</t>
  </si>
  <si>
    <t>GTIdDate</t>
  </si>
  <si>
    <t>The date the student was first identified as qualifying for gifted/talented</t>
  </si>
  <si>
    <t>Gifted Talented Exit Date</t>
  </si>
  <si>
    <t>GTExitDate</t>
  </si>
  <si>
    <t>The date the student left gifted and talented services for the current school year.</t>
  </si>
  <si>
    <t>Gifted Talented Exit Reason</t>
  </si>
  <si>
    <t>GTExitReason</t>
  </si>
  <si>
    <t>If the student left gifted and talented services during the current school year, the reason that they exited.</t>
  </si>
  <si>
    <t>Gifted Exit Reason</t>
  </si>
  <si>
    <t>Staff Demographics</t>
  </si>
  <si>
    <t>Idaho Staff ID</t>
  </si>
  <si>
    <t>idStaffId</t>
  </si>
  <si>
    <t>The staff members assigned unique Idaho identification number.</t>
  </si>
  <si>
    <t>SLDS, EDUID</t>
  </si>
  <si>
    <t xml:space="preserve">The complete legal surname/family name(s). That which may be inherited (passed) to an individual at birth, baptism, or during another naming ceremony, or through legal change. </t>
  </si>
  <si>
    <t>Certification, State funding, Validation</t>
  </si>
  <si>
    <t>An appendage, if any, used to denote an individual's generation in his family or title (e.g., Jr., Sr., III, PhD, etc.).</t>
  </si>
  <si>
    <t>Former Name(s)</t>
  </si>
  <si>
    <t>formerName</t>
  </si>
  <si>
    <t>Any names that were used in the past by the employee</t>
  </si>
  <si>
    <t xml:space="preserve">EdFacts, </t>
  </si>
  <si>
    <t>Proficient in Language other than English</t>
  </si>
  <si>
    <t>language</t>
  </si>
  <si>
    <t>If this staff member is proficient in a language other than English, the code for that language.  If the staff member is proficient in more than one other language, choose the most proficient.</t>
  </si>
  <si>
    <t>XXX</t>
  </si>
  <si>
    <t>Has Certified Assignments</t>
  </si>
  <si>
    <t>isCertified</t>
  </si>
  <si>
    <t>Is this staff member to be treated as a Certified staff member?  That is, they have certified assignments, are on a contract, and all the fields applying to certified staff must be completed.</t>
  </si>
  <si>
    <t>PSF, Career Ladder, Certification, EdFacts</t>
  </si>
  <si>
    <t>Is Paraprofessional</t>
  </si>
  <si>
    <t>isParaPro</t>
  </si>
  <si>
    <t>For paraprofessionals working with students; the type of paraprofessional; Regular or Title 1? Must have para-professional instructional assignments, is not to be treated as a certified staff member.</t>
  </si>
  <si>
    <t>Parapro Type</t>
  </si>
  <si>
    <t>certificationYear</t>
  </si>
  <si>
    <t>The date teachers or administrators first received certification, regardless of state issuing the certification.  Leave blank for non-certified employees.</t>
  </si>
  <si>
    <t>1950</t>
  </si>
  <si>
    <t>Initial Certification State</t>
  </si>
  <si>
    <t>certificationState</t>
  </si>
  <si>
    <t>The state where the initial teaching certification was granted.</t>
  </si>
  <si>
    <t>State Province</t>
  </si>
  <si>
    <t>Highest Degree Claimed</t>
  </si>
  <si>
    <t>highestDegree</t>
  </si>
  <si>
    <t>The highest degree claimed by the employee for funding purposes.</t>
  </si>
  <si>
    <t>Education Degree</t>
  </si>
  <si>
    <t>Year of Degree Claimed</t>
  </si>
  <si>
    <t>degreeYear</t>
  </si>
  <si>
    <t>The year in which the highest degree being claimed was earned</t>
  </si>
  <si>
    <t>Institution Where Highest Claimed Degree was Obtained</t>
  </si>
  <si>
    <t>claimDegreeInst</t>
  </si>
  <si>
    <t>The name of the institution that granted the highest degree the employee has Claimed for funding purposes</t>
  </si>
  <si>
    <t>Higher Ed Institutions</t>
  </si>
  <si>
    <t>State of Institution Granting Claimed Degree</t>
  </si>
  <si>
    <t>claimDegreeState</t>
  </si>
  <si>
    <t>The two character postal code where the Institution of claimed Highest degree is based</t>
  </si>
  <si>
    <t>Major for Degree Claimed</t>
  </si>
  <si>
    <t>claimedMajor</t>
  </si>
  <si>
    <t>The Major of the highest degree claimed for funding purposes</t>
  </si>
  <si>
    <t>99.9999</t>
  </si>
  <si>
    <t>CIP Codes</t>
  </si>
  <si>
    <t>Minor of Degree Claimed</t>
  </si>
  <si>
    <t>claimedMinor</t>
  </si>
  <si>
    <t>The Minor (if any) of the highest degree claimed for funding</t>
  </si>
  <si>
    <t>Additional Credits beyond the claimed highest degree</t>
  </si>
  <si>
    <t>addlCredits</t>
  </si>
  <si>
    <t>College transcript credit earned beyond the highest degree claimed -- Not the total credits earned, but just those beyond the degree claimed for funding</t>
  </si>
  <si>
    <t>999.99</t>
  </si>
  <si>
    <t>200.00</t>
  </si>
  <si>
    <t>Additional Degree 1</t>
  </si>
  <si>
    <t>addlDegree1</t>
  </si>
  <si>
    <t>The first additional degree earned by this employee other than the one claimed for funding.  Need not be earned prior to the claimed degree.</t>
  </si>
  <si>
    <t>Year of Additional Degree 1</t>
  </si>
  <si>
    <t>degree1Year</t>
  </si>
  <si>
    <t>Year that the first additional degree was earned</t>
  </si>
  <si>
    <t>Institution Granting Additional Degree 1</t>
  </si>
  <si>
    <t>degree1Institution</t>
  </si>
  <si>
    <t>The name of the institution that granted the first additional degree</t>
  </si>
  <si>
    <t>Institution's State for Additional Degree 1</t>
  </si>
  <si>
    <t>degree1State</t>
  </si>
  <si>
    <t>The two character postal code where the Institution of the first additional degree is based</t>
  </si>
  <si>
    <t>Degree 1 Major</t>
  </si>
  <si>
    <t>degree1Major</t>
  </si>
  <si>
    <t>The major area of study for the first additional degree</t>
  </si>
  <si>
    <t>Degree 1 Minor (if any)</t>
  </si>
  <si>
    <t>degree1Minor</t>
  </si>
  <si>
    <t>the minor area of study for the first additional degree</t>
  </si>
  <si>
    <t>Additional Degree 2</t>
  </si>
  <si>
    <t>addlDegree2</t>
  </si>
  <si>
    <t>The second additional degree earned by this employee other than the one claimed for funding.  Need not be earned prior to the claimed degree.</t>
  </si>
  <si>
    <t>Year of Additional Degree 2</t>
  </si>
  <si>
    <t>degree2Year</t>
  </si>
  <si>
    <t>Year that the second additional degree was earned</t>
  </si>
  <si>
    <t>Institution Granting Additional Degree 2</t>
  </si>
  <si>
    <t>degree2Institution</t>
  </si>
  <si>
    <t>The name of the institution that granted the second additional degree</t>
  </si>
  <si>
    <t>Institution's State for Additional Degree 2</t>
  </si>
  <si>
    <t>degree2State</t>
  </si>
  <si>
    <t>The two character postal code where the Institution of the second additional degree is based</t>
  </si>
  <si>
    <t>Degree 2 Major</t>
  </si>
  <si>
    <t>degree2Major</t>
  </si>
  <si>
    <t>The major area of study for the second additional degree</t>
  </si>
  <si>
    <t>Degree 2 Minor</t>
  </si>
  <si>
    <t>degree2Minor</t>
  </si>
  <si>
    <t>the minor area of study for the second additional degree</t>
  </si>
  <si>
    <t>Additional Degree 3</t>
  </si>
  <si>
    <t>addlDegree3</t>
  </si>
  <si>
    <t>The third additional degree earned by this employee other than the one claimed for funding.  Need not be earned prior to the claimed degree.</t>
  </si>
  <si>
    <t>Year of Additional Degree 3</t>
  </si>
  <si>
    <t>degree3Year</t>
  </si>
  <si>
    <t>Year that the third additional degree was earned</t>
  </si>
  <si>
    <t>Institution Granting Additional Degree 3</t>
  </si>
  <si>
    <t>degree3Institution</t>
  </si>
  <si>
    <t>The name of the institution that granted the third additional degree</t>
  </si>
  <si>
    <t>Institution's State for Additional Degree 3</t>
  </si>
  <si>
    <t>degree3State</t>
  </si>
  <si>
    <t>The two character postal code where the Institution of the third additional degree is based</t>
  </si>
  <si>
    <t>Degree 3 Major</t>
  </si>
  <si>
    <t>degree3Major</t>
  </si>
  <si>
    <t>The major area of study for the third additional degree</t>
  </si>
  <si>
    <t>Degree 3 Minor</t>
  </si>
  <si>
    <t>degree3Minor</t>
  </si>
  <si>
    <t>the minor area of study for the third additional degree</t>
  </si>
  <si>
    <t>Additional Degree 4</t>
  </si>
  <si>
    <t>addlDegree4</t>
  </si>
  <si>
    <t>The fourth additional degree earned by this employee other than the one claimed for funding.  Need not be earned prior to the claimed degree.</t>
  </si>
  <si>
    <t>Year of Additional Degree 4</t>
  </si>
  <si>
    <t>degree4Year</t>
  </si>
  <si>
    <t>Year that the fourth additional degree was earned</t>
  </si>
  <si>
    <t>Institution Granting Additional Degree 4</t>
  </si>
  <si>
    <t>degree4Institution</t>
  </si>
  <si>
    <t>The name of the institution that granted the fourth additional degree</t>
  </si>
  <si>
    <t>Institution's State for Additional Degree 4</t>
  </si>
  <si>
    <t>degree4State</t>
  </si>
  <si>
    <t>The two character postal code where the Institution of the fourth additional degree is based</t>
  </si>
  <si>
    <t>Degree 4 Major</t>
  </si>
  <si>
    <t>degree4Major</t>
  </si>
  <si>
    <t>The major area of study for the fourth additional degree</t>
  </si>
  <si>
    <t>Degree 4 Minor</t>
  </si>
  <si>
    <t>degree4Minor</t>
  </si>
  <si>
    <t>the minor area of study for the fourth additional degree</t>
  </si>
  <si>
    <t>Non cert Minimum Credits Date</t>
  </si>
  <si>
    <t>minCreditsDate</t>
  </si>
  <si>
    <t>For non-certified paraprofessional instructional assistants, the date they met the NCLB minimum college credits threshold.</t>
  </si>
  <si>
    <t>52</t>
  </si>
  <si>
    <t>Minimum Credits Institution</t>
  </si>
  <si>
    <t>minCreditsIHE</t>
  </si>
  <si>
    <t>For non-certified paraprofessional instructional assistants, the institution granting the credits</t>
  </si>
  <si>
    <t>53</t>
  </si>
  <si>
    <t>Minimum Credits Institution State</t>
  </si>
  <si>
    <t>minCreditsIHEState</t>
  </si>
  <si>
    <t>For non-certified paraprofessional instructional assistants, the state where the institution that granted the credit is based</t>
  </si>
  <si>
    <t>54</t>
  </si>
  <si>
    <t>Parapro High School Diploma Type</t>
  </si>
  <si>
    <t>paraHSDiplomaType</t>
  </si>
  <si>
    <t>For non-certified paraprofessional instructional assistants, Did they receive a regular High school diploma or a GED (or equivalent)</t>
  </si>
  <si>
    <t>Parapro High School Degree</t>
  </si>
  <si>
    <t>PSF, ESEA/ESSA</t>
  </si>
  <si>
    <t>55</t>
  </si>
  <si>
    <t>ParaPro Exam Date</t>
  </si>
  <si>
    <t>paraExamDate</t>
  </si>
  <si>
    <t>For non-certified paraprofessional instructional assistants, the date they passed the ETS Paraprofessional Exam</t>
  </si>
  <si>
    <t>56</t>
  </si>
  <si>
    <t>ParaPro Exam Score</t>
  </si>
  <si>
    <t>paraExamScore</t>
  </si>
  <si>
    <t>For non-certified paraprofessional instructional assistants, the score from the ETS paraprofessional Exam</t>
  </si>
  <si>
    <t>57</t>
  </si>
  <si>
    <t>Is ParaPro Praxis</t>
  </si>
  <si>
    <t>paraPraxis</t>
  </si>
  <si>
    <t>For non-certified paraprofessional instructional assistants, A flag indicating if they took the Praxis or ETS Paraprofessional Exam</t>
  </si>
  <si>
    <t>58</t>
  </si>
  <si>
    <t>Is ParaPro Out of State</t>
  </si>
  <si>
    <t>paraExamOS</t>
  </si>
  <si>
    <t>For non-certified paraprofessional instructional assistants, a flag indicating if the ETS paraprofessional exam was taken in another state</t>
  </si>
  <si>
    <t>59</t>
  </si>
  <si>
    <t>The SDE assigned four-digit number associated with the school where the employee has their primary responsibility or where they receive their mail.</t>
  </si>
  <si>
    <t>60</t>
  </si>
  <si>
    <t>Transcript Year</t>
  </si>
  <si>
    <t>transcriptYear</t>
  </si>
  <si>
    <t>The most recent year the staff member received college transcript credits.</t>
  </si>
  <si>
    <t>PSF, Career Ladder, Certification</t>
  </si>
  <si>
    <t>61</t>
  </si>
  <si>
    <t>Prior Idaho Teaching Experience</t>
  </si>
  <si>
    <t>idahoK12Experience</t>
  </si>
  <si>
    <t>The total accumulated number of completed years of certificated public school educational experience (K-12) in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</si>
  <si>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PSF, Career Ladder</t>
  </si>
  <si>
    <t>62</t>
  </si>
  <si>
    <t>Prior Public Teaching Experience</t>
  </si>
  <si>
    <t>k12PublicExperience</t>
  </si>
  <si>
    <t>The total accumulated number of completed years of certificated public school educational experience (K-12) in another state (excluding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</si>
  <si>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63</t>
  </si>
  <si>
    <t>Prior Private/Parochial Teaching Experience</t>
  </si>
  <si>
    <t>k12PrivateExperience</t>
  </si>
  <si>
    <t>The total accumulated number of completed years of certificated non-public educational experience (K-12) at an accredited non-public school. 
• Must be 50% or more in a certificated position.
• Each year is considered on its own; partial years cannot be combined.
• A certificated employee new to the profession always begins with zero years of experience. 
• Leave blank for non-certified staff</t>
  </si>
  <si>
    <t>64</t>
  </si>
  <si>
    <t>Prior Idaho Higher Ed Teaching Experience</t>
  </si>
  <si>
    <t>idahoHEExperience</t>
  </si>
  <si>
    <t>The total accumulated number of completed years of experience with an Idaho accredited college or university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</si>
  <si>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65</t>
  </si>
  <si>
    <t>Prior Higher Ed Teaching Experience - other states</t>
  </si>
  <si>
    <t>HEExperience</t>
  </si>
  <si>
    <t>The total accumulated number of completed years of experience with an accredited college or university in another state (excluding Idaho)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</si>
  <si>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66</t>
  </si>
  <si>
    <t>Employment Date</t>
  </si>
  <si>
    <t>hireDate</t>
  </si>
  <si>
    <t>The month, day, and year the employee began current, continuous employment with the district/charter. If a non-certificated employee is being added as a certificated employee, use the date of certificated employment.</t>
  </si>
  <si>
    <t>67</t>
  </si>
  <si>
    <t>Years in District</t>
  </si>
  <si>
    <t>yearsInDistrict</t>
  </si>
  <si>
    <t>For certified and/or administrative staff, the number of years working on contract.  Count starts with one. Includes the current year.</t>
  </si>
  <si>
    <t>68</t>
  </si>
  <si>
    <t>Employment Status</t>
  </si>
  <si>
    <t>employmentStatus</t>
  </si>
  <si>
    <t>The employee's employment status</t>
  </si>
  <si>
    <t>PSF, Career Ladder, Certification, EDFacts</t>
  </si>
  <si>
    <t>69</t>
  </si>
  <si>
    <t>Contract 1 Type</t>
  </si>
  <si>
    <t>contractType1</t>
  </si>
  <si>
    <t>For certified staff, the type of contract that was actually signed for the current school year.</t>
  </si>
  <si>
    <t>Contract Type</t>
  </si>
  <si>
    <t>70</t>
  </si>
  <si>
    <t>Contract 1 Base Salary</t>
  </si>
  <si>
    <t>baseSalary1</t>
  </si>
  <si>
    <t>For certified staff, the base salary on the Contract rounded to the nearest dollar.</t>
  </si>
  <si>
    <t>71</t>
  </si>
  <si>
    <t>Contract 1 Days</t>
  </si>
  <si>
    <t>contractDays1</t>
  </si>
  <si>
    <t>For certified staff, The annual number of days based on a five day work week contracted in contract 1.</t>
  </si>
  <si>
    <t>261</t>
  </si>
  <si>
    <t>72</t>
  </si>
  <si>
    <t>Contract 1 Hours</t>
  </si>
  <si>
    <t>contractHours1</t>
  </si>
  <si>
    <t>2080</t>
  </si>
  <si>
    <t>73</t>
  </si>
  <si>
    <t>Contract 1 FTE</t>
  </si>
  <si>
    <t>contractFTE1</t>
  </si>
  <si>
    <t>The full-time equivalent for contract 1.  FTE is calculated by dividing the amount of time employed by the time normally required for a full-time position.</t>
  </si>
  <si>
    <t>1.00</t>
  </si>
  <si>
    <t>Staff Demographic match</t>
  </si>
  <si>
    <t>74</t>
  </si>
  <si>
    <t>Contract 1 Funding Code 1</t>
  </si>
  <si>
    <t>c1FundSource1</t>
  </si>
  <si>
    <t>The code for how the employee is funded - source 1</t>
  </si>
  <si>
    <t>Funding Source</t>
  </si>
  <si>
    <t>75</t>
  </si>
  <si>
    <t>Contract 1 Percent Source 1</t>
  </si>
  <si>
    <t>c1PercentSource1</t>
  </si>
  <si>
    <t>The percentage of funding from source 1</t>
  </si>
  <si>
    <t>100.00</t>
  </si>
  <si>
    <t>76</t>
  </si>
  <si>
    <t>Contract 1 Funding Code 2</t>
  </si>
  <si>
    <t>c1FundSource2</t>
  </si>
  <si>
    <t>The code for how the employee is funded - source 2 - if any</t>
  </si>
  <si>
    <t>77</t>
  </si>
  <si>
    <t>Contract 1 Percent Source 2</t>
  </si>
  <si>
    <t>c1PercentSource2</t>
  </si>
  <si>
    <t>The percentage of funding from source 2</t>
  </si>
  <si>
    <t>78</t>
  </si>
  <si>
    <t>Contract 1 Funding Code 3</t>
  </si>
  <si>
    <t>c1FundSource3</t>
  </si>
  <si>
    <t>The code for how the employee is funded - source 3 - if any</t>
  </si>
  <si>
    <t>79</t>
  </si>
  <si>
    <t>Contract 1 Percent Source 3</t>
  </si>
  <si>
    <t>c1PercentSource3</t>
  </si>
  <si>
    <t>The percentage of funding from source 3</t>
  </si>
  <si>
    <t>80</t>
  </si>
  <si>
    <t>Contract 1 Funding Code 4</t>
  </si>
  <si>
    <t>c1FundSource4</t>
  </si>
  <si>
    <t>The code for how the employee is funded - source 4 - if any</t>
  </si>
  <si>
    <t>81</t>
  </si>
  <si>
    <t>Contract 1 Percent Source 4</t>
  </si>
  <si>
    <t>c1PercentSource4</t>
  </si>
  <si>
    <t>The percentage of funding from source 4</t>
  </si>
  <si>
    <t>82</t>
  </si>
  <si>
    <t>Contract 2 Type</t>
  </si>
  <si>
    <t>contractType2</t>
  </si>
  <si>
    <t>83</t>
  </si>
  <si>
    <t>Contract 2 Base Salary</t>
  </si>
  <si>
    <t>baseSalary2</t>
  </si>
  <si>
    <t>The base salary on contract 2, if any, rounded to the nearest dollar.</t>
  </si>
  <si>
    <t>84</t>
  </si>
  <si>
    <t>Contract 2 Days</t>
  </si>
  <si>
    <t>contractDays2</t>
  </si>
  <si>
    <t>For certified staff, the annual number of days if any, based on a five day work week contracted on contract 2.</t>
  </si>
  <si>
    <t>85</t>
  </si>
  <si>
    <t>Contract 2 Hours</t>
  </si>
  <si>
    <t>contractHours2</t>
  </si>
  <si>
    <t>For certified staff, the total annual hours contracted in contract 2, if any, for the year.</t>
  </si>
  <si>
    <t>86</t>
  </si>
  <si>
    <t>Contract 2 FTE</t>
  </si>
  <si>
    <t>contractFTE2</t>
  </si>
  <si>
    <t>The full time equivalent for contract 2.  The FTE is calculated by dividing the amount of time employed by the time normally required for a full-time position.</t>
  </si>
  <si>
    <t>87</t>
  </si>
  <si>
    <t>Contract 2 Funding Code 1</t>
  </si>
  <si>
    <t>c2FundSource1</t>
  </si>
  <si>
    <t>88</t>
  </si>
  <si>
    <t>Contract 2 Percent Source 1</t>
  </si>
  <si>
    <t>c2PercentSource1</t>
  </si>
  <si>
    <t>89</t>
  </si>
  <si>
    <t>Contract 2 Funding Code 2</t>
  </si>
  <si>
    <t>c2FundSource2</t>
  </si>
  <si>
    <t>90</t>
  </si>
  <si>
    <t>Contract 2 Percent Source 2</t>
  </si>
  <si>
    <t>c2PercentSource2</t>
  </si>
  <si>
    <t>91</t>
  </si>
  <si>
    <t>Contract 2 Funding Code 3</t>
  </si>
  <si>
    <t>c2FundSource3</t>
  </si>
  <si>
    <t>92</t>
  </si>
  <si>
    <t>Contract 2 Percent Source 3</t>
  </si>
  <si>
    <t>c2PercentSource3</t>
  </si>
  <si>
    <t>93</t>
  </si>
  <si>
    <t>Contract 2 Funding Code 4</t>
  </si>
  <si>
    <t>c2FundSource4</t>
  </si>
  <si>
    <t>94</t>
  </si>
  <si>
    <t>Contract 2 Percent Source 4</t>
  </si>
  <si>
    <t>c2PercentSource4</t>
  </si>
  <si>
    <t>95</t>
  </si>
  <si>
    <t>Contract 3 Type</t>
  </si>
  <si>
    <t>contractType3</t>
  </si>
  <si>
    <t>For certified staff, the type of second additional contract that was actually signed for the current school year. Must have contract 2 data to use contract 3.</t>
  </si>
  <si>
    <t>96</t>
  </si>
  <si>
    <t>Contract 3 Base Salary</t>
  </si>
  <si>
    <t>baseSalary3</t>
  </si>
  <si>
    <t>The base salary on contract 3, if any, rounded to the nearest dollar.</t>
  </si>
  <si>
    <t>97</t>
  </si>
  <si>
    <t>Contract 3 Days</t>
  </si>
  <si>
    <t>contractDays3</t>
  </si>
  <si>
    <t>For certified staff, the annual number of days if any, based on a five day work week contracted on contract 3.</t>
  </si>
  <si>
    <t>98</t>
  </si>
  <si>
    <t>Contract 3 Hours</t>
  </si>
  <si>
    <t>contractHours3</t>
  </si>
  <si>
    <t>For certified staff, the total annual hours contracted in contract 3, if any, for the year.</t>
  </si>
  <si>
    <t>Contract 3 FTE</t>
  </si>
  <si>
    <t>contractFTE3</t>
  </si>
  <si>
    <t>The full time equivalent for contract 3.  The FTE is calculated by dividing the amount of time employed by the time normally required for a full-time position.</t>
  </si>
  <si>
    <t>100</t>
  </si>
  <si>
    <t>Contract 3 Funding Code 1</t>
  </si>
  <si>
    <t>c3FundSource1</t>
  </si>
  <si>
    <t>101</t>
  </si>
  <si>
    <t>Contract 3 Percent Source 1</t>
  </si>
  <si>
    <t>c3PercentSource1</t>
  </si>
  <si>
    <t>102</t>
  </si>
  <si>
    <t>Contract 3 Funding Code 2</t>
  </si>
  <si>
    <t>c3FundSource2</t>
  </si>
  <si>
    <t>103</t>
  </si>
  <si>
    <t>Contract 3 Percent Source 2</t>
  </si>
  <si>
    <t>c3PercentSource2</t>
  </si>
  <si>
    <t>104</t>
  </si>
  <si>
    <t>Contract 3 Funding Code 3</t>
  </si>
  <si>
    <t>c3FundSource3</t>
  </si>
  <si>
    <t>105</t>
  </si>
  <si>
    <t>Contract 3 Percent Source 3</t>
  </si>
  <si>
    <t>c3PercentSource3</t>
  </si>
  <si>
    <t>106</t>
  </si>
  <si>
    <t>Contract 3 Funding Code 4</t>
  </si>
  <si>
    <t>c3FundSource4</t>
  </si>
  <si>
    <t>107</t>
  </si>
  <si>
    <t>Contract 3 Percent Source 4</t>
  </si>
  <si>
    <t>c3PercentSource4</t>
  </si>
  <si>
    <t>108</t>
  </si>
  <si>
    <t>Extra Pay 1 Code</t>
  </si>
  <si>
    <t>extraPay1</t>
  </si>
  <si>
    <t>For certified and/or administrative staff, the code for the  special or supplemental duties performed which are not in the base pay.</t>
  </si>
  <si>
    <t>Extra Pay Type</t>
  </si>
  <si>
    <t>109</t>
  </si>
  <si>
    <t>Extra Pay 1 Amount</t>
  </si>
  <si>
    <t>extraPayAmount1</t>
  </si>
  <si>
    <t>The amount of extra pay received rounded to the nearest dollar.</t>
  </si>
  <si>
    <t>110</t>
  </si>
  <si>
    <t>Extra Pay 2 Code</t>
  </si>
  <si>
    <t>extraPay2</t>
  </si>
  <si>
    <t>111</t>
  </si>
  <si>
    <t>Extra Pay 2 Amount</t>
  </si>
  <si>
    <t>extraPayAmount2</t>
  </si>
  <si>
    <t>112</t>
  </si>
  <si>
    <t>Extra Pay 3 Code</t>
  </si>
  <si>
    <t>extraPay3</t>
  </si>
  <si>
    <t>113</t>
  </si>
  <si>
    <t>Extra Pay 3 Amount</t>
  </si>
  <si>
    <t>extraPayAmount3</t>
  </si>
  <si>
    <t>114</t>
  </si>
  <si>
    <t>Extra Pay 4 Code</t>
  </si>
  <si>
    <t>extraPay4</t>
  </si>
  <si>
    <t>115</t>
  </si>
  <si>
    <t>Extra Pay 4 Amount</t>
  </si>
  <si>
    <t>extraPayAmount4</t>
  </si>
  <si>
    <t>116</t>
  </si>
  <si>
    <t>Non Certified Funding Code 1</t>
  </si>
  <si>
    <t>ncFundSource1</t>
  </si>
  <si>
    <t>The code for how this non-certified assignment is funded - source 1</t>
  </si>
  <si>
    <t>PSF, ESEA</t>
  </si>
  <si>
    <t>117</t>
  </si>
  <si>
    <t>Non Certified Percent Source 1</t>
  </si>
  <si>
    <t>ncPercentSource1</t>
  </si>
  <si>
    <t>118</t>
  </si>
  <si>
    <t>Non Certified Funding Code 2</t>
  </si>
  <si>
    <t>ncFundSource2</t>
  </si>
  <si>
    <t>The code for how this non-certified assignment is funded - source 2 - if any</t>
  </si>
  <si>
    <t>119</t>
  </si>
  <si>
    <t>Non Certified Percent Source 2</t>
  </si>
  <si>
    <t>ncPercentSource2</t>
  </si>
  <si>
    <t>120</t>
  </si>
  <si>
    <t>Non Certified Funding Code 3</t>
  </si>
  <si>
    <t>ncFundSource3</t>
  </si>
  <si>
    <t>The code for how this non-certified assignment is funded - source 3 - if any</t>
  </si>
  <si>
    <t>121</t>
  </si>
  <si>
    <t>Non Certified Percent Source 3</t>
  </si>
  <si>
    <t>ncPercentSource3</t>
  </si>
  <si>
    <t>122</t>
  </si>
  <si>
    <t>Non Certified Funding Code 4</t>
  </si>
  <si>
    <t>ncFundSource4</t>
  </si>
  <si>
    <t>The code for how this non-certified assignment is funded - source 4 - if any</t>
  </si>
  <si>
    <t>123</t>
  </si>
  <si>
    <t>Non Certified Percent Source 4</t>
  </si>
  <si>
    <t>ncPercentSource4</t>
  </si>
  <si>
    <t>124</t>
  </si>
  <si>
    <t>Inactive/Termination Date</t>
  </si>
  <si>
    <t>terminationDate</t>
  </si>
  <si>
    <t>The month, day, and year that the employee became or will become inactive or terminated.</t>
  </si>
  <si>
    <t>125</t>
  </si>
  <si>
    <t>Inactive/Termination Reason Code</t>
  </si>
  <si>
    <t>terminationReason</t>
  </si>
  <si>
    <t>The reason an employee became or will become inactive</t>
  </si>
  <si>
    <t>Staff Exit Reason</t>
  </si>
  <si>
    <t>126</t>
  </si>
  <si>
    <t>The SDE assigned four-digit number associated with the school where the assignment is held.</t>
  </si>
  <si>
    <t>Contract Number</t>
  </si>
  <si>
    <t>contractNo</t>
  </si>
  <si>
    <t>The contract (1, 2 or 3) associated with this assignment.</t>
  </si>
  <si>
    <t>Assignment Code</t>
  </si>
  <si>
    <t>assignment</t>
  </si>
  <si>
    <t xml:space="preserve">The Idaho state assignment code that best outlines the particular assignment.  This code should be the same code used when matching instructional staff records between Staff Assignments, Student Course Enrollments and Master Course Schedule files.  </t>
  </si>
  <si>
    <t>Staff Assignment Code</t>
  </si>
  <si>
    <t>Teaching Role</t>
  </si>
  <si>
    <t>teachingRole</t>
  </si>
  <si>
    <t>For Teachers, the primary role they play in the classroom</t>
  </si>
  <si>
    <t>FTE</t>
  </si>
  <si>
    <t>The amount of time required to perform this specific assignment stated as a proportion of a full-time equivalent position.</t>
  </si>
  <si>
    <t>9.999</t>
  </si>
  <si>
    <t>1.999</t>
  </si>
  <si>
    <t>Non-certified Rate</t>
  </si>
  <si>
    <t>noncertRate</t>
  </si>
  <si>
    <t>The employee's rate of pay per hour.</t>
  </si>
  <si>
    <t>Non-certified Hours per week</t>
  </si>
  <si>
    <t>noncertHours</t>
  </si>
  <si>
    <t>Enter the number of hours (rounded to the nearest half hour that the employee works each week; a 40-hour, 14 minute week would be reported as 40.0 while a 40-hour, 15 minute week would be reported as 40.5.</t>
  </si>
  <si>
    <t>99.5</t>
  </si>
  <si>
    <t>Non-certified Weeks</t>
  </si>
  <si>
    <t>noncertWeeks</t>
  </si>
  <si>
    <t>Enter the number of weeks that the employee is scheduled to work during the fiscal year (rounded to the nearest whole week)</t>
  </si>
  <si>
    <t>Assignment Start Date</t>
  </si>
  <si>
    <t>startDate</t>
  </si>
  <si>
    <t>The date this assignment starts.</t>
  </si>
  <si>
    <t>Assignment End Date</t>
  </si>
  <si>
    <t>endDate</t>
  </si>
  <si>
    <t>The date this assignment ends.</t>
  </si>
  <si>
    <t>Discipline Action File</t>
  </si>
  <si>
    <t>Incident Identifier</t>
  </si>
  <si>
    <t>incidentId</t>
  </si>
  <si>
    <t>A local (school or district) assigned unique identifier for each particular incident.  NOTE:  if multiple students are involved in a single incident that results in discipline for more than one student, the incident ID would be the same for all students involved in the incident while the actionId would be different for each student.</t>
  </si>
  <si>
    <t>Action Date</t>
  </si>
  <si>
    <t>actionDate</t>
  </si>
  <si>
    <t>Date the Disciplinary action was imposed</t>
  </si>
  <si>
    <t>Unique Action ID</t>
  </si>
  <si>
    <t>actionId</t>
  </si>
  <si>
    <t>A local (school or the district) assigned unique identifier (within the school or the district) to identify each specific disciplinary action for this student.</t>
  </si>
  <si>
    <t>Primary Action Type Code</t>
  </si>
  <si>
    <t>primaryAction</t>
  </si>
  <si>
    <t>Disciplinary Action Type</t>
  </si>
  <si>
    <t>Original Duration</t>
  </si>
  <si>
    <t>origDuration</t>
  </si>
  <si>
    <t>The original length in school days, rounded to the nearest half day, of the disciplinary action.  Only actions of at least 1/2 day are required to be reported, unless juvenile justice was involved.</t>
  </si>
  <si>
    <t>Reporting District ID</t>
  </si>
  <si>
    <t>reportingDistrictId</t>
  </si>
  <si>
    <t>The SDE assigned district number in the Idaho Education Directory for the district that provides the educational services to the student and that is imposing the disciplinary action.</t>
  </si>
  <si>
    <t>Districts</t>
  </si>
  <si>
    <t>Responsible District ID</t>
  </si>
  <si>
    <t>responsibleDistrictId</t>
  </si>
  <si>
    <t>For students with an IEP, the SDE assigned district number for the district responsible for the IEP</t>
  </si>
  <si>
    <t>Reporting School ID</t>
  </si>
  <si>
    <t>The SDE assigned four-digit number associated with the school providing educational services to the student</t>
  </si>
  <si>
    <t>Student has IEP</t>
  </si>
  <si>
    <t>IEP</t>
  </si>
  <si>
    <t>Does the student have an active IEP under IDEA at the time of the disciplinary action</t>
  </si>
  <si>
    <t>Interim Removal Reason</t>
  </si>
  <si>
    <t>interimReason</t>
  </si>
  <si>
    <t>The reason children with disabilities were unilaterally removed to an interim alternative education setting.  Required when action is URI or RHO.</t>
  </si>
  <si>
    <t>IDEA Interim Removal Reason</t>
  </si>
  <si>
    <t>Weapon Involved</t>
  </si>
  <si>
    <t>weapon</t>
  </si>
  <si>
    <t>A flag indicating if an incident triggering this disciplinary action involved a weapon</t>
  </si>
  <si>
    <t>Weapon Type</t>
  </si>
  <si>
    <t>weaponType</t>
  </si>
  <si>
    <t>If a weapon was involved, the code for the type of weapon</t>
  </si>
  <si>
    <t>Justice System Involved</t>
  </si>
  <si>
    <t>justiceSystem</t>
  </si>
  <si>
    <t>A flag indicating if juvenile justice or law enforcement was involved.  Does not include referral to a school resource officer, if the referral goes no further.</t>
  </si>
  <si>
    <t>Modified Duration</t>
  </si>
  <si>
    <t>modDuration</t>
  </si>
  <si>
    <t>If the originally imposed duration was modified, the final modified duration imposed.</t>
  </si>
  <si>
    <t>Modified Duration Reason</t>
  </si>
  <si>
    <t>modDurationReason</t>
  </si>
  <si>
    <t>If the originally imposed duration was modified, the reason the duration was modified.</t>
  </si>
  <si>
    <t>Related to Zero Tolerance Policy</t>
  </si>
  <si>
    <t>zeroTolerance</t>
  </si>
  <si>
    <t>An indication of whether or not the action taken was imposed as a consequence of state or local zero tolerance policies</t>
  </si>
  <si>
    <t>Educational Services After Removal</t>
  </si>
  <si>
    <t>services</t>
  </si>
  <si>
    <t>A flag indicating if educational services were provided while the student was removed from his/her regular setting for disciplinary reasons.</t>
  </si>
  <si>
    <t>ISEE - Program Contacts</t>
  </si>
  <si>
    <t>Program Contacts File</t>
  </si>
  <si>
    <t>Idaho District Identifier</t>
  </si>
  <si>
    <t>districtId</t>
  </si>
  <si>
    <t>The Idaho assigned district identifier.</t>
  </si>
  <si>
    <t>The SDE assigned four-digit number associated with the school for which this role applies.  District level roles should be assigned to the district main administration building identifier.</t>
  </si>
  <si>
    <t>Role Code</t>
  </si>
  <si>
    <t>roleCode</t>
  </si>
  <si>
    <t>The role code associated with the program for which a designated person needs to receive communication.</t>
  </si>
  <si>
    <t>Program Contact Role</t>
  </si>
  <si>
    <t>Role Title</t>
  </si>
  <si>
    <t>roleTitle</t>
  </si>
  <si>
    <t xml:space="preserve">A role title for the "OTH" (Other) role code. If roleCode = OTH then this field is required to describe the persons role. Do not use this field if their title is one of the available option sets for roleCode. </t>
  </si>
  <si>
    <t>Primary Contact</t>
  </si>
  <si>
    <t>isPrimaryContact</t>
  </si>
  <si>
    <t>A flag indicating if this person is the primary contact for the role.</t>
  </si>
  <si>
    <t>Idaho Staff Contact Educational Identifier</t>
  </si>
  <si>
    <t>The staff members last name.  Must match with the EDUID system</t>
  </si>
  <si>
    <t>The staff member's first name.  Must match with the EDUID system</t>
  </si>
  <si>
    <t>Primary Job Title</t>
  </si>
  <si>
    <t>jobTitle</t>
  </si>
  <si>
    <t>The staff member's primary job title.</t>
  </si>
  <si>
    <t>Primary Email</t>
  </si>
  <si>
    <t>roleEmail</t>
  </si>
  <si>
    <t>The primary email address to use to contact this staff member about this program role.</t>
  </si>
  <si>
    <t>Contact Building or School ID</t>
  </si>
  <si>
    <t>contactSchoolId</t>
  </si>
  <si>
    <t>If this person is based out of a centralized alternative location in the school district, the SDE assigned four-digit number associated with the school for that location.  This is the preferred location for contacting this individual.</t>
  </si>
  <si>
    <t>Primary Phone</t>
  </si>
  <si>
    <t>phone1</t>
  </si>
  <si>
    <t>An optional primary phone number to use to contact this individual about this role.  If not provided, the phone for the contact building or school will be used, or the role building's phone number</t>
  </si>
  <si>
    <t>Primary Phone Extension</t>
  </si>
  <si>
    <t>phone1Extension</t>
  </si>
  <si>
    <t>An optional extension for the primary phone</t>
  </si>
  <si>
    <t>Primary Phone Type</t>
  </si>
  <si>
    <t>phone1Type</t>
  </si>
  <si>
    <t>The type of phone for the primary phone. (i.e. c -cell, a-administrative assistant, etc.)</t>
  </si>
  <si>
    <t>Phone Type</t>
  </si>
  <si>
    <t>Secondary Phone</t>
  </si>
  <si>
    <t>phone2</t>
  </si>
  <si>
    <t>An optional secondary phone number to use  in attempts to contact this person in relation to this role.  Must be blank if primary phone is blank.</t>
  </si>
  <si>
    <t>Secondary Phone Extension</t>
  </si>
  <si>
    <t>phone2Extension</t>
  </si>
  <si>
    <t>An optional extension for the secondary phone</t>
  </si>
  <si>
    <t>Secondary Phone Type</t>
  </si>
  <si>
    <t>phone2Type</t>
  </si>
  <si>
    <t>The type of phone for the secondary phone. (i.e. c -cell, a-administrative assistant, etc.)</t>
  </si>
  <si>
    <t>Alternate Address Line 1</t>
  </si>
  <si>
    <t>altAddressLine1</t>
  </si>
  <si>
    <t>The first line of an alternate address to use when mailing information about this role to this individual.  If left blank, the address of the contact school will be used.  If both are blank then the mailing address of the role school will be used.</t>
  </si>
  <si>
    <t>Alternate Address Line 2</t>
  </si>
  <si>
    <t>altAddressLine2</t>
  </si>
  <si>
    <t>Alternate City</t>
  </si>
  <si>
    <t>altCity</t>
  </si>
  <si>
    <t>The city for the alternate mailing address</t>
  </si>
  <si>
    <t>Alternate State Code</t>
  </si>
  <si>
    <t>altStateCode</t>
  </si>
  <si>
    <t>The state postal code for the alternate mailing address.</t>
  </si>
  <si>
    <t>Alternate Zip Code</t>
  </si>
  <si>
    <t>altZipCode</t>
  </si>
  <si>
    <t>The five or nine digit zip code for the alternate mailing address.</t>
  </si>
  <si>
    <t>Annual School Finance</t>
  </si>
  <si>
    <t>Annual School Finance File</t>
  </si>
  <si>
    <t>Record Type</t>
  </si>
  <si>
    <t>recType</t>
  </si>
  <si>
    <t>The indicator of the type of record being reported. (bal, rev, exp)</t>
  </si>
  <si>
    <t>CHAR</t>
  </si>
  <si>
    <t>District Identification Code</t>
  </si>
  <si>
    <t>The SDE assigned three-digit number associated with the LEA.</t>
  </si>
  <si>
    <t>INT</t>
  </si>
  <si>
    <t>Location Identification Code</t>
  </si>
  <si>
    <t>locationCode</t>
  </si>
  <si>
    <t>The local three-digit code often used by the LEA to identify a particular building for reporting expenditures.</t>
  </si>
  <si>
    <t>Fund Number</t>
  </si>
  <si>
    <t>fundNumber</t>
  </si>
  <si>
    <t>Fund number</t>
  </si>
  <si>
    <t>Account Code</t>
  </si>
  <si>
    <t>accountCode</t>
  </si>
  <si>
    <t>Function Code</t>
  </si>
  <si>
    <t>functionCode</t>
  </si>
  <si>
    <t>Object Code</t>
  </si>
  <si>
    <t>objectCode</t>
  </si>
  <si>
    <t>Fiscal Year</t>
  </si>
  <si>
    <t>fiscalYear</t>
  </si>
  <si>
    <t>The fiscal year (July 1 - June 30) an LEA used for budgeting, accounting, and reporting financials.</t>
  </si>
  <si>
    <t>Amount</t>
  </si>
  <si>
    <t>amount</t>
  </si>
  <si>
    <t>An amount, rounded to the nearest whole dollar, for this record. No decimals or commas.</t>
  </si>
  <si>
    <t>The indicator of the type of record being reported. (rev, exp)</t>
  </si>
  <si>
    <t>The State assigned three-digit number associated with the LEA.</t>
  </si>
  <si>
    <t>The State assigned four-digit number associated with the school.
For local use only.</t>
  </si>
  <si>
    <t>Transaction Date</t>
  </si>
  <si>
    <t>transactionDate</t>
  </si>
  <si>
    <t xml:space="preserve">For EXP, the date the expenditure was posted, paid for and/or a check was written.
For REV, the date the revenue was received, processed or deposited. </t>
  </si>
  <si>
    <t>DATE</t>
  </si>
  <si>
    <t>MM/DD/YYYY</t>
  </si>
  <si>
    <t>Transaction Identification</t>
  </si>
  <si>
    <t>transactionID</t>
  </si>
  <si>
    <t xml:space="preserve">The unique identification number for the transaction. 
Format as Abcdef123456
</t>
  </si>
  <si>
    <t>VARCHAR</t>
  </si>
  <si>
    <t>Entity</t>
  </si>
  <si>
    <t>entityName</t>
  </si>
  <si>
    <t>The name of the entity, where the expenditure was paid out</t>
  </si>
  <si>
    <t>Entity City</t>
  </si>
  <si>
    <t>entityCity</t>
  </si>
  <si>
    <t xml:space="preserve">The City where the entity is located. </t>
  </si>
  <si>
    <t>Entity State</t>
  </si>
  <si>
    <t>entityState</t>
  </si>
  <si>
    <t>The State where the entity is located</t>
  </si>
  <si>
    <t>AA</t>
  </si>
  <si>
    <t>Entity Country</t>
  </si>
  <si>
    <t>entityCountry</t>
  </si>
  <si>
    <t>The Country where the entity is located</t>
  </si>
  <si>
    <t>Collection Option Set Document Map</t>
  </si>
  <si>
    <t>Key</t>
  </si>
  <si>
    <t>Updated</t>
  </si>
  <si>
    <t>Multiple</t>
  </si>
  <si>
    <t>ISEE</t>
  </si>
  <si>
    <t>ISEE Files</t>
  </si>
  <si>
    <t>Provider Schools</t>
  </si>
  <si>
    <t>Special Ed Eligibility</t>
  </si>
  <si>
    <t>Code</t>
  </si>
  <si>
    <t>Option Name</t>
  </si>
  <si>
    <t>Option Definition</t>
  </si>
  <si>
    <t>Examples/Business Rules (under continual maintenance)</t>
  </si>
  <si>
    <t>320001</t>
  </si>
  <si>
    <t>Fund Balance, July 1</t>
  </si>
  <si>
    <t>320002</t>
  </si>
  <si>
    <t>Adjustments</t>
  </si>
  <si>
    <t>320003</t>
  </si>
  <si>
    <t>Adjusted Fund Balance July 1</t>
  </si>
  <si>
    <t>111000</t>
  </si>
  <si>
    <t>Cash</t>
  </si>
  <si>
    <t>112000</t>
  </si>
  <si>
    <t>Investments</t>
  </si>
  <si>
    <t>113000</t>
  </si>
  <si>
    <t>Taxes Receivable</t>
  </si>
  <si>
    <t>114000</t>
  </si>
  <si>
    <t>Other Receivables</t>
  </si>
  <si>
    <t>115000</t>
  </si>
  <si>
    <t>Inventories</t>
  </si>
  <si>
    <t>116000</t>
  </si>
  <si>
    <t>Other Current Assets</t>
  </si>
  <si>
    <t>121000</t>
  </si>
  <si>
    <t>Sites</t>
  </si>
  <si>
    <t>122000</t>
  </si>
  <si>
    <t>Buildings</t>
  </si>
  <si>
    <t>123000</t>
  </si>
  <si>
    <t>Equipment</t>
  </si>
  <si>
    <t>124000</t>
  </si>
  <si>
    <t>Construction in Progress</t>
  </si>
  <si>
    <t>131000</t>
  </si>
  <si>
    <t>Amount Available in Debt Services</t>
  </si>
  <si>
    <t>132000</t>
  </si>
  <si>
    <t>Amount to be Provided G.L.T.D.</t>
  </si>
  <si>
    <t>211000</t>
  </si>
  <si>
    <t>Interfund Payable</t>
  </si>
  <si>
    <t>213000</t>
  </si>
  <si>
    <t>Accounts Payable</t>
  </si>
  <si>
    <t>214000</t>
  </si>
  <si>
    <t>Contracts Payable</t>
  </si>
  <si>
    <t>215000</t>
  </si>
  <si>
    <t>Construction Contracts Payable</t>
  </si>
  <si>
    <t>216000</t>
  </si>
  <si>
    <t>Current Portion-Bonds Payable</t>
  </si>
  <si>
    <t>217000</t>
  </si>
  <si>
    <t>Salaries/Benefits Payable</t>
  </si>
  <si>
    <t>218000</t>
  </si>
  <si>
    <t>Payroll Withholdings</t>
  </si>
  <si>
    <t>219000</t>
  </si>
  <si>
    <t>Current Loans Payable</t>
  </si>
  <si>
    <t>221000</t>
  </si>
  <si>
    <t>Deferred Revenues</t>
  </si>
  <si>
    <t>222000</t>
  </si>
  <si>
    <t>Returnable Revenues</t>
  </si>
  <si>
    <t>223000</t>
  </si>
  <si>
    <t>Other Liabilities</t>
  </si>
  <si>
    <t>231000</t>
  </si>
  <si>
    <t>Bonds Payable - N.C.P.</t>
  </si>
  <si>
    <t>232000</t>
  </si>
  <si>
    <t>Loans Payable - N.C.P.</t>
  </si>
  <si>
    <t>233000</t>
  </si>
  <si>
    <t>Lease Obligations</t>
  </si>
  <si>
    <t>234000</t>
  </si>
  <si>
    <t>Other L.C. Liabilities</t>
  </si>
  <si>
    <t>310600</t>
  </si>
  <si>
    <t>Reserved for Inventories</t>
  </si>
  <si>
    <t>Other Reserved</t>
  </si>
  <si>
    <t>320100</t>
  </si>
  <si>
    <t>Unreserved - designated</t>
  </si>
  <si>
    <t>320200</t>
  </si>
  <si>
    <t>Unreserved - undesignated</t>
  </si>
  <si>
    <t>330000</t>
  </si>
  <si>
    <t>Investment in General Fixed Assets</t>
  </si>
  <si>
    <t>340000</t>
  </si>
  <si>
    <t>Contributed Capital</t>
  </si>
  <si>
    <t>350000</t>
  </si>
  <si>
    <t>Retained Earnings - Int. Service</t>
  </si>
  <si>
    <t>411100</t>
  </si>
  <si>
    <t>Taxes - General M &amp; O</t>
  </si>
  <si>
    <t>411200</t>
  </si>
  <si>
    <t>Taxes - Supplemental</t>
  </si>
  <si>
    <t>411300</t>
  </si>
  <si>
    <t>Taxes - Emergency</t>
  </si>
  <si>
    <t>411400</t>
  </si>
  <si>
    <t>Taxes - Tort</t>
  </si>
  <si>
    <t>411500</t>
  </si>
  <si>
    <t>Taxes - Cooperative</t>
  </si>
  <si>
    <t>411600</t>
  </si>
  <si>
    <t>Taxes - Tuition</t>
  </si>
  <si>
    <t>411700</t>
  </si>
  <si>
    <t>Taxes - Migrant</t>
  </si>
  <si>
    <t>411900</t>
  </si>
  <si>
    <t>Taxes - Other</t>
  </si>
  <si>
    <t>412100</t>
  </si>
  <si>
    <t>Taxes - Plant Facility</t>
  </si>
  <si>
    <t>412500</t>
  </si>
  <si>
    <t>Taxes - Bond &amp; Interest</t>
  </si>
  <si>
    <t>413000</t>
  </si>
  <si>
    <t>Penalty: Delinquent Taxes</t>
  </si>
  <si>
    <t>414100</t>
  </si>
  <si>
    <t>Tuition From Individuals</t>
  </si>
  <si>
    <t>414200</t>
  </si>
  <si>
    <t>Tuition From Districts in Idaho</t>
  </si>
  <si>
    <t>414300</t>
  </si>
  <si>
    <t>Tuition From Out of State Districts</t>
  </si>
  <si>
    <t>415000</t>
  </si>
  <si>
    <t>Earnings on Investments</t>
  </si>
  <si>
    <t>416100</t>
  </si>
  <si>
    <t>School Food Service</t>
  </si>
  <si>
    <t>416200</t>
  </si>
  <si>
    <t>Meal Sales:  Non-reimbur.</t>
  </si>
  <si>
    <t>416900</t>
  </si>
  <si>
    <t>Other Food Sales</t>
  </si>
  <si>
    <t>417100</t>
  </si>
  <si>
    <t>Admissions/Activities</t>
  </si>
  <si>
    <t>417200</t>
  </si>
  <si>
    <t>Bookstore Sales</t>
  </si>
  <si>
    <t>417300</t>
  </si>
  <si>
    <t>Clubs Org. Dues Etc.</t>
  </si>
  <si>
    <t>417400</t>
  </si>
  <si>
    <t>School Fees &amp; Charges</t>
  </si>
  <si>
    <t>417900</t>
  </si>
  <si>
    <t>Other Student Revenues</t>
  </si>
  <si>
    <t>418100</t>
  </si>
  <si>
    <t>Community Service</t>
  </si>
  <si>
    <t>419100</t>
  </si>
  <si>
    <t>Rentals</t>
  </si>
  <si>
    <t>419200</t>
  </si>
  <si>
    <t>Contributions/Donations</t>
  </si>
  <si>
    <t>419300</t>
  </si>
  <si>
    <t>Transportation Fees</t>
  </si>
  <si>
    <t>419900</t>
  </si>
  <si>
    <t>Other Local</t>
  </si>
  <si>
    <t>429000</t>
  </si>
  <si>
    <t>Other County</t>
  </si>
  <si>
    <t>431100</t>
  </si>
  <si>
    <t>Base Support Program</t>
  </si>
  <si>
    <t>431200</t>
  </si>
  <si>
    <t>Transportation Support</t>
  </si>
  <si>
    <t>431400</t>
  </si>
  <si>
    <t>Exceptional Child Support</t>
  </si>
  <si>
    <t>431500</t>
  </si>
  <si>
    <t>Border Tuition Support</t>
  </si>
  <si>
    <t>431600</t>
  </si>
  <si>
    <t>Tuition Equivalency</t>
  </si>
  <si>
    <t>431800</t>
  </si>
  <si>
    <t>Benefit Apportionment</t>
  </si>
  <si>
    <t>431900</t>
  </si>
  <si>
    <t>Other State Support</t>
  </si>
  <si>
    <t>432100</t>
  </si>
  <si>
    <t>Driver Education Program</t>
  </si>
  <si>
    <t>432400</t>
  </si>
  <si>
    <t>Professional Technical Program</t>
  </si>
  <si>
    <t>437000</t>
  </si>
  <si>
    <t>Lottery/Additional State Maintenance</t>
  </si>
  <si>
    <t>438000</t>
  </si>
  <si>
    <t>Revenue in Lieu of/Ag Equip. Taxes</t>
  </si>
  <si>
    <t>439000</t>
  </si>
  <si>
    <t>Other State Revenue</t>
  </si>
  <si>
    <t>442000</t>
  </si>
  <si>
    <t>Indirect Unrestricted Federal</t>
  </si>
  <si>
    <t>443000</t>
  </si>
  <si>
    <t>Direct Restricted Federal</t>
  </si>
  <si>
    <t>445100</t>
  </si>
  <si>
    <t>Title I - ESSA</t>
  </si>
  <si>
    <t>445200</t>
  </si>
  <si>
    <t xml:space="preserve">Title VI, ESSA - Innovative Practices </t>
  </si>
  <si>
    <t>445300</t>
  </si>
  <si>
    <t>Perkins IV - Vocational Technical Act</t>
  </si>
  <si>
    <t>445400</t>
  </si>
  <si>
    <t>Adult Education</t>
  </si>
  <si>
    <t>445500</t>
  </si>
  <si>
    <t>Child Nutrition Reimbursement</t>
  </si>
  <si>
    <t>445600</t>
  </si>
  <si>
    <t>IDEA Part B (School-Age, Preschool)</t>
  </si>
  <si>
    <t>445900</t>
  </si>
  <si>
    <t>Other Indirect Restricted Federal</t>
  </si>
  <si>
    <t>448200</t>
  </si>
  <si>
    <t>Impact Aid - Public Law 874</t>
  </si>
  <si>
    <t>451000</t>
  </si>
  <si>
    <t>Proceeds: Bonds Cap Leases, et al</t>
  </si>
  <si>
    <t>453000</t>
  </si>
  <si>
    <t>Sale or Compensation for Loss of Fixed Assets</t>
  </si>
  <si>
    <t>460000</t>
  </si>
  <si>
    <t>Transfers - In</t>
  </si>
  <si>
    <t>I</t>
  </si>
  <si>
    <t>Border Student In</t>
  </si>
  <si>
    <t xml:space="preserve">A border student from outside Idaho coming into the district </t>
  </si>
  <si>
    <t>O</t>
  </si>
  <si>
    <t>Border Student Out</t>
  </si>
  <si>
    <t>A student from a border district going out of the state of Idaho for services</t>
  </si>
  <si>
    <t>Not a Border Student</t>
  </si>
  <si>
    <t>Any student served within their home district or within an Idaho district</t>
  </si>
  <si>
    <t>A</t>
  </si>
  <si>
    <t>Alternative High Schools</t>
  </si>
  <si>
    <t>Calendar applying to Alternative High schools -- time expressed in hours</t>
  </si>
  <si>
    <t>DR</t>
  </si>
  <si>
    <t>Dual Enrollment Calendar</t>
  </si>
  <si>
    <t>Calendar applying to dual enrolled students - Time expressed in hours or 1/10th of hour.</t>
  </si>
  <si>
    <t>Private/Home School Students Only</t>
  </si>
  <si>
    <t>K</t>
  </si>
  <si>
    <t>Kindergarten</t>
  </si>
  <si>
    <t>Calendar applying to Kindergarten students</t>
  </si>
  <si>
    <t>R</t>
  </si>
  <si>
    <t>Regular School</t>
  </si>
  <si>
    <t>Calendar applying to Regular schools -- Time expressed in half days</t>
  </si>
  <si>
    <t>SA</t>
  </si>
  <si>
    <t>Summer Alternate</t>
  </si>
  <si>
    <t>Calendar applying to Summer Alternative High schools -- time expressed in hours</t>
  </si>
  <si>
    <t>Alternative summer schools</t>
  </si>
  <si>
    <t>SR</t>
  </si>
  <si>
    <t>Summer Regular</t>
  </si>
  <si>
    <t>Calendar applying to Summer Regular schools -- Time expressed in half days</t>
  </si>
  <si>
    <t>Regular summer schools and summer JDC schools</t>
  </si>
  <si>
    <t>CIP CODES</t>
  </si>
  <si>
    <t>AGRICULTURAL/ANIMAL/PLANT/VETERINARY SCIENCE AND RELATED FIELDS.</t>
  </si>
  <si>
    <t>Instructional programs that focus on agriculture, animal, plant, veterinary, and related sciences and that prepares individuals to apply specific knowledge, methods, and techniques to the management and performance of agricultural and veterinary operations.</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</si>
  <si>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</si>
  <si>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</si>
  <si>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</si>
  <si>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</si>
  <si>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</si>
  <si>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</si>
  <si>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</si>
  <si>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</si>
  <si>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</si>
  <si>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</si>
  <si>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</si>
  <si>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</si>
  <si>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</si>
  <si>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</si>
  <si>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</si>
  <si>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Technology/Technician.</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</si>
  <si>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</si>
  <si>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</si>
  <si>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</si>
  <si>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</si>
  <si>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</si>
  <si>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</si>
  <si>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</si>
  <si>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</si>
  <si>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</si>
  <si>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Agricultural Mechanics and Equipment/Machine Technology/Technician.</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</si>
  <si>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</si>
  <si>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Irrigation Management Technology/Technician.</t>
  </si>
  <si>
    <t>A program that prepares individuals for employment in the field of agricultural technology and irrigation. Includes instruction in irrigation and drainage methodologies, pumping and delivery systems, system design and evaluation, and principles of installation and repair of irrigation systems.</t>
  </si>
  <si>
    <t>Agricultural Mechanization, Other.</t>
  </si>
  <si>
    <t>Any instructional program in agricultural mechanization not listed above.</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</si>
  <si>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</si>
  <si>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</si>
  <si>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</si>
  <si>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</si>
  <si>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</si>
  <si>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</si>
  <si>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</si>
  <si>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</si>
  <si>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</si>
  <si>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</si>
  <si>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</si>
  <si>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</si>
  <si>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</si>
  <si>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</si>
  <si>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</si>
  <si>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</si>
  <si>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Apiculture.</t>
  </si>
  <si>
    <t>A program that focuses on improving the beekeeping industry, promoting pollination of fruits and vegetables, and bee colony expansion and maintenance. Includes instruction in apiary behavior, apiary equipment and supplies, beekeeping, bee pests and parasites, handling bees, hive set up and care, queen rearing, and seasonal management practices.</t>
  </si>
  <si>
    <t>Agricultural Production Operations, Other.</t>
  </si>
  <si>
    <t>Any instructional program in agricultural production operations not listed above.</t>
  </si>
  <si>
    <t>Agricultural and Food Products Processing.</t>
  </si>
  <si>
    <t>Instructional content for this group of programs is defined in codes 01.0401 - 01.0480.</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</si>
  <si>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</si>
  <si>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Reserved.</t>
  </si>
  <si>
    <t>Reserved for use by Statistics Canada. This CIP code is not valid for IPEDS reporting.</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</si>
  <si>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</si>
  <si>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</si>
  <si>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</si>
  <si>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</si>
  <si>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</si>
  <si>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</si>
  <si>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</si>
  <si>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</si>
  <si>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</si>
  <si>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</si>
  <si>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Farrier Science.</t>
  </si>
  <si>
    <t>A program of study that prepares individuals to become specialists in equine hoof care (farriers). Includes instruction in equine science, equine health and first aid, general horseshoeing, corrective horseshoeing, gait analysis, and metal forging techniques using gas or coal.</t>
  </si>
  <si>
    <t>Agricultural and Domestic Animal Services, Other.</t>
  </si>
  <si>
    <t>Any instructional program in agricultural and domestic animal services not listed above.</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</si>
  <si>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</si>
  <si>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</si>
  <si>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</si>
  <si>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</si>
  <si>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</si>
  <si>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</si>
  <si>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</si>
  <si>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</si>
  <si>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</si>
  <si>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</si>
  <si>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</si>
  <si>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</si>
  <si>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</si>
  <si>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</si>
  <si>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</si>
  <si>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</si>
  <si>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Public Horticulture.</t>
  </si>
  <si>
    <t>A program of study that focuses on combining traditional horticulture and public education and outreach. Includes instruction in botany, soil science, plant science, agricultural economics, leadership, and business.</t>
  </si>
  <si>
    <t>Urban and Community Horticulture.</t>
  </si>
  <si>
    <t>A program that focuses on principles and techniques for the production of horticultural crops in an urban environment. Includes instruction in ecology, environmental sustainability, food production systems, and plant and soil sciences.</t>
  </si>
  <si>
    <t>Applied Horticulture/Horticultural Business Services, Other.</t>
  </si>
  <si>
    <t>Any instructional program in horticultural service operations not listed above.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</si>
  <si>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</si>
  <si>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</si>
  <si>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</si>
  <si>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</si>
  <si>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</si>
  <si>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</si>
  <si>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</si>
  <si>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</si>
  <si>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</si>
  <si>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</si>
  <si>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</si>
  <si>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</si>
  <si>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</si>
  <si>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</si>
  <si>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</si>
  <si>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</si>
  <si>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</si>
  <si>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</si>
  <si>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</si>
  <si>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</si>
  <si>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</si>
  <si>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</si>
  <si>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</si>
  <si>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</si>
  <si>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</si>
  <si>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</si>
  <si>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</si>
  <si>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</si>
  <si>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</si>
  <si>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</si>
  <si>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</si>
  <si>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</si>
  <si>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</si>
  <si>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</si>
  <si>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</si>
  <si>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Brewing Science.</t>
  </si>
  <si>
    <t>A program that focuses on the business, science, and technology of beer brewing operations. Includes instruction in biology, biochemistry, brewing, entrepreneurship, fermentation, malting, marketing, microbiology, quality control, and sanitation.</t>
  </si>
  <si>
    <t>Viticulture and Enology.</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</si>
  <si>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</si>
  <si>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Zymology/Fermentation Science.</t>
  </si>
  <si>
    <t>A program that focuses on the business, science, and technology of fermented food production. Includes instruction in biology, biochemistry, brewing, entrepreneurship, fermentation, marketing, microbiology, quality control, and sanitation.</t>
  </si>
  <si>
    <t>Food Science and Technology, Other.</t>
  </si>
  <si>
    <t>Any instructional program in food sciences and technology not listed above.</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</si>
  <si>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</si>
  <si>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</si>
  <si>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</si>
  <si>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</si>
  <si>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</si>
  <si>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</si>
  <si>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</si>
  <si>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</si>
  <si>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</si>
  <si>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</si>
  <si>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</si>
  <si>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</si>
  <si>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</si>
  <si>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</si>
  <si>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</si>
  <si>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</si>
  <si>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</si>
  <si>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</si>
  <si>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</si>
  <si>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</si>
  <si>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</si>
  <si>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</si>
  <si>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</si>
  <si>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</si>
  <si>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</si>
  <si>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</si>
  <si>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Agriculture/Veterinary Preparatory Programs.</t>
  </si>
  <si>
    <t>Instructional content for this group of programs is defined in codes 01.1302 - 01.1399.</t>
  </si>
  <si>
    <t>Pre-Veterinary Studies.</t>
  </si>
  <si>
    <t>A program that prepares individuals for admission to a professional program in veterinary medicine.</t>
  </si>
  <si>
    <t>Agriculture/Veterinary Preparatory Programs, Other.</t>
  </si>
  <si>
    <t>Any instructional program that prepares individuals for admission to a professional program in agriculture or veterinary medicine or science not listed above.</t>
  </si>
  <si>
    <t>Veterinary Medicine.</t>
  </si>
  <si>
    <t>Instructional content is defined in code 01.8001.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</si>
  <si>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</si>
  <si>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Veterinary Biomedical and Clinical Sciences.</t>
  </si>
  <si>
    <t>Instructional content for this group of programs is defined in codes 01.8101 - 01.8199.</t>
  </si>
  <si>
    <t>Veterinary Sciences/Veterinary Clinical Sciences, General.</t>
  </si>
  <si>
    <t>An integrated program of study in one or more of the veterinary medical or clinical sciences or a program undifferentiated as to title.</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</si>
  <si>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</si>
  <si>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</si>
  <si>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</si>
  <si>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</si>
  <si>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</si>
  <si>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</si>
  <si>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</si>
  <si>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</si>
  <si>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</si>
  <si>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</si>
  <si>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</si>
  <si>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</si>
  <si>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</si>
  <si>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</si>
  <si>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</si>
  <si>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</si>
  <si>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</si>
  <si>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</si>
  <si>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</si>
  <si>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</si>
  <si>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Veterinary Biomedical and Clinical Sciences, Other.</t>
  </si>
  <si>
    <t>Any instructional program in veterinary biomedical and clinical sciences not listed above.</t>
  </si>
  <si>
    <t>Veterinary Administrative Services.</t>
  </si>
  <si>
    <t>Instructional content for this group of programs is defined in codes 01.8201 - 01.8299.</t>
  </si>
  <si>
    <t>Veterinary Administrative Services, General.</t>
  </si>
  <si>
    <t>A general program that prepares individuals to provide administrative support services in a veterinary office or animal care facility. Includes instruction in business office operations, customer service, principles of veterinary health care operations, record-keeping, veterinary terminology, and professional standards and ethics.</t>
  </si>
  <si>
    <t>Veterinary Office Management/Administration.</t>
  </si>
  <si>
    <t>A program that prepares individuals to manage the specialized business functions of a veterinary office. Includes instruction in business office operations, business and financial record-keeping, personnel supervision, veterinary care policy administration, conference planning, scheduling and coordination, public relations, and applicable law and regulations.</t>
  </si>
  <si>
    <t>Veterinary Reception/Receptionist.</t>
  </si>
  <si>
    <t>A program that prepares individuals, under the supervision of office managers, veterinary technicians, or veterinarians, to provide customer service, visitor reception, and patient intake and discharge services. Includes instruction in veterinary office and animal care facility procedures, veterinary terminology, interpersonal skills, record-keeping, customer service, telephone skills, data entry, interpersonal communications skills, and applicable policies and regulations.</t>
  </si>
  <si>
    <t>Veterinary Administrative/Executive Assistant and Veterinary Secretary.</t>
  </si>
  <si>
    <t>A program that prepares individuals to perform the duties of special assistants and personal secretaries for practicing veterinarians, veterinary health care facilities and services administrators, and other veterinary professionals. Includes instruction in business and veterinary communications, veterinary terminology, principles of veterinary health care operations, public relations and interpersonal communications, software applications, record-keeping and filing systems, scheduling and meeting planning, applicable policy and regulations, and professional standards and ethics.</t>
  </si>
  <si>
    <t>Veterinary Administrative Services, Other.</t>
  </si>
  <si>
    <t>Any instructional program in veterinary administrative services not listed above.</t>
  </si>
  <si>
    <t>Veterinary/Animal Health Technologies/Technicians.</t>
  </si>
  <si>
    <t>Instructional content for this group of programs is defined in codes 01.8301 - 01.8399.</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</si>
  <si>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</si>
  <si>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</si>
  <si>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Veterinary/Animal Health Technologies/Technicians, Other.</t>
  </si>
  <si>
    <t>Any instructional program in veterinary or animal health technologies not listed above.</t>
  </si>
  <si>
    <t>Agricultural/Animal/Plant/Veterinary Science and Related Fields, Other.</t>
  </si>
  <si>
    <t>Instructional content is defined in code 01.9999.</t>
  </si>
  <si>
    <t>Any instructional program in agricultural, animal, plant, or veterinary science and related fields not listed above.</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</si>
  <si>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</si>
  <si>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</si>
  <si>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</si>
  <si>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</si>
  <si>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</si>
  <si>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</si>
  <si>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</si>
  <si>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</si>
  <si>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</si>
  <si>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</si>
  <si>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Natural Resources Conservation and Research, Other.</t>
  </si>
  <si>
    <t>Any instructional program in natural resources conservation and research not listed above.</t>
  </si>
  <si>
    <t>Environmental/Natural Resources Management and Policy.</t>
  </si>
  <si>
    <t>Instructional content for this group of programs is defined in codes 03.0201 - 03.0299.</t>
  </si>
  <si>
    <t>Environmental/Natural Resources Management and Policy, General.</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</si>
  <si>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</si>
  <si>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Environmental/Natural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</si>
  <si>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</si>
  <si>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</si>
  <si>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</si>
  <si>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</si>
  <si>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</si>
  <si>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Environmental/Natural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</si>
  <si>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</si>
  <si>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Environmental/Natural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</si>
  <si>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</si>
  <si>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Energy and Environmental Policy.</t>
  </si>
  <si>
    <t>A program of study that focuses on the systematic analysis of public policy issues related to climate change, energy policy, environmental economics, global sustainability, and security. Includes instruction in climate change, clean energy technologies, environmental policy, environmental law, environmental economics, food security, fossil fuels, renewable and sustainable energy sources, and water issues.</t>
  </si>
  <si>
    <t>Bioenergy.</t>
  </si>
  <si>
    <t>A program of study that focuses on the environmental and economic impact of using plants and microbes for the production of bio-based fuels such as ethanol and biodiesel. Includes instruction in biochemical engineering, bioprocessing, bioseparations, conversion, feedstock, economics, environmental sustainability, hydrology, and natural resource management.</t>
  </si>
  <si>
    <t>Environmental/Natural Resources Management and Policy, Other.</t>
  </si>
  <si>
    <t>Any instructional program in environmental or natural resources management and policy not listed above.</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</si>
  <si>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</si>
  <si>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</si>
  <si>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</si>
  <si>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</si>
  <si>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</si>
  <si>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</si>
  <si>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</si>
  <si>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</si>
  <si>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</si>
  <si>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</si>
  <si>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</si>
  <si>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</si>
  <si>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</si>
  <si>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Technology/Technician.</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</si>
  <si>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</si>
  <si>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</si>
  <si>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</si>
  <si>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</si>
  <si>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</si>
  <si>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</si>
  <si>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</si>
  <si>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</si>
  <si>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</si>
  <si>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</si>
  <si>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</si>
  <si>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Natural Resources and Conservation, Other.</t>
  </si>
  <si>
    <t>Instructional content is defined in code 03.9999.</t>
  </si>
  <si>
    <t>Any instructional program in natural resources and conservation not listed above.</t>
  </si>
  <si>
    <t>ARCHITECTURE AND RELATED SERVICES.</t>
  </si>
  <si>
    <t>Instructional programs that prepare individuals for professional practice in the various architecture-related fields and focus on the study of related aesthetic and socioeconomic aspects of the built environment.</t>
  </si>
  <si>
    <t>Architecture.</t>
  </si>
  <si>
    <t>Instructional content for this group of programs is defined in codes 04.0200 - 04.0299.</t>
  </si>
  <si>
    <t>Pre-Architecture Studies.</t>
  </si>
  <si>
    <t>A program of study that is a precursor to an advanced degree in architecture. Includes instruction in architectural design, architectural graphics, architectural history, architectural technology, architectural theory and criticism, building technology, calculus, design studio, human factors, environmental architecture, geometry and trigonometry, physics, and technical drawing.</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</si>
  <si>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</si>
  <si>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Architectural Design.</t>
  </si>
  <si>
    <t>An advanced program of study for architects and related professionals that focuses on theoretical and practical issues in architecture and integrates digital technologies into architectural design, fabrication, and construction. Includes instruction in architectural history and urban theory, 3-D digital technologies, construction, design and fabrication methods, and sustainable practices in architecture.</t>
  </si>
  <si>
    <t>Architecture, Other.</t>
  </si>
  <si>
    <t>Any instructional program in architecture not listed above.</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</si>
  <si>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</si>
  <si>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</si>
  <si>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</si>
  <si>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Environmental Design.</t>
  </si>
  <si>
    <t>Instructional content for this group of programs is defined in codes 04.0401 - 04.0499.</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</si>
  <si>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</si>
  <si>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</si>
  <si>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Healthcare Environment Design/Architecture.</t>
  </si>
  <si>
    <t>A program that focuses on the design and performance of healthcare environments to optimize healing. Includes instruction in interior design, architecture, healing sciences, healthcare environments, human-centered design, and healthcare delivery.</t>
  </si>
  <si>
    <t>Sustainable Design/Architecture.</t>
  </si>
  <si>
    <t>A program that focuses on the application of biological, physical, and social science in the design of sustainable cities and metropolitan regions. Includes instruction in community revitalization, community economic development, construction technology, design innovation, environmental economics, ethics, justice and politics, sustainable materials, sustainability theory, structural materials, and urbanism.</t>
  </si>
  <si>
    <t>Environmental Design, Other.</t>
  </si>
  <si>
    <t>Any instructional program in environmental design not listed above.</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</si>
  <si>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</si>
  <si>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</si>
  <si>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</si>
  <si>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</si>
  <si>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</si>
  <si>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</si>
  <si>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Architectural History, Criticism, and Conservation.</t>
  </si>
  <si>
    <t>Instructional content for this group of programs is defined in codes 04.0801 - 04.0899.</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</si>
  <si>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</si>
  <si>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</si>
  <si>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Conservation.</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</si>
  <si>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and material conservation.</t>
  </si>
  <si>
    <t>Architectural Studies.</t>
  </si>
  <si>
    <t>A program that focuses on the study of architecture, cities, landscapes, designed objects, ornament, architectural photography, and material culture in diverse places and time periods, and the social and aesthetic dimensions of contemporary architecture, landscapes, and cities, emphasizing issues of sustainable environments, new forms of urbanism, and the use of digital media for visualization and analysis. Includes instruction in the fundamentals of architecture, design, environmental and sustainability studies, historic preservation, landscape architecture, studio art, and urban affairs and planning.</t>
  </si>
  <si>
    <t>Architectural History, Criticism, and Conservation, Other.</t>
  </si>
  <si>
    <t>Any instructional program in architectural history, criticism, and conservation not listed above.</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</si>
  <si>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</si>
  <si>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</si>
  <si>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</si>
  <si>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</si>
  <si>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</si>
  <si>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</si>
  <si>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</si>
  <si>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</si>
  <si>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</si>
  <si>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</si>
  <si>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</si>
  <si>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Architecture and Related Services, Other.</t>
  </si>
  <si>
    <t>Instructional content is defined in code 04.9999.</t>
  </si>
  <si>
    <t>Any instructional program in architecture and related programs not listed above.</t>
  </si>
  <si>
    <t>AREA, ETHNIC, CULTURAL, GENDER, AND GROUP STUDIES.</t>
  </si>
  <si>
    <t>Instructional programs that focus on the defined areas, regions, and countries of the world; defined minority groups within and across societies; and issues relevant to collective gender and group experience.</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</si>
  <si>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</si>
  <si>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</si>
  <si>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</si>
  <si>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</si>
  <si>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</si>
  <si>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</si>
  <si>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</si>
  <si>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</si>
  <si>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</si>
  <si>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</si>
  <si>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</si>
  <si>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</si>
  <si>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</si>
  <si>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</si>
  <si>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</si>
  <si>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</si>
  <si>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</si>
  <si>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</si>
  <si>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</si>
  <si>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</si>
  <si>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</si>
  <si>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</si>
  <si>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Scandinavian Studies.</t>
  </si>
  <si>
    <t>A program that focuses on the history, society, politics, culture, and economics of one or more of the peoples of Scandinavia, defined as Northern Europe including Denmark, Finland, Iceland, Norway, Sweden, and related island groups (e.g.,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</si>
  <si>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</si>
  <si>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</si>
  <si>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</si>
  <si>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</si>
  <si>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</si>
  <si>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</si>
  <si>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</si>
  <si>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</si>
  <si>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</si>
  <si>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</si>
  <si>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</si>
  <si>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</si>
  <si>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</si>
  <si>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</si>
  <si>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</si>
  <si>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</si>
  <si>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</si>
  <si>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</si>
  <si>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</si>
  <si>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</si>
  <si>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</si>
  <si>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</si>
  <si>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</si>
  <si>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</si>
  <si>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</si>
  <si>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</si>
  <si>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</si>
  <si>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</si>
  <si>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</si>
  <si>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</si>
  <si>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</si>
  <si>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</si>
  <si>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</si>
  <si>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</si>
  <si>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</si>
  <si>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</si>
  <si>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</si>
  <si>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</si>
  <si>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</si>
  <si>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</si>
  <si>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</si>
  <si>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</si>
  <si>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</si>
  <si>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</si>
  <si>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</si>
  <si>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</si>
  <si>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Appalachian Studies.</t>
  </si>
  <si>
    <t>A program of study that focuses on the history, sociology, culture, and economics of the Appalachian region of the United States. Includes instruction in contemporary issues in Appalachia, political economy of Appalachia, community-based research, ethnomusicology, and oral and written languages of Appalachia.</t>
  </si>
  <si>
    <t>Arctic Studies.</t>
  </si>
  <si>
    <t>A program that focuses on the history, society, politics, culture, and economics of the Arctic region.</t>
  </si>
  <si>
    <t>Area Studies, Other.</t>
  </si>
  <si>
    <t>Any instructional program in specifically defined area studies not listed above.</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</si>
  <si>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</si>
  <si>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</si>
  <si>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</si>
  <si>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</si>
  <si>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</si>
  <si>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</si>
  <si>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</si>
  <si>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</si>
  <si>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</si>
  <si>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</si>
  <si>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</si>
  <si>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</si>
  <si>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</si>
  <si>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</si>
  <si>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</si>
  <si>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</si>
  <si>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</si>
  <si>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</si>
  <si>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</si>
  <si>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</si>
  <si>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</si>
  <si>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</si>
  <si>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Comparative Group Studies.</t>
  </si>
  <si>
    <t>A program that focuses on the comparative study of the history, literature, sociology, politics, culture, and economics of different groups such as racial, gender, sexual, class, ethnic, geographical, and national. Includes instruction in comparative studies, comparative literature, critical race theory, cultural anthropology, cultural studies, religious studies, science studies, social and cultural theory, urban studies, and visual culture.</t>
  </si>
  <si>
    <t>Ethnic, Cultural Minority, Gender, and Group Studies, Other.</t>
  </si>
  <si>
    <t>Any instructional program in ethnic, cultural minority, gender, and group studies not listed above.</t>
  </si>
  <si>
    <t>Area, Ethnic, Cultural, Gender, and Group Studies, Other.</t>
  </si>
  <si>
    <t>Instructional content is defined in code 05.9999.</t>
  </si>
  <si>
    <t>Any instructional program in area, ethnic, cultural, gender, or group studies not listed above.</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</si>
  <si>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</si>
  <si>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</si>
  <si>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</si>
  <si>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</si>
  <si>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</si>
  <si>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</si>
  <si>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</si>
  <si>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</si>
  <si>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</si>
  <si>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</si>
  <si>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</si>
  <si>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</si>
  <si>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</si>
  <si>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</si>
  <si>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</si>
  <si>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</si>
  <si>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</si>
  <si>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</si>
  <si>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</si>
  <si>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Business and Economic Journalism.</t>
  </si>
  <si>
    <t>A program of study that prepares students to gather, analyze, and synthesize verbal and visual information to communicate stories related to business and economics across multiple media platforms. Includes instruction in accounting, business, business and economic reporting, business law, economics, finance, financial accounting and reporting, ethics, journalistic research methods and resources, and journalism skills and techniques.</t>
  </si>
  <si>
    <t>Cultural Journalism.</t>
  </si>
  <si>
    <t>A program of study that prepares individuals to be journalists who critically examine current culture as expressed through the visual and performing arts, design, film, music, radio, television, dance, theater, and written text. Includes instruction in arts criticism, art and entertainment reporting, cultural critique, investigative reporting, newspaper reporting, photojournalism, and writing.</t>
  </si>
  <si>
    <t>Science/Health/Environmental Journalism.</t>
  </si>
  <si>
    <t>A program that focuses on reporting on science, health, or environmental policy issues; investigating environmental problems and their causes; and public relations. Includes instruction in communication law, health reporting skills, interactive journalism, integrated marketing communication, journalism methods, media ethics, persuasion and political communication, science, health and the environment, social marketing, and video journalism.</t>
  </si>
  <si>
    <t>Journalism, Other.</t>
  </si>
  <si>
    <t>Any instructional program in journalism not listed above.</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</si>
  <si>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</si>
  <si>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</si>
  <si>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</si>
  <si>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</si>
  <si>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</si>
  <si>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</si>
  <si>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Radio, Television, and Digital Communication, Other.</t>
  </si>
  <si>
    <t>Any instructional program in radio, television, and digital communications not listed above.</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</si>
  <si>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</si>
  <si>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</si>
  <si>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</si>
  <si>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</si>
  <si>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</si>
  <si>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</si>
  <si>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</si>
  <si>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</si>
  <si>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</si>
  <si>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</si>
  <si>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</si>
  <si>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</si>
  <si>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</si>
  <si>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</si>
  <si>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</si>
  <si>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</si>
  <si>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</si>
  <si>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</si>
  <si>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</si>
  <si>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Communication Management and Strategic Communications.</t>
  </si>
  <si>
    <t>A program that focuses on the critical thinking, analysis, and practical skills essential to developing and implementing communication strategies that advance organizations goals and missions. Includes instruction in communication management, crisis communication, communications law, digital and traditional marketing strategies, media relations, social media strategies, strategic communication, traditional and emerging media, and writing for the media.</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</si>
  <si>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</si>
  <si>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</si>
  <si>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</si>
  <si>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</si>
  <si>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</si>
  <si>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</si>
  <si>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</si>
  <si>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</si>
  <si>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</si>
  <si>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</si>
  <si>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Technologies/Technicians.</t>
  </si>
  <si>
    <t>Instructional content is defined in code 10.0105.</t>
  </si>
  <si>
    <t>Communications Technology/Technician.</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</si>
  <si>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</si>
  <si>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Audiovisual Communications Technologies/Technicians.</t>
  </si>
  <si>
    <t>Instructional content for this group of programs is defined in codes 10.0201 - 10.0299.</t>
  </si>
  <si>
    <t>Photographic and Film/Video Technology/Technician.</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</si>
  <si>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</si>
  <si>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</si>
  <si>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</si>
  <si>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</si>
  <si>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soundtrack editing; dubbing and mixing; sound engineering; tape, disk, and CD production; digital recording and transmission; amplification and modulation; and working with producers, editors, directors, artists, and production managers.</t>
  </si>
  <si>
    <t>Voice Writing Technology/Technician.</t>
  </si>
  <si>
    <t>A program that prepares individuals to apply technical knowledge and skills to use voice writing computer software and speak a verbal shorthand language to create transcripts and screen captioning of live or recorded events intended for the public or a specific audience in a variety of media (e.g., digital, film, print, television) as well as for conferences, conversations, interviews, and meetings. Includes instruction in screen captioning, speed building, spoken shorthand, transcription, and voice input writing.</t>
  </si>
  <si>
    <t>Audiovisual Communications Technologies/Technicians, Other.</t>
  </si>
  <si>
    <t>Any instructional program in audiovisual communications technologies not listed above.</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</si>
  <si>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</si>
  <si>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</si>
  <si>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</si>
  <si>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</si>
  <si>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</si>
  <si>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</si>
  <si>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</si>
  <si>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</si>
  <si>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</si>
  <si>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</si>
  <si>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</si>
  <si>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</si>
  <si>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</si>
  <si>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</si>
  <si>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</si>
  <si>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</si>
  <si>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</si>
  <si>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</si>
  <si>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</si>
  <si>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</si>
  <si>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</si>
  <si>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</si>
  <si>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</si>
  <si>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</si>
  <si>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</si>
  <si>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</si>
  <si>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</si>
  <si>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</si>
  <si>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</si>
  <si>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</si>
  <si>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</si>
  <si>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</si>
  <si>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</si>
  <si>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</si>
  <si>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Human-Centered Technology Design.</t>
  </si>
  <si>
    <t>A program that focuses on incorporating a human perspective into designing, researching, and creating technological interfaces. Includes instruction in design, human-computer interaction, learning, neuroscience, perception, product design, user-centered design, and usability.</t>
  </si>
  <si>
    <t>Computer and Information Sciences,  Other.</t>
  </si>
  <si>
    <t>Any instructional program in computer science not listed above.</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</si>
  <si>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</si>
  <si>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</si>
  <si>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</si>
  <si>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</si>
  <si>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</si>
  <si>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</si>
  <si>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</si>
  <si>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</si>
  <si>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Game Programming.</t>
  </si>
  <si>
    <t>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t>
  </si>
  <si>
    <t>Computer Programming, Specific Platforms.</t>
  </si>
  <si>
    <t>A program that prepares individuals to design, develop, and implement software-based solutions for specific business and consumer platforms including industrial, game, mobile, tactile, and web platforms. Includes instruction in computer programming, computer hardware, data structures, database theory, maintenance, operating systems, project management, software development, and systems analysis.</t>
  </si>
  <si>
    <t>Computer Programming, Other.</t>
  </si>
  <si>
    <t>Any instructional program in computer programming not listed above.</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</si>
  <si>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</si>
  <si>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</si>
  <si>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</si>
  <si>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</si>
  <si>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</si>
  <si>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</si>
  <si>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</si>
  <si>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</si>
  <si>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</si>
  <si>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</si>
  <si>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</si>
  <si>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</si>
  <si>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</si>
  <si>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</si>
  <si>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</si>
  <si>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</si>
  <si>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</si>
  <si>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</si>
  <si>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</si>
  <si>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</si>
  <si>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</si>
  <si>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</si>
  <si>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Computer Software and Media Applications.</t>
  </si>
  <si>
    <t>Instructional content for this group of programs is defined in codes 11.0801 - 11.0899.</t>
  </si>
  <si>
    <t>Web Page, Digital/Multimedia and Information Resources Design.</t>
  </si>
  <si>
    <t>A program that prepares individuals to apply HTML, CSS,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</si>
  <si>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</si>
  <si>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</si>
  <si>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</si>
  <si>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</si>
  <si>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</si>
  <si>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</si>
  <si>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Computer Software and Media Applications, Other.</t>
  </si>
  <si>
    <t>Any instructional program in computer software and media applications not listed above.</t>
  </si>
  <si>
    <t>Computer Systems Networking and Telecommunications.</t>
  </si>
  <si>
    <t>Instructional content for this group of programs is defined in codes 11.0901 - 11.0999.</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</si>
  <si>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</si>
  <si>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Cloud Computing.</t>
  </si>
  <si>
    <t>A program that prepares individuals to design and implement enterprise software systems that rely on distributed computing and service-oriented architecture, including databases, web services, cloud computing, and mobile apps. Includes instruction in data management, distributed and cloud computing, enterprise software architecture, enterprise and cloud security, mobile systems and applications, server administration, and web development.</t>
  </si>
  <si>
    <t>Computer Systems Networking and Telecommunications, Other.</t>
  </si>
  <si>
    <t>Any instructional program in computer systems networking and telecommunications not listed above.</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</si>
  <si>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</si>
  <si>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</si>
  <si>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</si>
  <si>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</si>
  <si>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</si>
  <si>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</si>
  <si>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Security/Auditing/Information Assurance.</t>
  </si>
  <si>
    <t>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</si>
  <si>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</si>
  <si>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</si>
  <si>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</si>
  <si>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</si>
  <si>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</si>
  <si>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</si>
  <si>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Computer/Information Technology Services Administration and Management, Other.</t>
  </si>
  <si>
    <t>Any instructional program in computer/information technology services administration and management not listed above.</t>
  </si>
  <si>
    <t>Computer and Information Sciences and Support Services, Other.</t>
  </si>
  <si>
    <t>Instructional content is defined in code 11.9999.</t>
  </si>
  <si>
    <t>Any instructional program in computer and information sciences and support services not listed above.</t>
  </si>
  <si>
    <t>CULINARY, ENTERTAINMENT, AND PERSONAL SERVICES.</t>
  </si>
  <si>
    <t>Instructional programs that prepare individuals to provide professional services related to cosmetology, funeral services, entertainment, and food preparation and service.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</si>
  <si>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</si>
  <si>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</si>
  <si>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</si>
  <si>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</si>
  <si>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</si>
  <si>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</si>
  <si>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</si>
  <si>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</si>
  <si>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</si>
  <si>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</si>
  <si>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</si>
  <si>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</si>
  <si>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</si>
  <si>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</si>
  <si>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</si>
  <si>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</si>
  <si>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</si>
  <si>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</si>
  <si>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</si>
  <si>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</si>
  <si>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</si>
  <si>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</si>
  <si>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</si>
  <si>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</si>
  <si>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</si>
  <si>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</si>
  <si>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</si>
  <si>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</si>
  <si>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</si>
  <si>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</si>
  <si>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</si>
  <si>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</si>
  <si>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</si>
  <si>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</si>
  <si>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</si>
  <si>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</si>
  <si>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Cosmetology and Related Personal Grooming Arts, Other.</t>
  </si>
  <si>
    <t>Any instructional program in cosmetology and related personal grooming services not listed above.</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</si>
  <si>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</si>
  <si>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</si>
  <si>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</si>
  <si>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</si>
  <si>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</si>
  <si>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</si>
  <si>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</si>
  <si>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</si>
  <si>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</si>
  <si>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</si>
  <si>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</si>
  <si>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</si>
  <si>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</si>
  <si>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</si>
  <si>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</si>
  <si>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</si>
  <si>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</si>
  <si>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</si>
  <si>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</si>
  <si>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</si>
  <si>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</si>
  <si>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</si>
  <si>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</si>
  <si>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</si>
  <si>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</si>
  <si>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</si>
  <si>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Casino Operations and Services.</t>
  </si>
  <si>
    <t>Instructional content for this group of programs is defined in codes 12.0601 - 12.0699.</t>
  </si>
  <si>
    <t>Casino Operations and Services, General.</t>
  </si>
  <si>
    <t>A program that focuses on casino operations and services. Includes instruction in casino operations, casino security and surveillance, casino dealing, principles of the gaming industry, ethics, and gaming law.</t>
  </si>
  <si>
    <t>Casino Dealing.</t>
  </si>
  <si>
    <t>A program of study that prepares individuals to apply technical skills and knowledge to become table games dealers in casinos or other recreational settings. Includes instruction in dealing techniques for Baccarat, Blackjack, Carnival Games, Craps, Poker, and Roulette.</t>
  </si>
  <si>
    <t>Casino Operations and Services, Other.</t>
  </si>
  <si>
    <t>Any instructional program in casino operations and services not listed above.</t>
  </si>
  <si>
    <t>Culinary, Entertainment, and Personal Services, Other.</t>
  </si>
  <si>
    <t>Instructional content is defined in code 12.9999.</t>
  </si>
  <si>
    <t>Any instructional program in culinary, entertainment, and personal services not listed above.</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</si>
  <si>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</si>
  <si>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</si>
  <si>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</si>
  <si>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</si>
  <si>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</si>
  <si>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</si>
  <si>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</si>
  <si>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</si>
  <si>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</si>
  <si>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</si>
  <si>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</si>
  <si>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</si>
  <si>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</si>
  <si>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</si>
  <si>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</si>
  <si>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</si>
  <si>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</si>
  <si>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</si>
  <si>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</si>
  <si>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</si>
  <si>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</si>
  <si>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</si>
  <si>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</si>
  <si>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</si>
  <si>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</si>
  <si>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</si>
  <si>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</si>
  <si>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</si>
  <si>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</si>
  <si>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</si>
  <si>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Community College Administration.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</si>
  <si>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</si>
  <si>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</si>
  <si>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</si>
  <si>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</si>
  <si>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</si>
  <si>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</si>
  <si>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</si>
  <si>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</si>
  <si>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</si>
  <si>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International School Administration/Leadership.</t>
  </si>
  <si>
    <t>A program that focuses on the principles and practice of administration in international schools, the study of international education as an object of applied research, and which may prepare individuals to function as administrators in such settings. Includes instruction in culture in the classroom, educational leadership, globalization, instructional design and technology, international research methods, evaluation, and education policy.</t>
  </si>
  <si>
    <t>Education Entrepreneurship.</t>
  </si>
  <si>
    <t>A program that prepares individuals to create, fund, and manage innovations in education. Includes instruction in philanthropy, business modeling, the design of learning environments, the economics of education, entrepreneurship, evaluation, finance, human-centered design, investing, resource management, project management, and marketing.</t>
  </si>
  <si>
    <t>Early Childhood Program Administration.</t>
  </si>
  <si>
    <t>A program that focuses on early childhood educational program administration and prepares individuals to serve as a principal or director of an early childhood educational program. Includes instruction in early childhood education, program and facilities planning, budgeting and administration, public relations, human resources management, early childhood growth and development, counseling skills, applicable law and regulations, school safety, policy studies, and professional standards and ethics.</t>
  </si>
  <si>
    <t>Educational Administration and Supervision, Other.</t>
  </si>
  <si>
    <t>Any instructional program in education administration and supervision not listed above.</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</si>
  <si>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</si>
  <si>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</si>
  <si>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</si>
  <si>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</si>
  <si>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</si>
  <si>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</si>
  <si>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</si>
  <si>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</si>
  <si>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</si>
  <si>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</si>
  <si>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</si>
  <si>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</si>
  <si>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</si>
  <si>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</si>
  <si>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Institutional Research.</t>
  </si>
  <si>
    <t>A program of study that prepares an individual to be an institutional researcher at a postsecondary educational institution. Includes instruction in data analysis, data-driven decision-making, data mining, higher education administration and organization, research methods, and statistics.</t>
  </si>
  <si>
    <t>Educational Assessment, Evaluation, and Research, Other.</t>
  </si>
  <si>
    <t>Any instructional program in educational evaluation, research and statistics not listed above.</t>
  </si>
  <si>
    <t>International and Comparative Education.</t>
  </si>
  <si>
    <t>Instructional content is defined in code 13.0701.</t>
  </si>
  <si>
    <t>A program that focuses on the educational phenomena, practices, and institutions within different societies and states in a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</si>
  <si>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</si>
  <si>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</si>
  <si>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</si>
  <si>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</si>
  <si>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</si>
  <si>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</si>
  <si>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 a collaborative or team environment.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</si>
  <si>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</si>
  <si>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</si>
  <si>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</si>
  <si>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</si>
  <si>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</si>
  <si>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individuals with emotional disturbances, counseling, and applicable laws and policies.</t>
  </si>
  <si>
    <t>Education/Teaching of Individuals with Intellectual Disabilities.</t>
  </si>
  <si>
    <t>A program that focuses on the design of educational services for children or adults with intellectual disabilities which adversely affect their educational performance and that may prepare individuals to teach such students.  Includes instruction in identifying students with intellectual disabilities,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</si>
  <si>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</si>
  <si>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</si>
  <si>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</si>
  <si>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</si>
  <si>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</si>
  <si>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</si>
  <si>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</si>
  <si>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</si>
  <si>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</si>
  <si>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</si>
  <si>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</si>
  <si>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</si>
  <si>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</si>
  <si>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</si>
  <si>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</si>
  <si>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</si>
  <si>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</si>
  <si>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</si>
  <si>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</si>
  <si>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</si>
  <si>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</si>
  <si>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</si>
  <si>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</si>
  <si>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</si>
  <si>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</si>
  <si>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</si>
  <si>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</si>
  <si>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</si>
  <si>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</si>
  <si>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</si>
  <si>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</si>
  <si>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</si>
  <si>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</si>
  <si>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</si>
  <si>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</si>
  <si>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</si>
  <si>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</si>
  <si>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</si>
  <si>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</si>
  <si>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</si>
  <si>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</si>
  <si>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</si>
  <si>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</si>
  <si>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</si>
  <si>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</si>
  <si>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</si>
  <si>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</si>
  <si>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</si>
  <si>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</si>
  <si>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</si>
  <si>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</si>
  <si>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</si>
  <si>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</si>
  <si>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</si>
  <si>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Online Educator/Online Teaching.</t>
  </si>
  <si>
    <t>A program that prepares individuals to teach students at various academic levels through online instructional technologies. Includes instruction in andragogy, pedagogy, assessment, instructional design and technology, and learning science.</t>
  </si>
  <si>
    <t>International Teaching and Learning.</t>
  </si>
  <si>
    <t>A program that prepares individuals to teach in schools that are implementing or proposing to implement the International Baccalaureate curriculum. Includes instruction in culturally-responsive classrooms, cross-cultural awareness, foundations of international education, human learning, human development, international teaching and learning, and pedagogy.</t>
  </si>
  <si>
    <t>Science, Technology, Engineering, and Mathematics (STEM) Educational Methods.</t>
  </si>
  <si>
    <t>A program that prepares individuals to connect education practices with scientific, engineering, and mathematical principles for PreK-12 students. Includes instruction in critical thinking, curriculum and instruction, history of STEM education, integrating STEM across curricula, learning sciences and technology, STEM education methods, and teacher leadership in STEM education.</t>
  </si>
  <si>
    <t>College/Postsecondary/University Teaching.</t>
  </si>
  <si>
    <t>A program that prepares individuals to teach at a postsecondary institution. Includes instruction in andragogy, assessment, classroom motivation, instructional design and technology, learner-centered teaching, learning science, syllabus construction, and teaching critical thinking.</t>
  </si>
  <si>
    <t>Teacher Education and Professional Development, Specific Levels and Methods, Other.</t>
  </si>
  <si>
    <t>Any instructional program in teacher education and professional development not listed above.</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</si>
  <si>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</si>
  <si>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</si>
  <si>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</si>
  <si>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</si>
  <si>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Art Teacher Education.</t>
  </si>
  <si>
    <t>A program that prepares individuals to teach art and art appreciation programs at various educational levels.</t>
  </si>
  <si>
    <t>Business and Innovation/Entrepreneurship Teacher Education.</t>
  </si>
  <si>
    <t>A program that prepares individuals to teach vocational business, innovation, and entrepreneurship programs at various educational levels. Includes instruction in business administration, business development, finance, idea generation, investing, logistics, management, and marketing.</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</si>
  <si>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</si>
  <si>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</si>
  <si>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</si>
  <si>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</si>
  <si>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</si>
  <si>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</si>
  <si>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</si>
  <si>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</si>
  <si>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</si>
  <si>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</si>
  <si>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</si>
  <si>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</si>
  <si>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</si>
  <si>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</si>
  <si>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</si>
  <si>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</si>
  <si>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</si>
  <si>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</si>
  <si>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</si>
  <si>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</si>
  <si>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</si>
  <si>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</si>
  <si>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</si>
  <si>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</si>
  <si>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</si>
  <si>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</si>
  <si>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</si>
  <si>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</si>
  <si>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</si>
  <si>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</si>
  <si>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</si>
  <si>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</si>
  <si>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</si>
  <si>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</si>
  <si>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</si>
  <si>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</si>
  <si>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</si>
  <si>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</si>
  <si>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</si>
  <si>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</si>
  <si>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</si>
  <si>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</si>
  <si>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</si>
  <si>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</si>
  <si>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</si>
  <si>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</si>
  <si>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</si>
  <si>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</si>
  <si>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</si>
  <si>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</si>
  <si>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</si>
  <si>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</si>
  <si>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</si>
  <si>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</si>
  <si>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</si>
  <si>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</si>
  <si>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</si>
  <si>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</si>
  <si>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</si>
  <si>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</si>
  <si>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</si>
  <si>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</si>
  <si>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</si>
  <si>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</si>
  <si>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</si>
  <si>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</si>
  <si>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Communication Arts and Literature Teacher Education.</t>
  </si>
  <si>
    <t>A program of study that prepares individuals to teach oral expression, literature, and writing to students at various education levels. Includes instruction in interpersonal communication, intercultural communication, language learning, listening instructional techniques, public speaking, reading instructional techniques, writing instructional techniques, and practical teaching experience.</t>
  </si>
  <si>
    <t>Teacher Education and Professional Development, Specific Subject Areas, Other.</t>
  </si>
  <si>
    <t>Any instructional program in teacher education, specific academic and vocational programs not listed above.</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</si>
  <si>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</si>
  <si>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</si>
  <si>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</si>
  <si>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</si>
  <si>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</si>
  <si>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</si>
  <si>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</si>
  <si>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</si>
  <si>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</si>
  <si>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</si>
  <si>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</si>
  <si>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</si>
  <si>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</si>
  <si>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</si>
  <si>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</si>
  <si>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</si>
  <si>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</si>
  <si>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</si>
  <si>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</si>
  <si>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</si>
  <si>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</si>
  <si>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</si>
  <si>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14.0101 - 14.0103.</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</si>
  <si>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</si>
  <si>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</si>
  <si>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</si>
  <si>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Applied Engineering.</t>
  </si>
  <si>
    <t>A program that generally prepares individuals to apply mathematical and scientific principles inherent to engineering to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</si>
  <si>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Aerospace, Aeronautical, and Astronautical/Space Engineering.</t>
  </si>
  <si>
    <t>Instructional content for this group of programs is defined in codes 14.0201 - 14.0299.</t>
  </si>
  <si>
    <t>Aerospace, Aeronautical, and Astronautical/Space Engineering, General.</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</si>
  <si>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</si>
  <si>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Astronautical Engineering.</t>
  </si>
  <si>
    <t>A program that prepares individuals to apply mathematical and scientific principles to the design, development, and operational evaluation of aircraft and space vehicles. Includes instruction in control systems, fluid dynamics, electrical circuits systems, orbital mechanics, propulsion, remote sensing, satellites, spacecraft centers, spacecraft systems engineering, and space exploration.</t>
  </si>
  <si>
    <t>Aerospace, Aeronautical, and Astronautical/Space Engineering, Other.</t>
  </si>
  <si>
    <t>Any program in aerospace, aeronautical, astronautical, or space engineering not listed above.</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</si>
  <si>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</si>
  <si>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</si>
  <si>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</si>
  <si>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</si>
  <si>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</si>
  <si>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</si>
  <si>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</si>
  <si>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</si>
  <si>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</si>
  <si>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</si>
  <si>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</si>
  <si>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</si>
  <si>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</si>
  <si>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</si>
  <si>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</si>
  <si>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</si>
  <si>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</si>
  <si>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</si>
  <si>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</si>
  <si>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</si>
  <si>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</si>
  <si>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</si>
  <si>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</si>
  <si>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</si>
  <si>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</si>
  <si>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</si>
  <si>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</si>
  <si>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</si>
  <si>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</si>
  <si>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</si>
  <si>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</si>
  <si>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</si>
  <si>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Civil Engineering, Other.</t>
  </si>
  <si>
    <t>Any instructional program in civil engineering not listed above.</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</si>
  <si>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</si>
  <si>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</si>
  <si>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</si>
  <si>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</si>
  <si>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</si>
  <si>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</si>
  <si>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</si>
  <si>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</si>
  <si>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</si>
  <si>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</si>
  <si>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</si>
  <si>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</si>
  <si>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</si>
  <si>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</si>
  <si>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</si>
  <si>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</si>
  <si>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</si>
  <si>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</si>
  <si>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Electrical, Electronics, and Communications Engineering, Other.</t>
  </si>
  <si>
    <t>Any instructional program in electrical, electronics, and communications engineering not listed above.</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</si>
  <si>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</si>
  <si>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</si>
  <si>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</si>
  <si>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</si>
  <si>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</si>
  <si>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</si>
  <si>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</si>
  <si>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Engineering Science.</t>
  </si>
  <si>
    <t>Instructional content is defined in code 14.1301.</t>
  </si>
  <si>
    <t>A program with a general focus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</si>
  <si>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</si>
  <si>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</si>
  <si>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</si>
  <si>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Materials Engineering.</t>
  </si>
  <si>
    <t>Instructional content is defined in code 14.1801.</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</si>
  <si>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</si>
  <si>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</si>
  <si>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</si>
  <si>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</si>
  <si>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</si>
  <si>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</si>
  <si>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</si>
  <si>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</si>
  <si>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</si>
  <si>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</si>
  <si>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</si>
  <si>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</si>
  <si>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</si>
  <si>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</si>
  <si>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</si>
  <si>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</si>
  <si>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</si>
  <si>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</si>
  <si>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</si>
  <si>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</si>
  <si>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</si>
  <si>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</si>
  <si>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</si>
  <si>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</si>
  <si>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</si>
  <si>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</si>
  <si>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</si>
  <si>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</si>
  <si>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</si>
  <si>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</si>
  <si>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</si>
  <si>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</si>
  <si>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</si>
  <si>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</si>
  <si>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</si>
  <si>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</si>
  <si>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</si>
  <si>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</si>
  <si>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</si>
  <si>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</si>
  <si>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</si>
  <si>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</si>
  <si>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</si>
  <si>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</si>
  <si>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</si>
  <si>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</si>
  <si>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</si>
  <si>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</si>
  <si>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</si>
  <si>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</si>
  <si>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</si>
  <si>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</si>
  <si>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</si>
  <si>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</si>
  <si>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</si>
  <si>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</si>
  <si>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</si>
  <si>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</si>
  <si>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</si>
  <si>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</si>
  <si>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</si>
  <si>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</si>
  <si>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</si>
  <si>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</si>
  <si>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</si>
  <si>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</si>
  <si>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</si>
  <si>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</si>
  <si>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</si>
  <si>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</si>
  <si>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Electrical and Computer Engineering.</t>
  </si>
  <si>
    <t>Instructional content is defined in code 14.4701.</t>
  </si>
  <si>
    <t>A program that prepares individuals to apply mathematical and scientific principles to the design and development of computer systems. Includes instruction in computer architecture, cybersecurity, electronic circuits, electromagnetism, electronic materials and design, micro-fabrication methods and techniques, signal and image processing, and wireless communication networks.</t>
  </si>
  <si>
    <t>Energy Systems Engineering.</t>
  </si>
  <si>
    <t>Instructional content for this group of programs is defined in codes 14.4801 - 14.4899.</t>
  </si>
  <si>
    <t>Energy Systems Engineering, General.</t>
  </si>
  <si>
    <t>A program that prepares individuals to apply mathematical and scientific principles to the design, development and operational evaluation of energy generation, storage, conversion, and distribution systems. Includes instruction in conventional and alternative/renewable energy systems, electrical power systems, and electrical system design.</t>
  </si>
  <si>
    <t>Power Plant Engineering.</t>
  </si>
  <si>
    <t>A program that prepares individuals to plan electrical systems and modify existing electrical systems that generate and use large amounts of electricity required for distribution networks that are economical, safe, and functional. Includes instruction in alternative/renewable energy systems; calculus; circuit analysis; electrical power systems and industry practices; electrical system design; microprocessor architecture; motor control systems; power electronics operation, planning and protection; programmable logic controllers; and project management.</t>
  </si>
  <si>
    <t>Energy Systems Engineering, Other.</t>
  </si>
  <si>
    <t>Any instructional program in energy systems engineering not listed above.</t>
  </si>
  <si>
    <t>Engineering, Other.</t>
  </si>
  <si>
    <t>Instructional content is defined in code 14.9999.</t>
  </si>
  <si>
    <t>Any instructional program in engineering not listed above.</t>
  </si>
  <si>
    <t>ENGINEERING/ENGINEERING-RELATED TECHNOLOGIES/TECHNICIANS.</t>
  </si>
  <si>
    <t>Instructional programs that prepare individuals to apply basic engineering principles and technical skills in support of engineering and related projects or to prepare for engineering-related fields.</t>
  </si>
  <si>
    <t>Engineering Technologies/Technicians, General.</t>
  </si>
  <si>
    <t>Instructional content for this group of programs is defined in codes 15.0000 - 15.0001.</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</si>
  <si>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</si>
  <si>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Applied Engineering Technologies/Technicians.</t>
  </si>
  <si>
    <t>A program that generally prepares individuals to apply basic engineering principles and technical skills in support of engineers engaged in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</si>
  <si>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Architectural Engineering Technologies/Technicians.</t>
  </si>
  <si>
    <t>Instructional content is defined in code 15.0101.</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</si>
  <si>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</si>
  <si>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Civil Engineering Technologies/Technicians.</t>
  </si>
  <si>
    <t>Instructional content is defined in code 15.0201.</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</si>
  <si>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</si>
  <si>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Electrical/Electronic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</si>
  <si>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</si>
  <si>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</si>
  <si>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</si>
  <si>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</si>
  <si>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</si>
  <si>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</si>
  <si>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</si>
  <si>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Integrated Circuit Design Technology/Technician.</t>
  </si>
  <si>
    <t>A program that prepares individuals to apply basic engineering principles and technical skills to design circuits in microelectronics. Includes instruction in circuit design, circuit layout, circuit analysis, computer-aided drafting, and semi-conductor technologies.</t>
  </si>
  <si>
    <t>Audio Engineering Technology/Technician.</t>
  </si>
  <si>
    <t>A program of study that prepares individuals to apply mathematical and scientific principles to the mixing, recording, and production of music. Includes instruction in acoustics, audio mixing, audio production, audio recording, computer composition of music, music theory, digital devices, and sound technology.</t>
  </si>
  <si>
    <t>Electrical/Electronic Engineering Technologies/Technicians, Other.</t>
  </si>
  <si>
    <t>Any instructional program in electrical and electronic engineering-related technologies not listed above.</t>
  </si>
  <si>
    <t>Electromechanical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</si>
  <si>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</si>
  <si>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</si>
  <si>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</si>
  <si>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Electromechanical/Electromechanical Engineering Technology/Technician.</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</si>
  <si>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</si>
  <si>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</si>
  <si>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</si>
  <si>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</si>
  <si>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</si>
  <si>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</si>
  <si>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</si>
  <si>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Mechatronics, Robotics, and Automation Engineering Technology/Technician.</t>
  </si>
  <si>
    <t>A program that prepares individuals to apply basic engineering principles and technical skills in the support of engineers to the design, development, and operational evaluation of autonomous, computer-controlled, electro-mechanical systems. Includes instruction in computer and software engineering, control engineering, electronic and electrical engineering, mechanical engineering, and robotics.</t>
  </si>
  <si>
    <t>Electromechanical Technologies/Technicians, Other.</t>
  </si>
  <si>
    <t>Any instructional program in electromechanical technologies not listed above.</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</si>
  <si>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</si>
  <si>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</si>
  <si>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</si>
  <si>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</si>
  <si>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</si>
  <si>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</si>
  <si>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Environmental/Environmental Engineering Technology/Technician.</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</si>
  <si>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</si>
  <si>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</si>
  <si>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</si>
  <si>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</si>
  <si>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</si>
  <si>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</si>
  <si>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</si>
  <si>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</si>
  <si>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</si>
  <si>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</si>
  <si>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</si>
  <si>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</si>
  <si>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</si>
  <si>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</si>
  <si>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</si>
  <si>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</si>
  <si>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</si>
  <si>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</si>
  <si>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</si>
  <si>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Technology/Technician.</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</si>
  <si>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</si>
  <si>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Composite Materials Technology/Technician.</t>
  </si>
  <si>
    <t>A program of study that prepares individuals to apply basic engineering principles and technical skills in support of engineers and other professionals engaged in the development, manufacture, and use of composite materials in aircraft technology, automotive technology, boats, medical prostheses, and wind turbines. Includes instruction in computer-aided design and drafting, composite materials and processes, composite maintenance, composite manufacturing, composite repair, material science, and mold manufacturing and production.</t>
  </si>
  <si>
    <t>Industrial Production Technologies/Technicians, Other.</t>
  </si>
  <si>
    <t>Any instructional program in industrial production technologies not listed above.</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</si>
  <si>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</si>
  <si>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</si>
  <si>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</si>
  <si>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</si>
  <si>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</si>
  <si>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</si>
  <si>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</si>
  <si>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to mitigate damage, reduce risks, and prevent accidents. Includes instruction in industrial processes, industrial hygiene, injury prevention, toxicology, ergonomics, risk analysis,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</si>
  <si>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</si>
  <si>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</si>
  <si>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Process Safety Technology/Technician.</t>
  </si>
  <si>
    <t>A program that prepares individuals to apply basic engineering principles and technical skills in support of engineers engaged in developing methods to mitigate damage, reduce risks, and prevent accidents. Includes instruction in design for injury prevention, engineering for process safety, environmental psychology, function-based risk analysis, fundamentals of industrial engineering, operations research, probability and statistics, risk assessment and reduction, and safety engineering.</t>
  </si>
  <si>
    <t>Quality Control and Safety Technologies/Technicians, Other.</t>
  </si>
  <si>
    <t>Any instructional program in quality control and safety technologies not listed above.</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</si>
  <si>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</si>
  <si>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</si>
  <si>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</si>
  <si>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</si>
  <si>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</si>
  <si>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</si>
  <si>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Mechanical/Mechanical Engineering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</si>
  <si>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</si>
  <si>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Marine Engineering Technology/Technician.</t>
  </si>
  <si>
    <t>A program that prepares individuals to apply basic engineering principles and technical skills in support of engineers and other professionals engaged in shipboard mechanical and electrical engineering and the maintenance and operation of marine engines, including gas, diesel, and steam engines. Includes instruction in automation, diesel-powered systems, electrical circuits and systems, engine performance, hydraulics, manufacturing, motor-powered systems, refrigeration and air-conditioning, steam-powered systems, and welding.</t>
  </si>
  <si>
    <t>Motorsports Engineering Technology/Technician.</t>
  </si>
  <si>
    <t>A program that prepares individuals to apply basic engineering principles and technical skills in support of engineers and other professionals engaged in the design, construction, and repair of vehicles used in racing and motorsports. Includes instruction in aerodynamics, design, vehicle dynamics, performance engines, fluid mechanics, computer-aided design (CAD), mechanical engineering, and welding.</t>
  </si>
  <si>
    <t>Mechanical Engineering Related Technologies/Technicians, Other.</t>
  </si>
  <si>
    <t>Any instructional program in mechanical engineering-related technologies not listed above.</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</si>
  <si>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</si>
  <si>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</si>
  <si>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</si>
  <si>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</si>
  <si>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</si>
  <si>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</si>
  <si>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</si>
  <si>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</si>
  <si>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Construction Engineering Technology/Technician.</t>
  </si>
  <si>
    <t>Instructional content is defined in code 15.1001.</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</si>
  <si>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</si>
  <si>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Engineering-Related Technologies/Technicians.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</si>
  <si>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</si>
  <si>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</si>
  <si>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</si>
  <si>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</si>
  <si>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</si>
  <si>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Technologies/Technicians,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</si>
  <si>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</si>
  <si>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</si>
  <si>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</si>
  <si>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</si>
  <si>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</si>
  <si>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Computer/Computer Systems Technology/Technician.</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</si>
  <si>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</si>
  <si>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</si>
  <si>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</si>
  <si>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</si>
  <si>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</si>
  <si>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</si>
  <si>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</si>
  <si>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</si>
  <si>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</si>
  <si>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</si>
  <si>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</si>
  <si>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</si>
  <si>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</si>
  <si>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</si>
  <si>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</si>
  <si>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</si>
  <si>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</si>
  <si>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</si>
  <si>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</si>
  <si>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</si>
  <si>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</si>
  <si>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3-D Modeling and Design Technology/Technician.</t>
  </si>
  <si>
    <t>A program that prepares individuals to apply technical knowledge and skills in the use of three-dimensional (3-D) computer technology to create technical illustrations and models used in manufacturing, design, production, and construction. Includes instruction in 3-D computer-aided design (CAD), 3-D printing, 3-D model design and construction, and 3-D scanning.</t>
  </si>
  <si>
    <t>Drafting/Design Engineering Technologies/Technicians, Other.</t>
  </si>
  <si>
    <t>Any instructional program in drafting/design engineering technologies not listed above.</t>
  </si>
  <si>
    <t>Nuclear Engineering Technology/Technician.</t>
  </si>
  <si>
    <t>Instructional content is defined in code 15.1401.</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</si>
  <si>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</si>
  <si>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</si>
  <si>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</si>
  <si>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</si>
  <si>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</si>
  <si>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</si>
  <si>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</si>
  <si>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</si>
  <si>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</si>
  <si>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</si>
  <si>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</si>
  <si>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</si>
  <si>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</si>
  <si>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</si>
  <si>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Energy Systems Technologies/Technicians.</t>
  </si>
  <si>
    <t>Instructional content for this group of programs is defined in codes 15.1701 - 15.1799.</t>
  </si>
  <si>
    <t>Energy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</si>
  <si>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</si>
  <si>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Power Plant Technology/Technician.</t>
  </si>
  <si>
    <t>A program that prepares individuals to apply basic engineering principles and technical skills in support of engineers engaged in the operation and maintenance of electricity generating power plants. Includes instruction in basic electricity, electrical power, generator operations, industrial controls, power plant instrumentation, power plant theory, pollution control, reactor theory, thermodynamics, turbines, and water chemistry.</t>
  </si>
  <si>
    <t>Solar Energy Technology/Technician.</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</si>
  <si>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</si>
  <si>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Wind Energy Technology/Technician.</t>
  </si>
  <si>
    <t>A program that prepares individuals to apply basic engineering principles and technical skills in support of engineers and other professionals engaged in developing wind-powered energy systems. Includes instruction in wind energy principles, energy storage and transfer technologies, testing and inspection procedures, system maintenance procedures, and report preparation.</t>
  </si>
  <si>
    <t>Hydroelectric Energy Technology/Technician.</t>
  </si>
  <si>
    <t>A program that prepares individuals to apply basic engineering principles and technical skills in support of engineers and other professionals engaged in developing hydroelectric energy systems. Includes instruction in hydroelectric energy principles, energy storage and transfer technologies, testing and inspection procedures, system maintenance procedures, and report preparation.</t>
  </si>
  <si>
    <t>Geothermal Energy Technology/Technician.</t>
  </si>
  <si>
    <t>A program that prepares individuals to apply basic engineering principles and technical skills in support of engineers and other professionals engaged in developing geothermal energy systems. Includes instruction in geothermal energy principles, energy storage and transfer technologies, testing and inspection procedures, system maintenance procedures, and report preparation.</t>
  </si>
  <si>
    <t>Energy Systems Technologies/Technicians, Other.</t>
  </si>
  <si>
    <t>Any instructional program in energy systems technologies not listed above.</t>
  </si>
  <si>
    <t>Engineering/Engineering-Related Technologies/Technicians, Other.</t>
  </si>
  <si>
    <t>Instructional content is defined in code 15.9999.</t>
  </si>
  <si>
    <t>Any instructional program in engineering technologies and engineering-related fields not listed above.</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</si>
  <si>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</si>
  <si>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</si>
  <si>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</si>
  <si>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</si>
  <si>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</si>
  <si>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</si>
  <si>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</si>
  <si>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</si>
  <si>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</si>
  <si>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</si>
  <si>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</si>
  <si>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</si>
  <si>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</si>
  <si>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</si>
  <si>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</si>
  <si>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</si>
  <si>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</si>
  <si>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</si>
  <si>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</si>
  <si>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</si>
  <si>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</si>
  <si>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</si>
  <si>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</si>
  <si>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</si>
  <si>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</si>
  <si>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</si>
  <si>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</si>
  <si>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</si>
  <si>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</si>
  <si>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</si>
  <si>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</si>
  <si>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</si>
  <si>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</si>
  <si>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</si>
  <si>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</si>
  <si>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</si>
  <si>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</si>
  <si>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</si>
  <si>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</si>
  <si>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</si>
  <si>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</si>
  <si>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</si>
  <si>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</si>
  <si>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</si>
  <si>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</si>
  <si>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</si>
  <si>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</si>
  <si>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</si>
  <si>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</si>
  <si>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</si>
  <si>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</si>
  <si>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</si>
  <si>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</si>
  <si>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</si>
  <si>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</si>
  <si>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</si>
  <si>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</si>
  <si>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</si>
  <si>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</si>
  <si>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</si>
  <si>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</si>
  <si>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</si>
  <si>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</si>
  <si>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</si>
  <si>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</si>
  <si>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</si>
  <si>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</si>
  <si>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</si>
  <si>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</si>
  <si>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</si>
  <si>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</si>
  <si>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</si>
  <si>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</si>
  <si>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</si>
  <si>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</si>
  <si>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</si>
  <si>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</si>
  <si>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</si>
  <si>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</si>
  <si>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</si>
  <si>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</si>
  <si>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</si>
  <si>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</si>
  <si>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</si>
  <si>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</si>
  <si>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</si>
  <si>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</si>
  <si>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</si>
  <si>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</si>
  <si>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</si>
  <si>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</si>
  <si>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</si>
  <si>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</si>
  <si>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</si>
  <si>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</si>
  <si>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</si>
  <si>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</si>
  <si>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</si>
  <si>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</si>
  <si>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</si>
  <si>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</si>
  <si>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</si>
  <si>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</si>
  <si>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</si>
  <si>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</si>
  <si>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</si>
  <si>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</si>
  <si>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</si>
  <si>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</si>
  <si>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</si>
  <si>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</si>
  <si>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</si>
  <si>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</si>
  <si>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</si>
  <si>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</si>
  <si>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</si>
  <si>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</si>
  <si>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</si>
  <si>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</si>
  <si>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</si>
  <si>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</si>
  <si>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</si>
  <si>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North American language families, including, but not limited to, Algonkian, Athabascan, Siouan, Muskogean, Iroquoian, Kumeyaay, Yuman, Mayan, Zapotecan, and Uto-Aztecan; South American language families, including, but not limited to, Andean-Equatorial, Ge-Pano-Carib, and Macro-Chibchan; and other minor languages.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</si>
  <si>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</si>
  <si>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</si>
  <si>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</si>
  <si>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</si>
  <si>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</si>
  <si>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</si>
  <si>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</si>
  <si>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</si>
  <si>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</si>
  <si>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</si>
  <si>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</si>
  <si>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</si>
  <si>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</si>
  <si>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</si>
  <si>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</si>
  <si>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</si>
  <si>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</si>
  <si>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</si>
  <si>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</si>
  <si>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</si>
  <si>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</si>
  <si>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</si>
  <si>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</si>
  <si>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</si>
  <si>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</si>
  <si>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</si>
  <si>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</si>
  <si>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</si>
  <si>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</si>
  <si>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</si>
  <si>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</si>
  <si>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</si>
  <si>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</si>
  <si>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</si>
  <si>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</si>
  <si>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</si>
  <si>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</si>
  <si>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</si>
  <si>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</si>
  <si>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</si>
  <si>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</si>
  <si>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</si>
  <si>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</si>
  <si>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</si>
  <si>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</si>
  <si>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Hawaiian Language and Literature.</t>
  </si>
  <si>
    <t>A program that focuses on the Hawaiian language and related dialects. Includes instruction in philology; dialects;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</si>
  <si>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</si>
  <si>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</si>
  <si>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</si>
  <si>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</si>
  <si>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</si>
  <si>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</si>
  <si>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</si>
  <si>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</si>
  <si>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</si>
  <si>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</si>
  <si>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</si>
  <si>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</si>
  <si>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</si>
  <si>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</si>
  <si>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</si>
  <si>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</si>
  <si>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</si>
  <si>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</si>
  <si>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</si>
  <si>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</si>
  <si>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</si>
  <si>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</si>
  <si>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</si>
  <si>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</si>
  <si>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Second Language Learning.</t>
  </si>
  <si>
    <t>Instructional content for this group of programs is defined in codes 16.1701 - 16.1799.</t>
  </si>
  <si>
    <t>English as a Second Language.</t>
  </si>
  <si>
    <t>A program that focuses on the development of proficiency in reading, writing, and speaking English for those for whom English is not their mother tongue. Includes instruction in the use of basic communication skills to develop and transmit ideas and thoughts in English as well as specialized programs that focus on the development of proficiency in English sufficient to meet specific occupational or academic demands. Note: These programs are for academic credit towards a postsecondary credential. For second language programs that are not for academic credit towards a postsecondary credential, see 32.0109.</t>
  </si>
  <si>
    <t>Armenian Languages, Literatures, and Linguistics.</t>
  </si>
  <si>
    <t>Instructional content is defined in code 16.1801.</t>
  </si>
  <si>
    <t>Armenian Language and Literature.</t>
  </si>
  <si>
    <t>A program that focuses on the historical and modern languages spoken by Armenians. Includes instruction in philology; linguistics; dialects and pidgins; literature; and applications to business, science/technology, and other settings.</t>
  </si>
  <si>
    <t>Foreign Languages, Literatures, and Linguistics, Other.</t>
  </si>
  <si>
    <t>Instructional content is defined in code 16.9999.</t>
  </si>
  <si>
    <t>Any instructional program in foreign languages, literatures, and linguistics not listed above.</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</si>
  <si>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</si>
  <si>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</si>
  <si>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</si>
  <si>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</si>
  <si>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</si>
  <si>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</si>
  <si>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</si>
  <si>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</si>
  <si>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</si>
  <si>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</si>
  <si>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</si>
  <si>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</si>
  <si>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</si>
  <si>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</si>
  <si>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</si>
  <si>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</si>
  <si>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</si>
  <si>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</si>
  <si>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</si>
  <si>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</si>
  <si>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</si>
  <si>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</si>
  <si>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</si>
  <si>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</si>
  <si>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</si>
  <si>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</si>
  <si>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</si>
  <si>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</si>
  <si>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</si>
  <si>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</si>
  <si>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</si>
  <si>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</si>
  <si>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</si>
  <si>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</si>
  <si>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</si>
  <si>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</si>
  <si>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</si>
  <si>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</si>
  <si>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</si>
  <si>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</si>
  <si>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</si>
  <si>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</si>
  <si>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</si>
  <si>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</si>
  <si>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</si>
  <si>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</si>
  <si>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</si>
  <si>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</si>
  <si>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</si>
  <si>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</si>
  <si>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</si>
  <si>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</si>
  <si>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</si>
  <si>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</si>
  <si>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</si>
  <si>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</si>
  <si>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</si>
  <si>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</si>
  <si>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</si>
  <si>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</si>
  <si>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</si>
  <si>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</si>
  <si>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</si>
  <si>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Early Childhood and Family Studies.</t>
  </si>
  <si>
    <t>A program of study that focuses on the development and learning of children from birth to six years old within the context of the family. Includes instruction in child abuse and neglect, child and infant growth and development, early childhood education, early childhood language and literacy, early childhood math and science, early childhood special education, family literacy, family sociology, family and marriage relations, assessment and measurement, psychology, and psychopathology.</t>
  </si>
  <si>
    <t>Parent Education Services.</t>
  </si>
  <si>
    <t>A program that prepares individuals to plan, coordinate, and teach parent education programs and services that address the cultural, emotional, intellectual, physical and social needs of children and parents. Includes instruction in child development, cultural diversity in schools, child behavior, family development, family-community partnerships, family dynamics, interpersonal relationships, parent-child relationships, and social services.</t>
  </si>
  <si>
    <t>Human Development, Family Studies, and Related Services, Other.</t>
  </si>
  <si>
    <t>Any instructional program in human development, family studies, and related services not listed above.</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</si>
  <si>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</si>
  <si>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</si>
  <si>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</si>
  <si>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</si>
  <si>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</si>
  <si>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</si>
  <si>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</si>
  <si>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</si>
  <si>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</si>
  <si>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</si>
  <si>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</si>
  <si>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</si>
  <si>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</si>
  <si>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</si>
  <si>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Work and Family Studies.</t>
  </si>
  <si>
    <t>Instructional content is defined in code 19.1001.</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</si>
  <si>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</si>
  <si>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Other.</t>
  </si>
  <si>
    <t>Instructional content is defined in code 19.9999.</t>
  </si>
  <si>
    <t>Any instructional program in family and consumer sciences/human sciences not listed above.</t>
  </si>
  <si>
    <t>RESERVED.</t>
  </si>
  <si>
    <t>Reserved for use by Statistics Canada. These CIP codes are not valid for IPEDS reporting.</t>
  </si>
  <si>
    <t>Instructional content is defined in code 21.0101.</t>
  </si>
  <si>
    <t>LEGAL PROFESSIONS AND STUDIES.</t>
  </si>
  <si>
    <t>Instructional programs that prepare individuals for the legal profession, for related support professions and professional legal research, and focus on the study of legal issues in non-professional programs.</t>
  </si>
  <si>
    <t>Non-Professional Legal Studies.</t>
  </si>
  <si>
    <t>Instructional content for this group of programs is defined in codes 22.0000 - 22.0099.</t>
  </si>
  <si>
    <t>Legal Studies.</t>
  </si>
  <si>
    <t>A program of study that focuses on law and legal issues from the perspective of the social sciences and humanities.</t>
  </si>
  <si>
    <t>Pre-Law Studies.</t>
  </si>
  <si>
    <t>A program that prepares individuals for the professional study of law at the post-baccalaureate level.</t>
  </si>
  <si>
    <t>Non-Professional Legal Studies, Other.</t>
  </si>
  <si>
    <t>Any program in non-professional legal studies not listed above.</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</si>
  <si>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</si>
  <si>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</si>
  <si>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</si>
  <si>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</si>
  <si>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</si>
  <si>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</si>
  <si>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</si>
  <si>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Programs for Foreign Lawyers.</t>
  </si>
  <si>
    <t>A program that prepares lawyers educated outside the United States to understand U. S. or Canadian law and jurisprudence.</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</si>
  <si>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</si>
  <si>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</si>
  <si>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</si>
  <si>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</si>
  <si>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</si>
  <si>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</si>
  <si>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Comparative Law.</t>
  </si>
  <si>
    <t>An advanced, professional study of legal systems and philosophies in comparative perspective.</t>
  </si>
  <si>
    <t>Energy, Environment, and Natural Resources Law.</t>
  </si>
  <si>
    <t>An advanced, professional study of  the law, policies, and regulations governing the energy industry, environmental protection, natural resources and land use, and related topics.</t>
  </si>
  <si>
    <t>Health Law.</t>
  </si>
  <si>
    <t>An advanced, professional study of the law, policies and regulations affecting the health care industry, health professions, health services and insurance industries, and patients.</t>
  </si>
  <si>
    <t>International Law and Legal Studies.</t>
  </si>
  <si>
    <t>An advanced, professional study of the law affecting relations between nations, the behavior of international organizations, and the international activities of private citizens and organizations.</t>
  </si>
  <si>
    <t>International Business, Trade, and Tax Law.</t>
  </si>
  <si>
    <t>An advanced, professional study of the law, policies, and regulations governing transnational business and commercial practices, including the specialized tax law related to international financial transactions.</t>
  </si>
  <si>
    <t>Tax Law/Taxation.</t>
  </si>
  <si>
    <t>An advanced, professional study of tax law and taxation procedures in U.S. or Canadian jurisdictions affecting individuals and corporations.</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</si>
  <si>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</si>
  <si>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</si>
  <si>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Patent Law.</t>
  </si>
  <si>
    <t>An advanced, professional study of the law, policies, and regulations affecting patents.</t>
  </si>
  <si>
    <t>Agriculture Law.</t>
  </si>
  <si>
    <t>An advanced, professional study of the law, policies, and regulations for lawyers and non-legal professionals in food and agriculture.</t>
  </si>
  <si>
    <t>Arts and Entertainment Law.</t>
  </si>
  <si>
    <t>An advanced, professional study of the law, policies, and regulations affecting the sports, fashion, entertainment, arts, and media industries.</t>
  </si>
  <si>
    <t>Compliance Law.</t>
  </si>
  <si>
    <t>An advanced, professional study of the law, policies, and regulations for lawyers and non-legal professionals in compliance, ethics, internal monitoring, regulatory affairs, and related areas.</t>
  </si>
  <si>
    <t>Criminal Law and Procedure.</t>
  </si>
  <si>
    <t>An advanced, professional study of the law, policies, and regulations affecting criminal law and trial procedures.</t>
  </si>
  <si>
    <t>Entrepreneurship Law.</t>
  </si>
  <si>
    <t>An advanced, professional study of the law, policies, and regulations affecting entrepreneurship and innovation.</t>
  </si>
  <si>
    <t>Family/Child/Elder Law.</t>
  </si>
  <si>
    <t>An advanced, professional study of the law, policies, and regulations affecting domestic relations across the lifespan.</t>
  </si>
  <si>
    <t>Human Resources Law.</t>
  </si>
  <si>
    <t>An advanced, professional study of the law, policies, and regulations affecting human resources.</t>
  </si>
  <si>
    <t>Insurance Law.</t>
  </si>
  <si>
    <t>An advanced, professional study of the law, policies, and regulations affecting insurance.</t>
  </si>
  <si>
    <t>Real Estate and Land Development Law.</t>
  </si>
  <si>
    <t>An advanced, professional study of the law, policies, and regulations affecting real estate and land development.</t>
  </si>
  <si>
    <t>Transportation Law.</t>
  </si>
  <si>
    <t>An advanced, professional study of the law, policies, and regulations affecting land, sea, air, and space transportation.</t>
  </si>
  <si>
    <t>Tribal/Indigenous Law.</t>
  </si>
  <si>
    <t>An advanced, professional study of the law, policies, and regulations affecting federal Indian law, tribal law and policy, and Indigenous peoples' human rights.</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</si>
  <si>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</si>
  <si>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</si>
  <si>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</si>
  <si>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</si>
  <si>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</si>
  <si>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</si>
  <si>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</si>
  <si>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</si>
  <si>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 and Captioning/Court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</si>
  <si>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</si>
  <si>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Court Interpreter.</t>
  </si>
  <si>
    <t>A program of study that prepares individuals to provide accurate translation and interpretation between two or more languages for parties involved in a legal proceeding. Includes instruction in courtroom standards and procedures, court interpreting, legal terminology, consecutive interpretation, simultaneous interpretation, and sight translation.</t>
  </si>
  <si>
    <t>Scopist.</t>
  </si>
  <si>
    <t>An instructional program that prepares individuals to perform editing and word processing on a court reporter transcript to ensure the accuracy of the transcripts. Includes instruction in legal terminology, legal transcriptioning, machine shorthand, and computer-aided transcription software.</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</si>
  <si>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</si>
  <si>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</si>
  <si>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</si>
  <si>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</si>
  <si>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</si>
  <si>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</si>
  <si>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</si>
  <si>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</si>
  <si>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</si>
  <si>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</si>
  <si>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Rhetoric and Composition/Writing Studies.</t>
  </si>
  <si>
    <t>Instructional content for this group of programs is defined in codes 23.1301 - 23.1399.</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</si>
  <si>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</si>
  <si>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</si>
  <si>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Creative Writing.</t>
  </si>
  <si>
    <t>A program that focuses on the process and techniques of original composition in various literary forms such as the short story, poetry, the novel, and others.  Includes instruction in technical and editorial skills, criticism, and the marketing of finished manuscripts.</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</si>
  <si>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</si>
  <si>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</si>
  <si>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</si>
  <si>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</si>
  <si>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</si>
  <si>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</si>
  <si>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</si>
  <si>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</si>
  <si>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</si>
  <si>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</si>
  <si>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American Literature (United States).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</si>
  <si>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</si>
  <si>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American Literature (Canadian).</t>
  </si>
  <si>
    <t>A program that focuses on the literature and literary development, both formal and folkloric, of Canada from its origins to the present.  Includes instruction in period and genre studies, author studies, literary criticism, and regional and oral traditions.</t>
  </si>
  <si>
    <t>English Literature (British and Commonwealth).</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</si>
  <si>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</si>
  <si>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</si>
  <si>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</si>
  <si>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</si>
  <si>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</si>
  <si>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</si>
  <si>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</si>
  <si>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</si>
  <si>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</si>
  <si>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</si>
  <si>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</si>
  <si>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</si>
  <si>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</si>
  <si>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</si>
  <si>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</si>
  <si>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</si>
  <si>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</si>
  <si>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</si>
  <si>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</si>
  <si>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</si>
  <si>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</si>
  <si>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</si>
  <si>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</si>
  <si>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</si>
  <si>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</si>
  <si>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</si>
  <si>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</si>
  <si>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</si>
  <si>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</si>
  <si>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</si>
  <si>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</si>
  <si>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</si>
  <si>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</si>
  <si>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</si>
  <si>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</si>
  <si>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Library Science, Other.</t>
  </si>
  <si>
    <t>Instructional content is defined in code 25.9999.</t>
  </si>
  <si>
    <t>Any instructional program in library science not listed above.</t>
  </si>
  <si>
    <t>BIOLOGICAL AND BIOMEDICAL SCIENCES.</t>
  </si>
  <si>
    <t>Instructional programs that focus on the biological sciences and the non-clinical biomedical sciences, and that prepare individuals for research and professional careers as biologists and biomedical scientists.</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</si>
  <si>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</si>
  <si>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</si>
  <si>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</si>
  <si>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</si>
  <si>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</si>
  <si>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</si>
  <si>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</si>
  <si>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</si>
  <si>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</si>
  <si>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</si>
  <si>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</si>
  <si>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</si>
  <si>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</si>
  <si>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</si>
  <si>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</si>
  <si>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</si>
  <si>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</si>
  <si>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</si>
  <si>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</si>
  <si>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</si>
  <si>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</si>
  <si>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</si>
  <si>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</si>
  <si>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</si>
  <si>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</si>
  <si>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</si>
  <si>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Biochemistry, Biophysics and Molecular Biology, Other.</t>
  </si>
  <si>
    <t>Any instructional program in biochemistry, biophysics and molecular biology not listed above.</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</si>
  <si>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</si>
  <si>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</si>
  <si>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</si>
  <si>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</si>
  <si>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</si>
  <si>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</si>
  <si>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</si>
  <si>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</si>
  <si>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</si>
  <si>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</si>
  <si>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</si>
  <si>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</si>
  <si>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</si>
  <si>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</si>
  <si>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</si>
  <si>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</si>
  <si>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</si>
  <si>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</si>
  <si>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</si>
  <si>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</si>
  <si>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</si>
  <si>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</si>
  <si>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</si>
  <si>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</si>
  <si>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</si>
  <si>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</si>
  <si>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</si>
  <si>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</si>
  <si>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</si>
  <si>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</si>
  <si>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</si>
  <si>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</si>
  <si>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</si>
  <si>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</si>
  <si>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</si>
  <si>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</si>
  <si>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</si>
  <si>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</si>
  <si>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</si>
  <si>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</si>
  <si>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</si>
  <si>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Infectious Disease and Global Health.</t>
  </si>
  <si>
    <t>A program that focuses on the biological, social, and behavioral factors contributing to the cause and spread of infectious diseases. Includes instruction in research design and evaluation, infectious disease epidemiology, international health policy and management, microbiology, microbial genetics, molecular virology, disease mechanisms, antimicrobial resistance, immunology, and bioterrorism.</t>
  </si>
  <si>
    <t>Microbiological Sciences and Immunology, Other.</t>
  </si>
  <si>
    <t>Any instructional program in the microbiological sciences and immunology not listed above.</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</si>
  <si>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</si>
  <si>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</si>
  <si>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</si>
  <si>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</si>
  <si>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</si>
  <si>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</si>
  <si>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</si>
  <si>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</si>
  <si>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</si>
  <si>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</si>
  <si>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</si>
  <si>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</si>
  <si>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</si>
  <si>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</si>
  <si>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</si>
  <si>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</si>
  <si>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</si>
  <si>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</si>
  <si>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</si>
  <si>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</si>
  <si>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</si>
  <si>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</si>
  <si>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</si>
  <si>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</si>
  <si>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</si>
  <si>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</si>
  <si>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</si>
  <si>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</si>
  <si>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</si>
  <si>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</si>
  <si>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</si>
  <si>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</si>
  <si>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</si>
  <si>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</si>
  <si>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</si>
  <si>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</si>
  <si>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</si>
  <si>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</si>
  <si>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</si>
  <si>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</si>
  <si>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</si>
  <si>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</si>
  <si>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</si>
  <si>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</si>
  <si>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</si>
  <si>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Exercise Physiology and Kinesiology.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</si>
  <si>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</si>
  <si>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</si>
  <si>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</si>
  <si>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</si>
  <si>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</si>
  <si>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</si>
  <si>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</si>
  <si>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</si>
  <si>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</si>
  <si>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Biomechanics.</t>
  </si>
  <si>
    <t>A program of study that focuses on the biological, anatomical, and mechanical structure and function of the mechanical aspects of biological systems. Includes courses in anatomy, physiology, kinesiology, mechanics, measurement and instrumentation, and research methods.</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</si>
  <si>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</si>
  <si>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</si>
  <si>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</si>
  <si>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</si>
  <si>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</si>
  <si>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</si>
  <si>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</si>
  <si>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</si>
  <si>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</si>
  <si>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</si>
  <si>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</si>
  <si>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</si>
  <si>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</si>
  <si>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</si>
  <si>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</si>
  <si>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</si>
  <si>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</si>
  <si>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</si>
  <si>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</si>
  <si>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</si>
  <si>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</si>
  <si>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</si>
  <si>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</si>
  <si>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</si>
  <si>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</si>
  <si>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</si>
  <si>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</si>
  <si>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</si>
  <si>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</si>
  <si>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Biomathematics, Bioinformatics, and Computational Biology, Other.</t>
  </si>
  <si>
    <t>Any instructional program in biomathematics, bioinformatics, and computational biology not listed above.</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</si>
  <si>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</si>
  <si>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</si>
  <si>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</si>
  <si>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</si>
  <si>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</si>
  <si>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</si>
  <si>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</si>
  <si>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Marine Biology and Biological Oceanography.</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</si>
  <si>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</si>
  <si>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</si>
  <si>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</si>
  <si>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</si>
  <si>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</si>
  <si>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</si>
  <si>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</si>
  <si>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</si>
  <si>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</si>
  <si>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</si>
  <si>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</si>
  <si>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</si>
  <si>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</si>
  <si>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</si>
  <si>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</si>
  <si>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</si>
  <si>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Epidemiology and Biostatistics.</t>
  </si>
  <si>
    <t>A program with a general synthesis of epidemiology and biostatistics or a specialization which draws from epidemiology and biostatistics. Includes instruction in biostatistics, disease and injury determinants, epidemiology, health services research, pathology, spatial analysis, and statistics.</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</si>
  <si>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</si>
  <si>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</si>
  <si>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</si>
  <si>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</si>
  <si>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</si>
  <si>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</si>
  <si>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</si>
  <si>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</si>
  <si>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</si>
  <si>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Neuroanatomy.</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</si>
  <si>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</si>
  <si>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</si>
  <si>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</si>
  <si>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</si>
  <si>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</si>
  <si>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</si>
  <si>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</si>
  <si>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Biological and Biomedical Sciences, Other.</t>
  </si>
  <si>
    <t>Instructional content is defined in code 26.9999.</t>
  </si>
  <si>
    <t>Any instructional program in the biological and biomedical sciences not listed above.</t>
  </si>
  <si>
    <t>MATHEMATICS AND STATISTICS.</t>
  </si>
  <si>
    <t>Instructional programs that focus on the systematic study of logical symbolic language and its applications.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</si>
  <si>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</si>
  <si>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</si>
  <si>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</si>
  <si>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</si>
  <si>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</si>
  <si>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</si>
  <si>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</si>
  <si>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</si>
  <si>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</si>
  <si>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</si>
  <si>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</si>
  <si>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</si>
  <si>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</si>
  <si>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</si>
  <si>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</si>
  <si>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</si>
  <si>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</si>
  <si>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</si>
  <si>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</si>
  <si>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</si>
  <si>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</si>
  <si>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</si>
  <si>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</si>
  <si>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</si>
  <si>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</si>
  <si>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</si>
  <si>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Applied Mathematics, Other.</t>
  </si>
  <si>
    <t>Any instructional program in applied mathematics not listed above.</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</si>
  <si>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</si>
  <si>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</si>
  <si>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</si>
  <si>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</si>
  <si>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</si>
  <si>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</si>
  <si>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</si>
  <si>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</si>
  <si>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Statistics, Other.</t>
  </si>
  <si>
    <t>Any instructional program in statistics not listed above.</t>
  </si>
  <si>
    <t>Applied Statistics.</t>
  </si>
  <si>
    <t>Instructional content is defined in code 27.0601.</t>
  </si>
  <si>
    <t>Applied Statistics, General.</t>
  </si>
  <si>
    <t>A program that focuses on the application of statistics to the solution of functional problems in fields such as business, engineering, medicine, and the applied sciences. Includes instruction in the principles in inference, probability theory, regression analysis, descriptive statistics, stochastic processes, Monte Carlo method, Bayesian statistics, non-parametric statistics, sampling theory, statistical computing, and statistical techniques.</t>
  </si>
  <si>
    <t>Mathematics and Statistics, Other.</t>
  </si>
  <si>
    <t>Instructional content is defined in code 27.9999.</t>
  </si>
  <si>
    <t>Any instructional program in mathematics and  statistics not listed above.</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</si>
  <si>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</si>
  <si>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</si>
  <si>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</si>
  <si>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</si>
  <si>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</si>
  <si>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</si>
  <si>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</si>
  <si>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</si>
  <si>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</si>
  <si>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</si>
  <si>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</si>
  <si>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</si>
  <si>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</si>
  <si>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</si>
  <si>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</si>
  <si>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</si>
  <si>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</si>
  <si>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</si>
  <si>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</si>
  <si>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</si>
  <si>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</si>
  <si>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</si>
  <si>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</si>
  <si>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</si>
  <si>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</si>
  <si>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</si>
  <si>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</si>
  <si>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</si>
  <si>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</si>
  <si>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</si>
  <si>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</si>
  <si>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</si>
  <si>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</si>
  <si>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</si>
  <si>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</si>
  <si>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</si>
  <si>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</si>
  <si>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</si>
  <si>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</si>
  <si>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</si>
  <si>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</si>
  <si>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</si>
  <si>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</si>
  <si>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</si>
  <si>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</si>
  <si>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</si>
  <si>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</si>
  <si>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</si>
  <si>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</si>
  <si>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</si>
  <si>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</si>
  <si>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</si>
  <si>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</si>
  <si>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</si>
  <si>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</si>
  <si>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</si>
  <si>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</si>
  <si>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</si>
  <si>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</si>
  <si>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</si>
  <si>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Instructional content is defined in code 28.0801. These CIP codes are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</si>
  <si>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</si>
  <si>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</si>
  <si>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</si>
  <si>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</si>
  <si>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</si>
  <si>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</si>
  <si>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</si>
  <si>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</si>
  <si>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</si>
  <si>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</si>
  <si>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</si>
  <si>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</si>
  <si>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</si>
  <si>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</si>
  <si>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</si>
  <si>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</si>
  <si>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</si>
  <si>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</si>
  <si>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</si>
  <si>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</si>
  <si>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</si>
  <si>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</si>
  <si>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</si>
  <si>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</si>
  <si>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</si>
  <si>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</si>
  <si>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</si>
  <si>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</si>
  <si>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</si>
  <si>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</si>
  <si>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</si>
  <si>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</si>
  <si>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</si>
  <si>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</si>
  <si>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</si>
  <si>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</si>
  <si>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</si>
  <si>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</si>
  <si>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</si>
  <si>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</si>
  <si>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</si>
  <si>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</si>
  <si>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</si>
  <si>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</si>
  <si>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</si>
  <si>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</si>
  <si>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</si>
  <si>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</si>
  <si>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</si>
  <si>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</si>
  <si>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</si>
  <si>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</si>
  <si>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</si>
  <si>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</si>
  <si>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</si>
  <si>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</si>
  <si>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</si>
  <si>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</si>
  <si>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</si>
  <si>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</si>
  <si>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</si>
  <si>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</si>
  <si>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</si>
  <si>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Instructional content is defined in code 29.0501.</t>
  </si>
  <si>
    <t>Military Technology and Applied Sciences Management.</t>
  </si>
  <si>
    <t>Instructional content is defined in code 29.0601.</t>
  </si>
  <si>
    <t>A program that focuses on applied military science, military operations, intelligence gathering, military technology, and national security. Includes instruction in computer science, engineering, ethics, field training, leadership, military strategy, logistics, management skills, and politics.</t>
  </si>
  <si>
    <t>Military Technologies and Applied Sciences, Other.</t>
  </si>
  <si>
    <t>Instructional content is defined in code 29.9999.</t>
  </si>
  <si>
    <t>Any instructional program in military technologies and applied sciences not listed above.</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</si>
  <si>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</si>
  <si>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</si>
  <si>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</si>
  <si>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for this group of programs is defined in codes 30.0000 - 30.0001.</t>
  </si>
  <si>
    <t>A program that derives from two or more distinct programs and that is integrated around a unifying theme or topic that cannot be subsumed under a single discipline or occupational field.</t>
  </si>
  <si>
    <t>Comprehensive Transition and Postsecondary (CTP) Program.</t>
  </si>
  <si>
    <t>A comprehensive transition and postsecondary (CTP) program that provides students with intellectual disabilities with academic enrichment, socialization, independent living skills, self-advocacy skills, and integrated work experiences and career skills that lead to gainful employment.</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</si>
  <si>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</si>
  <si>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</si>
  <si>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</si>
  <si>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</si>
  <si>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</si>
  <si>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</si>
  <si>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</si>
  <si>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</si>
  <si>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</si>
  <si>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Mathematics and Computer Science.</t>
  </si>
  <si>
    <t>Instructional content is defined in code 30.0801.</t>
  </si>
  <si>
    <t>A program with a general synthesis of mathematics and computer science or a specialization which draws from mathematics and computer science.</t>
  </si>
  <si>
    <t>Biopsychology.</t>
  </si>
  <si>
    <t>Instructional content is defined in code 30.1001.</t>
  </si>
  <si>
    <t>A program that focuses on biological and psychological linkages, especially the linkages between biochemical and biophysical activity and the functioning of the central nervous system.</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</si>
  <si>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</si>
  <si>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</si>
  <si>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</si>
  <si>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Historic Preservation and Conservation.</t>
  </si>
  <si>
    <t>Instructional content for this group of programs is defined in codes 30.1201 - 30.1299.</t>
  </si>
  <si>
    <t>Historic Preservation and Conservation, General.</t>
  </si>
  <si>
    <t>A program that focuses on the design and implementation of plans to restore and maintain historic buildings, districts, and landscapes in a way that balances conservation and preservation with commercial and development interests. Includes instruction in architectural history, building conservation, cultural resource management, economics, historical documentation and preservation, land-use and zoning codes, public policy, public relations, real estate law, and taxation.</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</si>
  <si>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</si>
  <si>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</si>
  <si>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</si>
  <si>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</si>
  <si>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</si>
  <si>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</si>
  <si>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</si>
  <si>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</si>
  <si>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</si>
  <si>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</si>
  <si>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</si>
  <si>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</si>
  <si>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</si>
  <si>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Accounting and Computer Science.</t>
  </si>
  <si>
    <t>Instructional content is defined in code 30.1601.</t>
  </si>
  <si>
    <t>A program that combines accounting with computer science and/or computer studies.</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</si>
  <si>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</si>
  <si>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</si>
  <si>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</si>
  <si>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Natural Sciences.</t>
  </si>
  <si>
    <t>Instructional content is defined in code 30.1801.</t>
  </si>
  <si>
    <t>A program with a combined or undifferentiated focus on one or more of the physical and biological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</si>
  <si>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</si>
  <si>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</si>
  <si>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</si>
  <si>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International/Globalization Studies.</t>
  </si>
  <si>
    <t>Instructional content is defined in code 30.2001.</t>
  </si>
  <si>
    <t>A program that focuses on global and international issues from the perspective of the social sciences, social services, and related fields.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</si>
  <si>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</si>
  <si>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</si>
  <si>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</si>
  <si>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Classical and Ancient Studies.</t>
  </si>
  <si>
    <t>Instructional content for this group of programs is defined in codes 30.2201 - 30.2299.</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</si>
  <si>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</si>
  <si>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</si>
  <si>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</si>
  <si>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study of the classical ancient civilizations of the ancient Near East, Europe, and the Mediterranean Sea, such as Athens, Anatolia, Egypt, Greece, Israel, Mesopotamia, North Africa, and Rome. Includes instruction in ancient languages, ancient history, archaeology, anthropology, Greek and Roman mythology, philosophy, and religion.</t>
  </si>
  <si>
    <t>Classical and Ancient Studies, Other.</t>
  </si>
  <si>
    <t>Any program in classical and ancient studies not listed above.</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</si>
  <si>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</si>
  <si>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</si>
  <si>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</si>
  <si>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Cognitive Science.</t>
  </si>
  <si>
    <t>Instructional content for this group of programs is defined in codes 30.2501 - 30.2599.</t>
  </si>
  <si>
    <t>Cognitive Science, General.</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</si>
  <si>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</si>
  <si>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Contemplative Studies/Inquiry.</t>
  </si>
  <si>
    <t>A program that focuses on the philosophical, psychological, and scientific bases of human contemplative experience. Includes instruction in cognitive science, meditation, mindfulness, neuroscience, philosophy, psychology, and religion.</t>
  </si>
  <si>
    <t>Cognitive Science, Other.</t>
  </si>
  <si>
    <t>Any instructional program in cognitive science not listed above.</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</si>
  <si>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</si>
  <si>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</si>
  <si>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</si>
  <si>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</si>
  <si>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</si>
  <si>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</si>
  <si>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</si>
  <si>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</si>
  <si>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</si>
  <si>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</si>
  <si>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</si>
  <si>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</si>
  <si>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</si>
  <si>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</si>
  <si>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</si>
  <si>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</si>
  <si>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</si>
  <si>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engineering,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</si>
  <si>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</si>
  <si>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</si>
  <si>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</si>
  <si>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</si>
  <si>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</si>
  <si>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</si>
  <si>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Anthrozoology.</t>
  </si>
  <si>
    <t>Instructional content is defined in code 30.3401.</t>
  </si>
  <si>
    <t>A program of study that combines anthropology and zoology in order to examine the relationship between animals and humans. Includes instruction in animal behavior and communication, animal welfare, animal conservation, animal training, animal-assisted therapy techniques, biology, ethics, and education.</t>
  </si>
  <si>
    <t>Climate Science.</t>
  </si>
  <si>
    <t>Instructional content is defined in code 30.3501.</t>
  </si>
  <si>
    <t>A program that focuses on the scientific study of the climate system of the earth with emphasis on the physical, dynamical, and chemical interactions of the atmosphere, ocean, land, ice, and the terrestrial and marine biospheres. Includes instruction in biology, chemistry, climate analysis, climate change adaptation/mitigation, climate policy, ecology, energy development, environmental impacts, marine chemistry, meteorology, and oceanography.</t>
  </si>
  <si>
    <t>Cultural Studies and Comparative Literature.</t>
  </si>
  <si>
    <t>Instructional content is defined in code 30.3601.</t>
  </si>
  <si>
    <t>A program with a general synthesis of cultural studies and comparative literature or a specialization which draws from cultural studies and comparative literature. Includes instruction in anthropology, comparative linguistics, cultural studies, history, literary criticism, literary studies, philosophy, political economy, sociology, and textual studies.</t>
  </si>
  <si>
    <t>Design for Human Health.</t>
  </si>
  <si>
    <t>Instructional content is defined in code 30.3701.</t>
  </si>
  <si>
    <t>A program that focuses on the impact of design and architecture on the health of individuals and larger populations, and how to create settings that promote health, healing, and well-being. Includes instruction in architecture, interior design, human health services, communication studies, medical and clinical innovations, behavioral and engineering sciences, hospitals and health systems, and environmental conditions that influence health.</t>
  </si>
  <si>
    <t>Earth Systems Science.</t>
  </si>
  <si>
    <t>Instructional content is defined in code 30.3801.</t>
  </si>
  <si>
    <t>A program that focuses on the interaction of the Earth's oceanographic, atmospheric, and terrestrial systems. Includes instruction in biogeochemistry, climate dynamics, geographical information science (GIS), geophysics, hydrology, landscape ecology, meteorology, and satellite remote sensing analysis.</t>
  </si>
  <si>
    <t>Economics and Computer Science.</t>
  </si>
  <si>
    <t>Instructional content is defined in code 30.3901.</t>
  </si>
  <si>
    <t>A program of study that focuses on the theoretical and practical connections between computer science and economics. Includes instruction in data analysis, database design, data mining, computer algorithms, economics, econometrics, computer programing, mathematics, and statistics.</t>
  </si>
  <si>
    <t>Economics and Foreign Language/Literature.</t>
  </si>
  <si>
    <t>Instructional content is defined in code 30.4001.</t>
  </si>
  <si>
    <t>A program with a general synthesis of economics and the language and literature of one or more countries or regions or a specialization which draws from economics and the language and literature of one or more countries or regions. Includes instruction in comparative economic systems, econometrics, economic theory, money and banking systems, international economics, international trade, linguistics, philology, and translation.</t>
  </si>
  <si>
    <t>Environmental Geosciences.</t>
  </si>
  <si>
    <t>Instructional content is defined in code 30.4101.</t>
  </si>
  <si>
    <t>A program that focuses on the scientific study of the environmental implications of geological processes and human activities on Earth. Includes instruction in environmental/natural resource management, geographic information systems (GIS), geology, hydrology, regulatory agency compliance, hazard identification and mitigation, environmental law, environmental policy, and sustainability studies.</t>
  </si>
  <si>
    <t>Geoarcheaology.</t>
  </si>
  <si>
    <t>Instructional content is defined in code 30.4201.</t>
  </si>
  <si>
    <t>A program that focuses on the application of analytical techniques, concepts, and field methods from the earth sciences to solve archaeological questions related to human settlement, artifacts, site taphonomy, and paleoenvironments. Includes instruction in anthropology, ancient civilizations, archeology, geology, paleoclimatic reconstruction, sedimentology, and site taphonomic research.</t>
  </si>
  <si>
    <t>Geobiology.</t>
  </si>
  <si>
    <t>Instructional content is defined in code 30.4301.</t>
  </si>
  <si>
    <t>A program that focuses on the scientific study of how living things interact with geological systems. Includes instruction in evolution of Earth systems, geochemistry, geology, geomicrobiology, marine chemistry, paleobiology, paleoecology, paleontology, and petrology.</t>
  </si>
  <si>
    <t>Geography and Environmental Studies.</t>
  </si>
  <si>
    <t>Instructional content is defined in code 30.4401.</t>
  </si>
  <si>
    <t>A program that focuses on interactions between people and the natural and built environments. Includes instruction in climate science, sustainability, environmental science and policy, research methods, geographic information systems (GIS), human geography, physical geography, remote sensing, and public policy.</t>
  </si>
  <si>
    <t>History and Language/Literature.</t>
  </si>
  <si>
    <t>Instructional content is defined in code 30.4501.</t>
  </si>
  <si>
    <t>A program with a general synthesis of history and the language and literature of one or more countries or regions or a specialization which draws from history and the language and literature of one or more countries or regions. Includes instruction in historiography; historical research methods; linguistics; literature, philology; and studies of specific periods, issues and cultures.</t>
  </si>
  <si>
    <t>History and Political Science.</t>
  </si>
  <si>
    <t>Instructional content is defined in code 30.4601.</t>
  </si>
  <si>
    <t>A program with a general synthesis of history and political science or a specialization which draws from history and political science. Includes instruction in comparative government and politics, historiography, historical research methods, political science, political theory, records administration, and systematic study of political institutions and behavior.</t>
  </si>
  <si>
    <t>Linguistics and Anthropology.</t>
  </si>
  <si>
    <t>Instructional content is defined in code 30.4701.</t>
  </si>
  <si>
    <t>A program that focuses on the study of the anthropological, historical, and sociological context of language with a particular emphasis on language use and its role in shaping cultural and social diversity. Includes instruction in applied linguistics, data management, field methods, language heritage, socialization, structure, linguistic analysis, linguistic theory, and multilingualism.</t>
  </si>
  <si>
    <t>Linguistics and Computer Science.</t>
  </si>
  <si>
    <t>Instructional content is defined in code 30.4801.</t>
  </si>
  <si>
    <t>A program that focuses on the relationship between computer and human language and computational techniques applied to natural language. Includes instruction in computer programming, human languages, linguistic analysis, logic, natural language processing, semantics, machine learning, psycholinguistics, software engineering, and syntax.</t>
  </si>
  <si>
    <t>Mathematical Economics.</t>
  </si>
  <si>
    <t>Instructional content is defined in code 30.4901.</t>
  </si>
  <si>
    <t>A program that focuses on the application of mathematical methods to the development of economic theory, models, and quantitative analysis. Includes instruction in data analysis, applied business economics, calculus, econometrics, linear algebra, microeconomic theory, probability, and statistical methods.</t>
  </si>
  <si>
    <t>Mathematics and Atmospheric/Oceanic Science.</t>
  </si>
  <si>
    <t>Instructional content is defined in code 30.5001.</t>
  </si>
  <si>
    <t>A program that focuses on the application of mathematics to atmospheric and oceanic problems. Includes instruction in chemistry, physics, atmospheric/ocean dynamics, climatology, weather simulation, climate modeling, mathematics, oceanography, and atmospheric science.</t>
  </si>
  <si>
    <t>Philosophy, Politics, and Economics.</t>
  </si>
  <si>
    <t>Instructional content is defined in code 30.5101.</t>
  </si>
  <si>
    <t>A program that focuses on philosophical foundations, political institutions, collective behavior, economic theory, and economic influences. Includes instruction in econometrics, logic, metaphysics, moral responsibility, philosophy of language, philosophy of perception, philosophy through history, reasoning and persuasion, and social epistemology.</t>
  </si>
  <si>
    <t>Digital Humanities and Textual Studies.</t>
  </si>
  <si>
    <t>Instructional content for this group of programs is defined in codes 30.5201 - 30.5299.</t>
  </si>
  <si>
    <t>Digital Humanities and Textual Studies, General.</t>
  </si>
  <si>
    <t>A program that focuses on digital textual editing, archiving, and publishing, and on the study of new media and computing platforms from the perspectives of the humanities and computer science. Includes instruction in archiving, computer programming, cultural studies, and textual criticism.</t>
  </si>
  <si>
    <t>Digital Humanities.</t>
  </si>
  <si>
    <t>A program that focuses on the use of new technologies, advanced computing, and public engagement to investigate and analyze questions in the humanities. Includes instruction in anthropology, art, data mining and machine learning, design, digital archives, geospatial technologies, history, human-computer interface design, literature, markup languages, social media technologies, and software development.</t>
  </si>
  <si>
    <t>Textual Studies.</t>
  </si>
  <si>
    <t>A program that focuses on the interconnected histories of digital or print texts and manuscripts for cultural and literary study. Includes instruction in archiving texts, bibliography, book and literary history, cultural studies, codicology, paleography, stemmatology, and textual criticism.</t>
  </si>
  <si>
    <t>Digital Humanities and Textual Studies, Other.</t>
  </si>
  <si>
    <t>Any instructional program in digital humanities and textual studies not listed above.</t>
  </si>
  <si>
    <t>Thanatology.</t>
  </si>
  <si>
    <t>Instructional content is defined in code 30.5301.</t>
  </si>
  <si>
    <t>A program of study that focuses on the biological, philosophical, psychological, sociological, and theological aspects of death, dying, and bereavement. Includes instruction in counseling, ethics, grief, palliative and hospice care, philosophy, thanatology, and theology.</t>
  </si>
  <si>
    <t>Data Science.</t>
  </si>
  <si>
    <t>Instructional content for this group of programs is defined in codes 30.7001 - 30.7099.</t>
  </si>
  <si>
    <t>Data Science, General.</t>
  </si>
  <si>
    <t>A program that focuses on the analysis of large scale data sources from the interdisciplinary perspectives of applied statistics, computer science, data storage, data representation, data modeling, mathematics, and statistics. Includes instruction in computer algorithms, computer programming, data management, data mining, information policy, information retrieval, mathematical modeling, quantitative analysis, statistics, trend spotting, and visual analytics.</t>
  </si>
  <si>
    <t>Data Science, Other.</t>
  </si>
  <si>
    <t>Any instructional program in data science not listed above.</t>
  </si>
  <si>
    <t>Data Analytics.</t>
  </si>
  <si>
    <t>Instructional content for this group of programs is defined in codes 30.7101 - 30.7199.</t>
  </si>
  <si>
    <t>Data Analytics, General.</t>
  </si>
  <si>
    <t>A program that prepares individuals to apply data science to generate insights from data and identify and predict trends. Includes instruction in computer databases, computer programming, inference, machine learning, optimization, probability and stochastic models, statistics, strategy, uncertainty quantification, and visual analytics.</t>
  </si>
  <si>
    <t>Business Analytics.</t>
  </si>
  <si>
    <t>A program that prepares individuals to apply data science to solve business challenges. Includes instruction in machine learning, optimization methods, computer algorithms, probability and stochastic models, information economics, logistics, strategy, consumer behavior, marketing, and visual analytics.</t>
  </si>
  <si>
    <t>Data Visualization.</t>
  </si>
  <si>
    <t>A program that prepares individuals to organize and derive meaning from data by using visual presentation tools and techniques. Includes instruction in cognitive science, computer programming, data management, data visualization theory, graphic design, infographics, perceptual psychology, statistics, and visual design.</t>
  </si>
  <si>
    <t>Financial Analytics.</t>
  </si>
  <si>
    <t>A program that focuses on financial big data modeling from algorithms to cloud-based data-driven financial technologies. Includes instruction in financial analytics, financial data processing, knowledge management, data visualization, effective decision communication, machine learning for finance, statistical inference and dynamic modeling on financial data, and project management.</t>
  </si>
  <si>
    <t>Data Analytics, Other.</t>
  </si>
  <si>
    <t>Any instructional program in data analytics not listed above.</t>
  </si>
  <si>
    <t>Multi/Interdisciplinary Studies, Other.</t>
  </si>
  <si>
    <t>Instructional content is defined in code 30.9999.</t>
  </si>
  <si>
    <t>Multi-/Interdisciplinary Studies, Other.</t>
  </si>
  <si>
    <t>Any instructional program in multi/interdisciplinary studies not listed above.</t>
  </si>
  <si>
    <t>PARKS, RECREATION, LEISURE, FITNESS, AND KINESIOLOGY.</t>
  </si>
  <si>
    <t>Instructional programs that focus on the principles and practices of managing parks and other recreational and fitness facilities; providing recreational, leisure and fitness services; and the study of human kinesiology and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</si>
  <si>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</si>
  <si>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</si>
  <si>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</si>
  <si>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</si>
  <si>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</si>
  <si>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</si>
  <si>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</si>
  <si>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</si>
  <si>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</si>
  <si>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</si>
  <si>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</si>
  <si>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Sports, Kinesiology, and Physical Education/Fitness.</t>
  </si>
  <si>
    <t>Instructional content for this group of programs is defined in codes 31.0501 - 31.0599.</t>
  </si>
  <si>
    <t>Sports, Kinesiology,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</si>
  <si>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</si>
  <si>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</si>
  <si>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</si>
  <si>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Exercise Science and Kinesiology.</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</si>
  <si>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</si>
  <si>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</si>
  <si>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</si>
  <si>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</si>
  <si>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</si>
  <si>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Sports, Kinesiology, and Physical Education/Fitness, Other.</t>
  </si>
  <si>
    <t>Any instructional program in sports, kinesiology,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</si>
  <si>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</si>
  <si>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</si>
  <si>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</si>
  <si>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Parks, Recreation, Leisure, Fitness, and Kinesiology, Other.</t>
  </si>
  <si>
    <t>Instructional content is defined in code 31.9999.</t>
  </si>
  <si>
    <t>Any instructional program in parks, recreation, leisure, fitness, and kinesiology not listed above.</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</si>
  <si>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</si>
  <si>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</si>
  <si>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</si>
  <si>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</si>
  <si>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</si>
  <si>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</si>
  <si>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Developmental/Remedial Mathematics.</t>
  </si>
  <si>
    <t>A program that focuses on the development of computing and other mathematical reasoning abilities and skills. This CIP code is not valid for IPEDS reporting.</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</si>
  <si>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</si>
  <si>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</si>
  <si>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</si>
  <si>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</si>
  <si>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</si>
  <si>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</si>
  <si>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</si>
  <si>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</si>
  <si>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</si>
  <si>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Workforce Development and Training.</t>
  </si>
  <si>
    <t>A program that focuses on learning or upgrading basic skills in order to enhance job performance, promote career development, or train for a new job. This CIP code is not valid for IPEDS reporting.</t>
  </si>
  <si>
    <t>Accent Reduction/Modification.</t>
  </si>
  <si>
    <t>A program that focuses on accent modification and effective pronunciation in order to assist individuals in changing their accents/dialects to Standard American English. Includes instruction in changing speech patterns, intonation, phonology, pronunciation, rhythm, semantics, syntax, vocabulary, voice production, and word order. This CIP code is not valid for IPEDS reporting.</t>
  </si>
  <si>
    <t>Basic Skills and Developmental/Remedial Education, Other.</t>
  </si>
  <si>
    <t>Any instructional program in basic skills not listed above. This CIP code is not valid for IPEDS reporting.</t>
  </si>
  <si>
    <t>General Exam Preparation and Test-Taking Skills.</t>
  </si>
  <si>
    <t>Instructional content for this group of programs is defined in codes 32.0201 - 32.0299. These CIP codes are not valid for IPEDS reporting.</t>
  </si>
  <si>
    <t>Exam Preparation and Test-Taking Skills, General.</t>
  </si>
  <si>
    <t>A program of study that focuses on general study and exam-taking skills. This CIP code is not valid for IPEDS reporting.</t>
  </si>
  <si>
    <t>High School Equivalent Exam Preparation.</t>
  </si>
  <si>
    <t>A program of study that focuses on general study and exam-taking skills associated with preparation for the high school equivalency examinations. This CIP code is not valid for IPEDS reporting.</t>
  </si>
  <si>
    <t>Undergraduate Entrance/Placement Examination Preparation.</t>
  </si>
  <si>
    <t>A program of study that focuses on general study and exam-taking skills associated with preparation for undergraduate college/university entrance or placement examinations. This CIP code is not valid for IPEDS reporting.</t>
  </si>
  <si>
    <t>Graduate/Professional School Entrance Examination Preparation.</t>
  </si>
  <si>
    <t>A program of study that focuses on general study and exam-taking skills associated with preparation for graduate and professional school entrance examinations. This CIP code is not valid for IPEDS reporting.</t>
  </si>
  <si>
    <t>Professional Certification/Licensure Examination Preparation.</t>
  </si>
  <si>
    <t>A program of study that focuses on general study and exam-taking skills associated with preparation for professional certification and licensure examinations. This CIP code is not valid for IPEDS reporting.</t>
  </si>
  <si>
    <t>General Exam Preparation and Test-Taking Skills, Other.</t>
  </si>
  <si>
    <t>Any instructional program in general exam preparation and test-taking skills not listed above.</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</si>
  <si>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</si>
  <si>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</si>
  <si>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</si>
  <si>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</si>
  <si>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</si>
  <si>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</si>
  <si>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</si>
  <si>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</si>
  <si>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</si>
  <si>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</si>
  <si>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</si>
  <si>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</si>
  <si>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</si>
  <si>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</si>
  <si>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Personal Emergency Preparedness.</t>
  </si>
  <si>
    <t>A program of study that focuses on the leadership and management skills needed to prepare and respond to critical threats such as natural disasters, hazardous spills, and security threats. Includes instruction in communication, community preparedness, decision-making, disaster management, disaster recovery, disaster preparation, emergency planning and preparation, resource planning, and risk and hazard impact.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</si>
  <si>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</si>
  <si>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</si>
  <si>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</si>
  <si>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programs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</si>
  <si>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</si>
  <si>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</si>
  <si>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</si>
  <si>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</si>
  <si>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</si>
  <si>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</si>
  <si>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</si>
  <si>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</si>
  <si>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Meditation/Mind-Body Wellness.</t>
  </si>
  <si>
    <t>A program that focuses on meditation and mindfulness training, and how these techniques can enhance brain function, regulate emotions, reduce stress, and increase compassion. Includes instruction in alternative medicine, innovative and ancient healing practices, inspired creativity and the arts, meditation, mindfulness, neuroscience, religious belief systems, spiritual psychology, therapeutic movement, and visualization meditation. This CIP code is not valid for IPEDS reporting.</t>
  </si>
  <si>
    <t>Health-Related Knowledge and Skills, Other.</t>
  </si>
  <si>
    <t>Any instructional program in health-related knowledge and skills not listed above. This CIP code is not valid for IPEDS reporting.</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</si>
  <si>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</si>
  <si>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</si>
  <si>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</si>
  <si>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</si>
  <si>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</si>
  <si>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</si>
  <si>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</si>
  <si>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</si>
  <si>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</si>
  <si>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</si>
  <si>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Life Coaching.</t>
  </si>
  <si>
    <t>A program that focuses on assisting individuals in achieving personal goals such as life transitions, relationships, physical well-being, emotional well-being, and career choices. Includes instruction in career and vocational development, coaching methodologies, coaching research techniques, group coaching, leadership techniques, and personal coaching.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</si>
  <si>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</si>
  <si>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</si>
  <si>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</si>
  <si>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</si>
  <si>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</si>
  <si>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</si>
  <si>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</si>
  <si>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</si>
  <si>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</si>
  <si>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</si>
  <si>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</si>
  <si>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</si>
  <si>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</si>
  <si>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</si>
  <si>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</si>
  <si>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</si>
  <si>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</si>
  <si>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</si>
  <si>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</si>
  <si>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</si>
  <si>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</si>
  <si>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</si>
  <si>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</si>
  <si>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</si>
  <si>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</si>
  <si>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</si>
  <si>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</si>
  <si>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</si>
  <si>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</si>
  <si>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</si>
  <si>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</si>
  <si>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</si>
  <si>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</si>
  <si>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</si>
  <si>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</si>
  <si>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</si>
  <si>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</si>
  <si>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</si>
  <si>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</si>
  <si>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</si>
  <si>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Beekeeping.</t>
  </si>
  <si>
    <t>A program that focuses on keeping bees for personal enjoyment, pollination of plants and vegetables, and domestic honey and other bee product production. Includes instruction in bee behavior, hive equipment, beekeeping supplies, bee pests and parasites, handling bees, hive set up and care, honey production, and seasonal management practices. This CIP code is not valid for IPEDS reporting.</t>
  </si>
  <si>
    <t>Firearms Training/Safety.</t>
  </si>
  <si>
    <t>A program that focuses on the fundamentals of gun operation, shooting techniques, and firearm safety. Includes instruction in ammunition, firearm cleaning, firearms law, firearm operation, and shooting techniques. This CIP code is not valid for IPEDS reporting.</t>
  </si>
  <si>
    <t>Floral Design/Arrangement.</t>
  </si>
  <si>
    <t>A program that focuses on the techniques of floral design based on color palette, theme, season, and flower selection. Includes instruction in botanical terminology, flower handling and identification, foliage and plants, traditional and contemporary floral design, and use of seasonal, dry, silk, or exotic plant materials. This CIP code is not valid for IPEDS reporting.</t>
  </si>
  <si>
    <t>Master Gardener/Gardening.</t>
  </si>
  <si>
    <t>A program that prepares individuals to educate the public on science-based, environmentally-sound practices in sustainable gardening and horticulture. Includes instruction in vegetables, houseplants, composting, flowers, fruits, turf grass, woody plants, plant propagation, pollination, soils, wildlife management, integrated pest management, plant pathology, and entomology. This CIP code is not valid for IPEDS reporting.</t>
  </si>
  <si>
    <t>Leisure and Recreational Activities, Other.</t>
  </si>
  <si>
    <t>Any instructional program in leisure and recreational activities not listed above. This CIP code is not valid for IPEDS reporting.</t>
  </si>
  <si>
    <t>Noncommercial Vehicle Operation.</t>
  </si>
  <si>
    <t>Instructional content for this group of programs is defined in codes 36.0202 - 36.0299. These CIP codes are not valid for IPEDS reporting.</t>
  </si>
  <si>
    <t>Aircraft Pilot (Private).</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</si>
  <si>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</si>
  <si>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Automobile Driver Education.</t>
  </si>
  <si>
    <t>A program that prepares individuals to drive automobiles for personal use and qualifies them to sit for a driver's license examination. Includes instruction in automobile operation, driving skills, safety, and traffic rules. This CIP code is not valid for IPEDS reporting.</t>
  </si>
  <si>
    <t>Helicopter Pilot (Private).</t>
  </si>
  <si>
    <t>A program that prepares individuals to fly helicopters for personal use, and qualifies individuals to sit for the FAA Private Pilot - Helicopter (PRH) examination. Includes instruction in principles of helicopter design and performance; helicopter flight systems and controls; flight crew operations and procedures; radio communications and navigation procedures and systems; airways safety and traffic regulations; and governmental rules and regulations pertaining to piloting helicopters. This CIP code is not valid for IPEDS reporting.</t>
  </si>
  <si>
    <t>Motorcycle Rider Education.</t>
  </si>
  <si>
    <t>A program that prepares individuals to ride motorcycles for personal use and qualifies them to sit for a motorcycle license examination. Includes instruction in motorcycle operation, riding skills, safety, and traffic rules. This CIP code is not valid for IPEDS reporting.</t>
  </si>
  <si>
    <t>Personal Watercraft/Boating Education.</t>
  </si>
  <si>
    <t>A program that prepares individuals to operate boats and other watercraft for personal use and qualifies them to sit for a boating license examination. Includes instruction in boat and watercraft operation, safety, and applicable laws and rules. This CIP code is not valid for IPEDS reporting.</t>
  </si>
  <si>
    <t>Remote Aircraft Pilot.</t>
  </si>
  <si>
    <t>A program that prepares individuals to fly an unmanned aircraft system (UAS) for personal use, and qualifies individuals to sit for the FAA Remote Pilot Certificate with small unmanned aircraft systems (sUAS) rating knowledge examination. Includes instruction in principles of unmanned aircraft system design and performance; aircraft flight systems and controls; airway safety and traffic regulations; and governmental rules and regulations pertaining to piloting unmanned aircraft. This CIP code is not valid for IPEDS reporting.</t>
  </si>
  <si>
    <t>Noncommercial Vehicle Operation, Other.</t>
  </si>
  <si>
    <t>Any instructional program in noncommercial vehicle operation not listed above.</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</si>
  <si>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</si>
  <si>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</si>
  <si>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</si>
  <si>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</si>
  <si>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</si>
  <si>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</si>
  <si>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</si>
  <si>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</si>
  <si>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</si>
  <si>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</si>
  <si>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</si>
  <si>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</si>
  <si>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Investing/Wealth Management/Retirement Planning.</t>
  </si>
  <si>
    <t>A program that prepares individuals to evaluate their personal financial health, establish financial planning strategies, and solve financial problems, based on their short term and long term financial goals. Includes instruction in asset management, estate planning, college savings, investment theory, insurance, real estate, retirement planning, and taxation. This CIP code is not valid for IPEDS reporting.</t>
  </si>
  <si>
    <t>Self-Defense.</t>
  </si>
  <si>
    <t>A program that focuses on defensive concepts and techniques against various types of assault. Includes instruction in basic principles of defense, continuum of survival, date rape, defensive mindset, weapons and strategies, offensive and defensive postures, recognizing vulnerable locations, risk reduction strategies, and using personal weapons. This CIP code is not valid for IPEDS reporting.</t>
  </si>
  <si>
    <t>Personal Awareness and Self-Improvement, Other.</t>
  </si>
  <si>
    <t>Any instructional program in personnel awareness and self-improvement not listed above. This CIP code is not valid for IPEDS reporting.</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</si>
  <si>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</si>
  <si>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</si>
  <si>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</si>
  <si>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</si>
  <si>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</si>
  <si>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</si>
  <si>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</si>
  <si>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</si>
  <si>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</si>
  <si>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</si>
  <si>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</si>
  <si>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</si>
  <si>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</si>
  <si>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</si>
  <si>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</si>
  <si>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</si>
  <si>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</si>
  <si>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</si>
  <si>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</si>
  <si>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</si>
  <si>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</si>
  <si>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</si>
  <si>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</si>
  <si>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</si>
  <si>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</si>
  <si>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</si>
  <si>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</si>
  <si>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</si>
  <si>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Talmudic Studies.</t>
  </si>
  <si>
    <t>A program focused on intense study of the Talmud that fosters values, critical thinking, and scholarship skills; prepares students for entry into a broad spectrum of graduate and professional schools; and prepares students for entry into a variety of careers including the Rabbinate. Includes instruction in Jewish law, Jewish jurisprudence, ethics, philosophy, and related disciplines.</t>
  </si>
  <si>
    <t>Catholic Studies.</t>
  </si>
  <si>
    <t>A program that focuses on Catholic thought, culture, and how Catholic tradition informs theology, culture, institutions, and identity. Includes instruction in Biblical Greek, Biblical Hebrew, Catholic bioethics, Catholic social thought, church history, Latin, philosophy, and theology.</t>
  </si>
  <si>
    <t>Mormon Studies.</t>
  </si>
  <si>
    <t>A program that focuses on beliefs, practices, culture, and history of the Church of Jesus Christ of Latter-day Saints (Mormon). Includes instruction in Mormon culture, history, literature, philosophy, sociology, and theology.</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</si>
  <si>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</si>
  <si>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</si>
  <si>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</si>
  <si>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</si>
  <si>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</si>
  <si>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THEOLOGY AND RELIGIOUS VOCATIONS.</t>
  </si>
  <si>
    <t>Instructional programs that focus on the intramural study of theology and that prepare individuals for the professional practice of religious vocations.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</si>
  <si>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</si>
  <si>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</si>
  <si>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</si>
  <si>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Missions/Missionary Studies and Missiology.</t>
  </si>
  <si>
    <t>Instructional content for this group of programs is defined in codes 39.0301 - 39.0399.</t>
  </si>
  <si>
    <t>Missions/Missionary Studies.</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</si>
  <si>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</si>
  <si>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Church Planting.</t>
  </si>
  <si>
    <t>A program of study that prepares individuals to establish congregations of Christians in new locations. Includes instruction in models of church planting, church multiplication strategies, church leadership, evangelism, missiology, Christian ethics, and mission-oriented theology.</t>
  </si>
  <si>
    <t>Missions/Missionary Studies and Missiology, Other.</t>
  </si>
  <si>
    <t>Any instructional program in missions, missionary studies, and missiology not listed above.</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</si>
  <si>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</si>
  <si>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</si>
  <si>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</si>
  <si>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Religious Music and Worship.</t>
  </si>
  <si>
    <t>Instructional content for this group of programs is defined in codes 39.0501 - 39.0599.</t>
  </si>
  <si>
    <t>Religious/Sacred Music.</t>
  </si>
  <si>
    <t>A program that focuses on the history, theory, composition, and performance of music for religious or sacred purposes, and that prepares individuals for religious musical vocations such as choir directors, cantors, organists, and chanters.</t>
  </si>
  <si>
    <t>Worship Ministry.</t>
  </si>
  <si>
    <t>A program of study that focuses on the use of musical and theatrical arts in Christian worship. Includes instruction in digital media, electronic hardware design and installation, music, theater, and worship theology.</t>
  </si>
  <si>
    <t>Religious Music and Worship, Other.</t>
  </si>
  <si>
    <t>Any instructional program in religious music and worship not listed above.</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</si>
  <si>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</si>
  <si>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</si>
  <si>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</si>
  <si>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</si>
  <si>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</si>
  <si>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</si>
  <si>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</si>
  <si>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</si>
  <si>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</si>
  <si>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</si>
  <si>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Theological and Ministerial Studies, Other.</t>
  </si>
  <si>
    <t>Any instructional program in theological and ministerial studies not listed above, including preparation for religious vocations in faiths other than Christianity and Judaism.</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</si>
  <si>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</si>
  <si>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</si>
  <si>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</si>
  <si>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</si>
  <si>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</si>
  <si>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</si>
  <si>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</si>
  <si>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</si>
  <si>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</si>
  <si>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</si>
  <si>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</si>
  <si>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</si>
  <si>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Chaplain/Chaplaincy Studies.</t>
  </si>
  <si>
    <t>A program that prepares individuals to provide caregiver, pastoral, and spiritual support in an institutional, hospice, military, or sports setting. Includes instruction in global, healthcare, prison, and sports chaplaincy; addiction, crisis, disaster, family, marriage, grief, and loss counseling; ethics; leadership; multi-cultural, multi-faith contexts; and worship.</t>
  </si>
  <si>
    <t>Pastoral Counseling and Specialized Ministries, Other.</t>
  </si>
  <si>
    <t>Any instructional program in pastoral counseling and specialized ministries not listed above.</t>
  </si>
  <si>
    <t>Religious Institution Administration and Law.</t>
  </si>
  <si>
    <t>Instructional content for this group of programs is defined in codes 39.0801 - 39.0899.</t>
  </si>
  <si>
    <t>Religious Institution Administration and Management.</t>
  </si>
  <si>
    <t>A program that prepares individuals to manage the business affairs and administration of religious institutions. Includes instruction in business management, principles of accounting and financial management, human resources management, taxation of religious institutions, and business law as applied to religious institutions.</t>
  </si>
  <si>
    <t>Religious/Canon Law.</t>
  </si>
  <si>
    <t>A program of study that focuses on the history, theology, and philosophy of religious, church, and ecclesiastical law and that prepares individuals to serve as professional canonists.</t>
  </si>
  <si>
    <t>Religious Institution Administration and Law, Other.</t>
  </si>
  <si>
    <t>Any instructional program in religious institution administration and law not listed above.</t>
  </si>
  <si>
    <t>Theology and Religious Vocations, Other.</t>
  </si>
  <si>
    <t>Instructional content is defined in code 39.9999.</t>
  </si>
  <si>
    <t>Any instructional program in theological studies and religious vocations not listed above.</t>
  </si>
  <si>
    <t>PHYSICAL SCIENCES.</t>
  </si>
  <si>
    <t>Instructional programs that focus on the scientific study of inanimate objects, processes of matter and energy, and associated phenomena.</t>
  </si>
  <si>
    <t>Physical Sciences, General.</t>
  </si>
  <si>
    <t>Instructional content is defined in code 40.0101.</t>
  </si>
  <si>
    <t>A program that focuses on the major topics, concepts, processes, and interrelationships of physical phenomena as studied in any combination of physical science disciplines.</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</si>
  <si>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</si>
  <si>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</si>
  <si>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</si>
  <si>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</si>
  <si>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</si>
  <si>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</si>
  <si>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</si>
  <si>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</si>
  <si>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</si>
  <si>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</si>
  <si>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</si>
  <si>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</si>
  <si>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</si>
  <si>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</si>
  <si>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</si>
  <si>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</si>
  <si>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</si>
  <si>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</si>
  <si>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</si>
  <si>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</si>
  <si>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</si>
  <si>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</si>
  <si>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</si>
  <si>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</si>
  <si>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</si>
  <si>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</si>
  <si>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</si>
  <si>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</si>
  <si>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</si>
  <si>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</si>
  <si>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</si>
  <si>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</si>
  <si>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</si>
  <si>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</si>
  <si>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</si>
  <si>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</si>
  <si>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</si>
  <si>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</si>
  <si>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</si>
  <si>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</si>
  <si>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</si>
  <si>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</si>
  <si>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</si>
  <si>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</si>
  <si>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Cheminformatics/Chemistry Informatics.</t>
  </si>
  <si>
    <t>A program that focuses on applying computer science approaches in the representation, analysis, design, and modeling of chemical structures and associated metadata, such as biological activity endpoints and physicochemical properties. Includes instruction in chemical information technology, computational chemistry, computer science, database design, molecular modeling, scientific computing, and statistics.</t>
  </si>
  <si>
    <t>Chemistry, Other.</t>
  </si>
  <si>
    <t>Any instructional program in chemistry not listed above.</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</si>
  <si>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</si>
  <si>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</si>
  <si>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</si>
  <si>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</si>
  <si>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</si>
  <si>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</si>
  <si>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</si>
  <si>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</si>
  <si>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</si>
  <si>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</si>
  <si>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</si>
  <si>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</si>
  <si>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</si>
  <si>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</si>
  <si>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</si>
  <si>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</si>
  <si>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</si>
  <si>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</si>
  <si>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</si>
  <si>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</si>
  <si>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</si>
  <si>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</si>
  <si>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</si>
  <si>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</si>
  <si>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</si>
  <si>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</si>
  <si>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</si>
  <si>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</si>
  <si>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</si>
  <si>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</si>
  <si>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</si>
  <si>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</si>
  <si>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</si>
  <si>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</si>
  <si>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</si>
  <si>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</si>
  <si>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</si>
  <si>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</si>
  <si>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</si>
  <si>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Materials Sciences.</t>
  </si>
  <si>
    <t>Instructional content for this group of programs is defined in codes 40.1001 - 40.1099.</t>
  </si>
  <si>
    <t>Materials Science.</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</si>
  <si>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</si>
  <si>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</si>
  <si>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</si>
  <si>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Materials Sciences, Other.</t>
  </si>
  <si>
    <t>Any instructional program in materials sciences not listed above.</t>
  </si>
  <si>
    <t>Physics and Astronomy.</t>
  </si>
  <si>
    <t>Instructional content is defined in code 40.1101.</t>
  </si>
  <si>
    <t>A program that focuses on the scientific study of the theories that explain the fundamental structure of our world and the universe and which draws from physics and astronomy. Includes instruction in astronomy, calculus, cosmology, differential equations, electricity, magnetism, data analysis, physics, quantum mechanics, space science, spectroscopy, and thermal physics.</t>
  </si>
  <si>
    <t>Physical Sciences, Other.</t>
  </si>
  <si>
    <t>Instructional content is defined in code 40.9999.</t>
  </si>
  <si>
    <t>Any instructional program in physical sciences not listed above.</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</si>
  <si>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</si>
  <si>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</si>
  <si>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</si>
  <si>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</si>
  <si>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</si>
  <si>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Biology/Biotechnology Technologies/Technicians.</t>
  </si>
  <si>
    <t>Instructional content is defined in code 41.0101.</t>
  </si>
  <si>
    <t>Biology/Biotechnology Technology/Technician.</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</si>
  <si>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</si>
  <si>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</si>
  <si>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</si>
  <si>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</si>
  <si>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</si>
  <si>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</si>
  <si>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</si>
  <si>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</si>
  <si>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</si>
  <si>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</si>
  <si>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</si>
  <si>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</si>
  <si>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</si>
  <si>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</si>
  <si>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</si>
  <si>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</si>
  <si>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</si>
  <si>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</si>
  <si>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</si>
  <si>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</si>
  <si>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</si>
  <si>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</si>
  <si>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</si>
  <si>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</si>
  <si>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</si>
  <si>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Research and Experimental Psychology.</t>
  </si>
  <si>
    <t>Instructional content for this group of programs is defined in codes 42.2701 - 42.2799.</t>
  </si>
  <si>
    <t>Cognitive Psychology and Psycholinguistics.</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</si>
  <si>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</si>
  <si>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Comparative Psychology.</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</si>
  <si>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</si>
  <si>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Developmental and Child Psychology.</t>
  </si>
  <si>
    <t>A program that focuses on the scientific study of the unique stages of psychological growth and development of individuals from infancy through childhood.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</si>
  <si>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Experimental Psychology.</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</si>
  <si>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</si>
  <si>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Personality Psychology.</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</si>
  <si>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</si>
  <si>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Behavioral Neuroscience.</t>
  </si>
  <si>
    <t>A program that focuses on the scientific study of the biological bases of behavior and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molecular and cellular neuroscience, brain science, anatomy and physiology of the central nervous system, and specialized experimental design and research methods.</t>
  </si>
  <si>
    <t>Social Psychology.</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</si>
  <si>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</si>
  <si>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Psychometrics and Quantitative Psychology.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</si>
  <si>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</si>
  <si>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Psychopharmacology.</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</si>
  <si>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</si>
  <si>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Developmental and Adolescent Psychology.</t>
  </si>
  <si>
    <t>A program that focuses on the scientific study of the unique stages of psychological growth and development of individuals from adolescence to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</si>
  <si>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</si>
  <si>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</si>
  <si>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</si>
  <si>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</si>
  <si>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Clinical Psychology.</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</si>
  <si>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</si>
  <si>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Community Psychology.</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</si>
  <si>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</si>
  <si>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Counseling Psychology.</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</si>
  <si>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</si>
  <si>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Industrial and Organizational Psychology.</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</si>
  <si>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</si>
  <si>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School Psychology.</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</si>
  <si>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</si>
  <si>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Educational Psychology.</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</si>
  <si>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</si>
  <si>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Clinical Child Psychology.</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</si>
  <si>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</si>
  <si>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Environmental Psychology.</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</si>
  <si>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</si>
  <si>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Geropsychology.</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</si>
  <si>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</si>
  <si>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Health/Medical Psychology.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</si>
  <si>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</si>
  <si>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Family Psychology.</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</si>
  <si>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</si>
  <si>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Forensic Psychology.</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</si>
  <si>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</si>
  <si>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</si>
  <si>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</si>
  <si>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</si>
  <si>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</si>
  <si>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Performance and Sport Psychology.</t>
  </si>
  <si>
    <t>A program that focuses on the motor, physiological, and psychosocial aspects of sport behavior. Includes instruction in applied sport psychology, clinical mental health counseling, coaching, exercise physiology, ethical performance enhancement; human development, leadership and team building, mind-body practices, neuroscience, and personality and health.</t>
  </si>
  <si>
    <t>Somatic Psychology.</t>
  </si>
  <si>
    <t>A program that focuses on a holistic approach to solving interpersonal issues and psychological problems. Includes instruction in authentic movement, body-mind balance and integration, contact improvisation, dance, Pilates, Tai Chi, relaxation techniques, and Yoga.</t>
  </si>
  <si>
    <t>Transpersonal/Spiritual Psychology.</t>
  </si>
  <si>
    <t>A program that prepares individuals to pursue spiritual and psychological practices for counseling. Includes instruction in emotional intelligence, expressive movement, healing practices and rituals, human consciousness, movement and meditation, psychosomatic connection, spiritual systems and wellness, transpersonal counseling, and therapeutic trance.</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</si>
  <si>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</si>
  <si>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</si>
  <si>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</si>
  <si>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</si>
  <si>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</si>
  <si>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</si>
  <si>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</si>
  <si>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Criminal Justice and Corrections.</t>
  </si>
  <si>
    <t>Instructional content for this group of programs is defined in codes 43.0100 - 43.0199.</t>
  </si>
  <si>
    <t>Criminal Justice and Corrections, General.</t>
  </si>
  <si>
    <t>A program of study that focuses on the general study of criminal justice and corrections. Includes instruction in criminology, criminal justice, correctional science, forensic science, law enforcement, psychology, and ethics.</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</si>
  <si>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</si>
  <si>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</si>
  <si>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</si>
  <si>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</si>
  <si>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</si>
  <si>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</si>
  <si>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</si>
  <si>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</si>
  <si>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</si>
  <si>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</si>
  <si>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</si>
  <si>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</si>
  <si>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</si>
  <si>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</si>
  <si>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</si>
  <si>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</si>
  <si>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</si>
  <si>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</si>
  <si>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</si>
  <si>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</si>
  <si>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</si>
  <si>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</si>
  <si>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</si>
  <si>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</si>
  <si>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</si>
  <si>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</si>
  <si>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</si>
  <si>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</si>
  <si>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</si>
  <si>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</si>
  <si>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</si>
  <si>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</si>
  <si>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</si>
  <si>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</si>
  <si>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</si>
  <si>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</si>
  <si>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</si>
  <si>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</si>
  <si>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</si>
  <si>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</si>
  <si>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</si>
  <si>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</si>
  <si>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</si>
  <si>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</si>
  <si>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</si>
  <si>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</si>
  <si>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</si>
  <si>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</si>
  <si>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</si>
  <si>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</si>
  <si>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</si>
  <si>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</si>
  <si>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</si>
  <si>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</si>
  <si>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</si>
  <si>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</si>
  <si>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</si>
  <si>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</si>
  <si>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Security Science and Technology.</t>
  </si>
  <si>
    <t>Instructional content for this group of programs is defined in codes 43.0401 - 43.0499.</t>
  </si>
  <si>
    <t>Security Science and Technology, General.</t>
  </si>
  <si>
    <t>A program of study that focuses on the general application of science and technology to security.</t>
  </si>
  <si>
    <t>Criminalistics and Criminal Science.</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</si>
  <si>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</si>
  <si>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Cyber/Computer Forensics and Counterterrorism.</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</si>
  <si>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</si>
  <si>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Cybersecurity Defense Strategy/Policy.</t>
  </si>
  <si>
    <t>A program that focuses on the study of strategy, policy, and standards regarding the security of and operations in cyberspace. Includes instruction in incident response, information assurance, recovery policies, vulnerability reduction, deterrence, threat reduction, and resiliency.</t>
  </si>
  <si>
    <t>Financial Forensics and Fraud Investigation.</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</si>
  <si>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</si>
  <si>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Forensic Science and Technology.</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</si>
  <si>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</si>
  <si>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Geospatial Intelligence.</t>
  </si>
  <si>
    <t>A program that prepares individuals to analyze security and intelligence problems using a geographic perspective by relating human actions to cultural, political, economic, social, and physical landscapes. Includes instruction in aerial photography analysis, cartography, geographic information systems (GIS), physical geography, remote sensing, spatial programming, and quantitative methods in geographic research.</t>
  </si>
  <si>
    <t>Law Enforcement Intelligence Analysis.</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</si>
  <si>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</si>
  <si>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Security Science and Technology, Other.</t>
  </si>
  <si>
    <t>Any instructional program in security science and technology not listed above.</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</si>
  <si>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</si>
  <si>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</si>
  <si>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</si>
  <si>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SOCIAL SERVICE PROFESSIONS.</t>
  </si>
  <si>
    <t>Instructional programs that prepare individuals to analyze, manage, and deliver public programs and services.</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</si>
  <si>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</si>
  <si>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</si>
  <si>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</si>
  <si>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Community Organization and Advocacy.</t>
  </si>
  <si>
    <t>Instructional content is defined in code 44.0201.</t>
  </si>
  <si>
    <t>A program that focuses on the theories, principles, and practice of organizing and providing services to communities. May prepare individuals to apply such knowledge and skills in community service positions.</t>
  </si>
  <si>
    <t>Public Administration.</t>
  </si>
  <si>
    <t>Instructional content for this group of programs is defined in codes 44.0401 - 44.0499.</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</si>
  <si>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</si>
  <si>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Public Works Management.</t>
  </si>
  <si>
    <t>A program of study that focuses on public works management skills and public works operation. Includes instruction in accountability, budget, conflict resolution strategies, ethics, finance, human resources, labor and employee relations, and operations management.</t>
  </si>
  <si>
    <t>Transportation and Infrastructure Planning/Studies.</t>
  </si>
  <si>
    <t>A program that focuses on the economic, social, spatial, and environmental aspects of transportation and infrastructure planning. Includes instruction in economics, environmental analysis, geographic information systems (GIS), logistics, risk analysis, transportation economics, transportation evaluation, transportation planning, transportation policy, and urban transportation planning.</t>
  </si>
  <si>
    <t>Public Administration, Other.</t>
  </si>
  <si>
    <t>Any program in public administration not listed above.</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</si>
  <si>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</si>
  <si>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</si>
  <si>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</si>
  <si>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</si>
  <si>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</si>
  <si>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</si>
  <si>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</si>
  <si>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</si>
  <si>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</si>
  <si>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</si>
  <si>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Public Policy Analysis, Other.</t>
  </si>
  <si>
    <t>Any instructional program in public policy analysis not listed above.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</si>
  <si>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</si>
  <si>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</si>
  <si>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</si>
  <si>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</si>
  <si>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</si>
  <si>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Forensic Social Work.</t>
  </si>
  <si>
    <t>A program that prepares individuals to serve as social workers in correctional facilities, mental health hospitals, the justice system, substance abuse treatment programs, and victim assistance. Includes instruction in forensic social work, criminal justice administration, domestic violence, ethics, juvenile justice systems, mental illness and crime, program evaluation, and research methods.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</si>
  <si>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</si>
  <si>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</si>
  <si>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</si>
  <si>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</si>
  <si>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</si>
  <si>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SOCIAL SCIENCES.</t>
  </si>
  <si>
    <t>Instructional programs that focus on the systematic study of social systems, social institutions, and social behavior.</t>
  </si>
  <si>
    <t>Social Sciences, General.</t>
  </si>
  <si>
    <t>Instructional content for this group of programs is defined in codes 45.0101 - 45.0199.</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</si>
  <si>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</si>
  <si>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</si>
  <si>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</si>
  <si>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Survey Research/Methodology.</t>
  </si>
  <si>
    <t>A program that focuses on survey research design to gather data about behaviors, demographics, opinions, and data analysis to answer complex questions. Includes instruction in the analysis of survey data, cross-cultural and multi-population survey methodology, data collection methods, modes of survey analysis, quantitative analysis, questionnaire design, research design, sampling, survey error, and structural equation modeling.</t>
  </si>
  <si>
    <t>Social Sciences, Other.</t>
  </si>
  <si>
    <t>Any program in general social sciences not listed above.</t>
  </si>
  <si>
    <t>Anthropology.</t>
  </si>
  <si>
    <t>Instructional content for this group of programs is defined in codes 45.0201 - 45.0299.</t>
  </si>
  <si>
    <t>Anthropology, General.</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</si>
  <si>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</si>
  <si>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</si>
  <si>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</si>
  <si>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</si>
  <si>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</si>
  <si>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</si>
  <si>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Forensic Anthropology.</t>
  </si>
  <si>
    <t>A program that focuses on the application of the biological sciences and skeletal anthropology in medicolegal death investigations. Includes instruction in biological anthropology theory, crime scene investigation, forensic anthropology field methods, forensic anthropological techniques and procedures, human anatomy, methods of human identification, mortuary archaeology, osteology, and taphonomy.</t>
  </si>
  <si>
    <t>Anthropology, Other.</t>
  </si>
  <si>
    <t>Any instructional program in Anthropology not listed above.</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</si>
  <si>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</si>
  <si>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</si>
  <si>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</si>
  <si>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</si>
  <si>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</si>
  <si>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</si>
  <si>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Demography.</t>
  </si>
  <si>
    <t>Instructional content for this group of programs is defined in codes 45.0501 - 45.0599.</t>
  </si>
  <si>
    <t>Demography and Population Studies.</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</si>
  <si>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</si>
  <si>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Applied Demography.</t>
  </si>
  <si>
    <t>A program of study that focuses on the practical application of demographic methods and materials for decision-making in business, education, health, and government. Includes instruction in statistics, research methods, geographic information systems, and demographic methods and techniques.</t>
  </si>
  <si>
    <t>Demography, Other.</t>
  </si>
  <si>
    <t>Any instructional program in demography not listed above.</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</si>
  <si>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</si>
  <si>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</si>
  <si>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</si>
  <si>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</si>
  <si>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</si>
  <si>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</si>
  <si>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</si>
  <si>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</si>
  <si>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</si>
  <si>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</si>
  <si>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</si>
  <si>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</si>
  <si>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Economics, Other.</t>
  </si>
  <si>
    <t>Any instructional program in economics not listed above.</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</si>
  <si>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</si>
  <si>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</si>
  <si>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</si>
  <si>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</si>
  <si>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</si>
  <si>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</si>
  <si>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Geography, Other.</t>
  </si>
  <si>
    <t>Any instructional program in geography not listed above.</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</si>
  <si>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</si>
  <si>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</si>
  <si>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</si>
  <si>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</si>
  <si>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</si>
  <si>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</si>
  <si>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International Relations and National Security Studies, Other.</t>
  </si>
  <si>
    <t>Any instructional program in international relations and national security studies not listed above.</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</si>
  <si>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</si>
  <si>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</si>
  <si>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</si>
  <si>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</si>
  <si>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</si>
  <si>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</si>
  <si>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</si>
  <si>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</si>
  <si>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</si>
  <si>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</si>
  <si>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Political Science and Government, Other.</t>
  </si>
  <si>
    <t>Any instructional program in political science and government not listed above.</t>
  </si>
  <si>
    <t>Sociology.</t>
  </si>
  <si>
    <t>Instructional content for this group of programs is defined in codes 45.1101 - 45.1199.</t>
  </si>
  <si>
    <t>Sociology, General.</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</si>
  <si>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</si>
  <si>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Applied/Public Sociology.</t>
  </si>
  <si>
    <t>A program that focuses on the application of sociological theory, methods, skills, and research to resolve particular issues in real-world settings. Includes instruction in data collection, group and organizational dynamics, participatory action research, program evaluation, sociological research methods, and sociological theory.</t>
  </si>
  <si>
    <t>Rural Sociology.</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</si>
  <si>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</si>
  <si>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Sociology, Other.</t>
  </si>
  <si>
    <t>Any instructional program in sociology not listed above.</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</si>
  <si>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</si>
  <si>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</si>
  <si>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</si>
  <si>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</si>
  <si>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</si>
  <si>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</si>
  <si>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Geography and Anthropology.</t>
  </si>
  <si>
    <t>Instructional content is defined in code 45.1501.</t>
  </si>
  <si>
    <t>A program that focuses on human cultures and their adaptation to physical environments. Includes instruction in archaeology, biogeography, climatology, cultural anthropology, cultural geography, economic development, environmental geography, geomorphology, global environmental change, historical geography, mapping sciences, physical anthropology, political ecology, Quaternary studies, and urban geography.</t>
  </si>
  <si>
    <t>Instructional content is defined in code 45.9999.</t>
  </si>
  <si>
    <t>Any instructional program in social sciences not listed above.</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</si>
  <si>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</si>
  <si>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</si>
  <si>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</si>
  <si>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</si>
  <si>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</si>
  <si>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</si>
  <si>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</si>
  <si>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</si>
  <si>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</si>
  <si>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</si>
  <si>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</si>
  <si>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</si>
  <si>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</si>
  <si>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</si>
  <si>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</si>
  <si>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</si>
  <si>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</si>
  <si>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</si>
  <si>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</si>
  <si>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</si>
  <si>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Electrical and Power Transmission Installers, Other.</t>
  </si>
  <si>
    <t>Any instructional program in electrical and power transmission installation not listed above.</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</si>
  <si>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</si>
  <si>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</si>
  <si>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</si>
  <si>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</si>
  <si>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</si>
  <si>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</si>
  <si>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</si>
  <si>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</si>
  <si>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</si>
  <si>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</si>
  <si>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</si>
  <si>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</si>
  <si>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</si>
  <si>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</si>
  <si>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</si>
  <si>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</si>
  <si>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</si>
  <si>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</si>
  <si>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</si>
  <si>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</si>
  <si>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Carpet, Floor, and Tile Worker.</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</si>
  <si>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</si>
  <si>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</si>
  <si>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Building Construction Technology/Technician.</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</si>
  <si>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</si>
  <si>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Building/Construction Finishing, Management, and Inspection, Other.</t>
  </si>
  <si>
    <t>Any instructional program in building/construction finishing, management, and inspection not listed above.</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</si>
  <si>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</si>
  <si>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</si>
  <si>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</si>
  <si>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</si>
  <si>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</si>
  <si>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</si>
  <si>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</si>
  <si>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</si>
  <si>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</si>
  <si>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</si>
  <si>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</si>
  <si>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</si>
  <si>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</si>
  <si>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</si>
  <si>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</si>
  <si>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</si>
  <si>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</si>
  <si>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</si>
  <si>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</si>
  <si>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</si>
  <si>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Electrical/Electronics Maintenance and Repair Technologies/Technicians.</t>
  </si>
  <si>
    <t>Instructional content for this group of programs is defined in codes 47.0101 - 47.0199.</t>
  </si>
  <si>
    <t>Electrical/Electronics Equipment Installation and Repair Technology/Technician,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</si>
  <si>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</si>
  <si>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</si>
  <si>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</si>
  <si>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Technology/Technician.</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</si>
  <si>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</si>
  <si>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</si>
  <si>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</si>
  <si>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</si>
  <si>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</si>
  <si>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</si>
  <si>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</si>
  <si>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</si>
  <si>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</si>
  <si>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Technologies/Technicians, Other.</t>
  </si>
  <si>
    <t>Any instructional program in electrical and electronics equipment installation and repair technologies not listed above.</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</si>
  <si>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</si>
  <si>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</si>
  <si>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</si>
  <si>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</si>
  <si>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Heavy/Industrial Equipment Maintenance Technologies/Technicians.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</si>
  <si>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</si>
  <si>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</si>
  <si>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</si>
  <si>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Industrial Mechanics and Maintenance Technology/Technician.</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</si>
  <si>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</si>
  <si>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Heavy/Industrial Equipment Maintenance Technologies/Technicians, Other.</t>
  </si>
  <si>
    <t>Any instructional program in heavy or industrial equipment maintenance technologies not listed above.</t>
  </si>
  <si>
    <t>Precision Systems Maintenance and Repair Technologies/Technicians.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</si>
  <si>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</si>
  <si>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</si>
  <si>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</si>
  <si>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</si>
  <si>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</si>
  <si>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</si>
  <si>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</si>
  <si>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</si>
  <si>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</si>
  <si>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</si>
  <si>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</si>
  <si>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Precision Systems Maintenance and Repair Technologies/Technicians, Other.</t>
  </si>
  <si>
    <t>Any instructional program in precision systems maintenance and repair not listed above.</t>
  </si>
  <si>
    <t>Vehicle Maintenance and Repair Technologies/Technicians.</t>
  </si>
  <si>
    <t>Instructional content for this group of programs is defined in codes 47.0600 - 47.0699.</t>
  </si>
  <si>
    <t>Vehicle Maintenance and Repair Technology/Technician,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</si>
  <si>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</si>
  <si>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</si>
  <si>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</si>
  <si>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</si>
  <si>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</si>
  <si>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</si>
  <si>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</si>
  <si>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</si>
  <si>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</si>
  <si>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</si>
  <si>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</si>
  <si>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</si>
  <si>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</si>
  <si>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</si>
  <si>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</si>
  <si>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</si>
  <si>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</si>
  <si>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</si>
  <si>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</si>
  <si>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</si>
  <si>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</si>
  <si>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</si>
  <si>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</si>
  <si>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</si>
  <si>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</si>
  <si>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</si>
  <si>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</si>
  <si>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</si>
  <si>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</si>
  <si>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</si>
  <si>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</si>
  <si>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</si>
  <si>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</si>
  <si>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Vehicle Maintenance and Repair Technologies/Technicians, Other.</t>
  </si>
  <si>
    <t>Any instructional program in vehicle maintenance and repair technologies not listed above.</t>
  </si>
  <si>
    <t>Energy Systems Maintenance and Repair Technologies/Technicians.</t>
  </si>
  <si>
    <t>Instructional content for this group of programs is defined in codes 47.0701 - 47.0799.</t>
  </si>
  <si>
    <t>Energy Systems Installation and Repair Technology/Technician.</t>
  </si>
  <si>
    <t>A program that prepares individuals to apply technical knowledge and skills to assemble, install, operate, maintain, and repair energy systems. Includes instruction in installing, maintaining and testing various types of equipment.</t>
  </si>
  <si>
    <t>Solar Energy System Installation and Repair Technology/Technician.</t>
  </si>
  <si>
    <t>A program that prepares individuals to apply technical knowledge and skills to assemble, install, operate, maintain, and repair solar energy systems. Includes instruction in installing, maintaining and testing various types of equipment.</t>
  </si>
  <si>
    <t>Wind Energy System Installation and Repair Technology/Technician.</t>
  </si>
  <si>
    <t>A program that prepares individuals to apply technical knowledge and skills to assemble, install, operate, maintain, and repair wind energy systems. Includes instruction in installing, maintaining and testing various types of equipment.</t>
  </si>
  <si>
    <t>Hydroelectric Energy System Installation and Repair Technology/Technician.</t>
  </si>
  <si>
    <t>A program that prepares individuals to apply technical knowledge and skills to assemble, install, operate, maintain, and repair hydroelectric energy systems. Includes instruction in installing, maintaining and testing various types of equipment.</t>
  </si>
  <si>
    <t>Geothermal Energy System Installation and Repair Technology/Technician.</t>
  </si>
  <si>
    <t>A program that prepares individuals to apply technical knowledge and skills to assemble, install, operate, maintain, and repair geothermal energy systems. Includes instruction in installing, maintaining and testing various types of equipment.</t>
  </si>
  <si>
    <t>Energy Systems Maintenance and Repair Technologies/Technicians, Other.</t>
  </si>
  <si>
    <t>Any instructional program in energy systems maintenance and repair technologies not listed above.</t>
  </si>
  <si>
    <t>Mechanic and Repair Technologies/Technicians, Other.</t>
  </si>
  <si>
    <t>Instructional content is defined in code 47.9999.</t>
  </si>
  <si>
    <t>Any instructional program in mechanic and repair technologies not listed above.</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</si>
  <si>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</si>
  <si>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</si>
  <si>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</si>
  <si>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</si>
  <si>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</si>
  <si>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</si>
  <si>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</si>
  <si>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</si>
  <si>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</si>
  <si>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</si>
  <si>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</si>
  <si>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</si>
  <si>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</si>
  <si>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</si>
  <si>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</si>
  <si>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</si>
  <si>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</si>
  <si>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</si>
  <si>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</si>
  <si>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</si>
  <si>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</si>
  <si>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</si>
  <si>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</si>
  <si>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</si>
  <si>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</si>
  <si>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</si>
  <si>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</si>
  <si>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</si>
  <si>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</si>
  <si>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</si>
  <si>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</si>
  <si>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Precision Metal Working, Other.</t>
  </si>
  <si>
    <t>Any instructional program in precision metal work not listed above.</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</si>
  <si>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</si>
  <si>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</si>
  <si>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</si>
  <si>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</si>
  <si>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</si>
  <si>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</si>
  <si>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</si>
  <si>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</si>
  <si>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Wooden Boatbuilding Technology/Technician.</t>
  </si>
  <si>
    <t>A program that prepares individuals to apply technical knowledge and skills to construct and repair traditional and modern wooden boats. Includes instruction in budgeting, drafting, fairing, lofting, joinery, planking, spars and rigging, and woodworking.</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</si>
  <si>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</si>
  <si>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</si>
  <si>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</si>
  <si>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</si>
  <si>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</si>
  <si>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Precision Production, Other.</t>
  </si>
  <si>
    <t>Instructional content is defined in code 48.9999.</t>
  </si>
  <si>
    <t>Any instructional program in precision production not listed above.</t>
  </si>
  <si>
    <t>TRANSPORTATION AND MATERIALS MOVING.</t>
  </si>
  <si>
    <t>Instructional programs that prepare individuals to apply technical knowledge and skills to perform tasks and services that facilitate the movement of people or materials.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</si>
  <si>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</si>
  <si>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</si>
  <si>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</si>
  <si>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</si>
  <si>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</si>
  <si>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</si>
  <si>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</si>
  <si>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</si>
  <si>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</si>
  <si>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</si>
  <si>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</si>
  <si>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</si>
  <si>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</si>
  <si>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</si>
  <si>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</si>
  <si>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</si>
  <si>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Ground Transportation.</t>
  </si>
  <si>
    <t>Instructional content for this group of programs is defined in codes 49.0202 - 49.0299.</t>
  </si>
  <si>
    <t>Construction/Heavy Equipment/Earthmoving Equipment Operation.</t>
  </si>
  <si>
    <t>Truck and Bus Driver/Commercial Vehicle Operator and Instructor.</t>
  </si>
  <si>
    <t>Mobil Crane Operator/Operation.</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</si>
  <si>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</si>
  <si>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</si>
  <si>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</si>
  <si>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</si>
  <si>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</si>
  <si>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Forklift Operation/Operator.</t>
  </si>
  <si>
    <t>A program that prepares individuals to operate forklifts in a variety of work environments. Includes instruction in accident prevention, forklift operation, materials handling, and worksite safety.</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</si>
  <si>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</si>
  <si>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</si>
  <si>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</si>
  <si>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</si>
  <si>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</si>
  <si>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</si>
  <si>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</si>
  <si>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</si>
  <si>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</si>
  <si>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</si>
  <si>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</si>
  <si>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</si>
  <si>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</si>
  <si>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</si>
  <si>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</si>
  <si>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VISUAL AND PERFORMING ARTS.</t>
  </si>
  <si>
    <t>Instructional programs that focus on the creation and interpretation of works and performances that use auditory, kinesthetic, and visual phenomena to express ideas and emotions in various forms, subject to aesthetic criteria.</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</si>
  <si>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</si>
  <si>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</si>
  <si>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</si>
  <si>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</si>
  <si>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</si>
  <si>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</si>
  <si>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</si>
  <si>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</si>
  <si>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</si>
  <si>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</si>
  <si>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</si>
  <si>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</si>
  <si>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</si>
  <si>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</si>
  <si>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</si>
  <si>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</si>
  <si>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</si>
  <si>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</si>
  <si>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</si>
  <si>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</si>
  <si>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</si>
  <si>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</si>
  <si>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</si>
  <si>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</si>
  <si>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</si>
  <si>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</si>
  <si>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</si>
  <si>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</si>
  <si>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</si>
  <si>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</si>
  <si>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</si>
  <si>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</si>
  <si>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</si>
  <si>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</si>
  <si>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</si>
  <si>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</si>
  <si>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Design and Applied Arts, Other.</t>
  </si>
  <si>
    <t>Any instructional program in design and applied arts not listed above.</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</si>
  <si>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</si>
  <si>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</si>
  <si>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</si>
  <si>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</si>
  <si>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</si>
  <si>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</si>
  <si>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</si>
  <si>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</si>
  <si>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</si>
  <si>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</si>
  <si>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</si>
  <si>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</si>
  <si>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</si>
  <si>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</si>
  <si>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</si>
  <si>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</si>
  <si>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</si>
  <si>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</si>
  <si>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Comedy Writing and Performance.</t>
  </si>
  <si>
    <t>A program that focuses on the historical, cultural, and theoretical dimensions of comedy as an art form, and the writing, performance, and production of comedy. Includes instruction in comedic storytelling, comedy production, comedy writing, history of comedy, improvisation, and sketch writing.</t>
  </si>
  <si>
    <t>Theatre and Dance.</t>
  </si>
  <si>
    <t>A program of study that focuses on integrating the studies of dance and theatre arts to provide perspectives in all facets of production, performance, and critical engagement. Includes instruction in acting, aesthetics, choreography, costume design, criticism, dance, improvisation, music analysis, playwriting, theatre performance history, scene design, stage lighting, and technical theatre.</t>
  </si>
  <si>
    <t>Dramatic/Theatre Arts and Stagecraft, Other.</t>
  </si>
  <si>
    <t>Any instructional program in dramatic/theatre arts and stagecraft not listed above.</t>
  </si>
  <si>
    <t>Film/Video and Photographic Arts.</t>
  </si>
  <si>
    <t>Instructional content for this group of programs is defined in codes 50.0601 - 50.0699.</t>
  </si>
  <si>
    <t>Film/Cinema/Media Studies.</t>
  </si>
  <si>
    <t>A program in the visual arts that focuses on the study of the history, development, theory, and criticism of the film/media arts, as well as the basic principles of filmmaking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</si>
  <si>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</si>
  <si>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</si>
  <si>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</si>
  <si>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</si>
  <si>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</si>
  <si>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</si>
  <si>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</si>
  <si>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</si>
  <si>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</si>
  <si>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</si>
  <si>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</si>
  <si>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</si>
  <si>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</si>
  <si>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</si>
  <si>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</si>
  <si>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</si>
  <si>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</si>
  <si>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</si>
  <si>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</si>
  <si>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</si>
  <si>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</si>
  <si>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</si>
  <si>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</si>
  <si>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</si>
  <si>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</si>
  <si>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</si>
  <si>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</si>
  <si>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</si>
  <si>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</si>
  <si>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</si>
  <si>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Jewelry Arts.</t>
  </si>
  <si>
    <t>A program that prepares individuals creatively and technically to express emotions, ideas, or inner visions by fashioning jewelry from gems, other stones, and precious metals. Includes instruction in design concepts, electroforming, enameling, gemology, lapidary technique and art, metal and non-metal casting and molding, metal coloring, metalsmithing and finishing, personal style development, photo etching, and stone cutting and polishing.</t>
  </si>
  <si>
    <t>Metal Arts.</t>
  </si>
  <si>
    <t>A program that focuses on the development of individual artistic expression and technical skills necessary for fabricating refined metal works. Includes instruction in aesthetics, anodizing, art history, casting, design, electroforming, enameling, metalsmithing, sculpture, two and three-dimensional design, wax carving, and welding.</t>
  </si>
  <si>
    <t>Fine Arts and Art Studies, Other.</t>
  </si>
  <si>
    <t>Any instructional program in fine arts and art studies not listed above.</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</si>
  <si>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</si>
  <si>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</si>
  <si>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</si>
  <si>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</si>
  <si>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</si>
  <si>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</si>
  <si>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</si>
  <si>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</si>
  <si>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</si>
  <si>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</si>
  <si>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</si>
  <si>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</si>
  <si>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</si>
  <si>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</si>
  <si>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</si>
  <si>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</si>
  <si>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</si>
  <si>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</si>
  <si>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</si>
  <si>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</si>
  <si>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</si>
  <si>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</si>
  <si>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</si>
  <si>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</si>
  <si>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</si>
  <si>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Brass Instruments.</t>
  </si>
  <si>
    <t>A program that prepares individuals to master a brass instrument and performing art as solo, ensemble, and/or accompanist performers. Includes instruction in playing and personal style development.</t>
  </si>
  <si>
    <t>Woodwind Instruments.</t>
  </si>
  <si>
    <t>A program that prepares individuals to master a woodwind instrument and performing art as solo, ensemble, and/or accompanist  performers. Includes instruction in playing and personal style development.</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</si>
  <si>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</si>
  <si>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</si>
  <si>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Sound Arts.</t>
  </si>
  <si>
    <t>A program that focuses on sound as a form of cultural expression, and its relationship to other disciplines such as computer programming, performance, and video. Includes instruction in acoustics; arranging, composing, and editing music; music theory; musicology; orchestration and scoring; and sound design.</t>
  </si>
  <si>
    <t>Music, Other.</t>
  </si>
  <si>
    <t>Any instructional program in music not listed above.</t>
  </si>
  <si>
    <t>Arts, Entertainment, and Media Management.</t>
  </si>
  <si>
    <t>Instructional content for this group of programs is defined in codes 50.1001 - 50.1099.</t>
  </si>
  <si>
    <t>Arts, Entertainment, 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</si>
  <si>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</si>
  <si>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</si>
  <si>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</si>
  <si>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</si>
  <si>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</si>
  <si>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Theatre/Theatre Arts Management.</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</si>
  <si>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</si>
  <si>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</si>
  <si>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</si>
  <si>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Community/Environmental/Socially-Engaged Art.</t>
  </si>
  <si>
    <t>Instructional content is defined in code 50.1101.</t>
  </si>
  <si>
    <t>A program that focuses on using the arts to promote activism, civic dialog, community development, ecological and environmental awareness, or social justice. Includes instruction in community organizing, cultural criticism, social practice, studio art, and visual and performing arts.</t>
  </si>
  <si>
    <t>Visual and Performing Arts, Other.</t>
  </si>
  <si>
    <t>Instructional content is defined in code 50.9999.</t>
  </si>
  <si>
    <t>Any instructional program in visual and performing arts not listed above.</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</si>
  <si>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</si>
  <si>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</si>
  <si>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</si>
  <si>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</si>
  <si>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</si>
  <si>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</si>
  <si>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</si>
  <si>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</si>
  <si>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</si>
  <si>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</si>
  <si>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</si>
  <si>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</si>
  <si>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</si>
  <si>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</si>
  <si>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</si>
  <si>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</si>
  <si>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</si>
  <si>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</si>
  <si>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</si>
  <si>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</si>
  <si>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Communication Disorders Sciences and Services, Other.</t>
  </si>
  <si>
    <t>Any  instructional program in communications disorders sciences and services not listed above.</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</si>
  <si>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</si>
  <si>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</si>
  <si>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</si>
  <si>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</si>
  <si>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</si>
  <si>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</si>
  <si>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</si>
  <si>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</si>
  <si>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</si>
  <si>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</si>
  <si>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</si>
  <si>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</si>
  <si>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</si>
  <si>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</si>
  <si>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</si>
  <si>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</si>
  <si>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</si>
  <si>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</si>
  <si>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</si>
  <si>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</si>
  <si>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</si>
  <si>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</si>
  <si>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and the treatment of handicapped patients.</t>
  </si>
  <si>
    <t>Periodontics/Periodontology.</t>
  </si>
  <si>
    <t>Prosthodontics/Prosthodontology.</t>
  </si>
  <si>
    <t>Digital Dentistry.</t>
  </si>
  <si>
    <t>A program that focuses on the use of digital and CAD/CAM technology in dental treatment. Includes instruction in digital diagnostic and treatment planning techniques, CAD/CAM restoration, and patient management.</t>
  </si>
  <si>
    <t>Geriatric Dentistry.</t>
  </si>
  <si>
    <t>A program that focuses on the advanced study of the therapeutic and preventive care of the oral health of geriatric patients. Includes instruction in aging, preventive medicine, diet therapy and counseling, geriatric restorative procedures, pulp therapy, trauma management, anesthesia, treatment planning, and patient management.</t>
  </si>
  <si>
    <t>Implantology/Implant Dentistry.</t>
  </si>
  <si>
    <t>A program that focuses on dental implantology. Includes instruction in diagnosis and treatment planning, surgical protocols, implant placement, sinus grafting, guided bone regeneration, soft tissue grafting, prosthetic protocols, prosthesis design, and aftercare.</t>
  </si>
  <si>
    <t>Advanced/Graduate Dentistry and Oral Sciences, Other.</t>
  </si>
  <si>
    <t>Any instructional program in advanced/graduate dentistry and oral sciences not listed above.</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</si>
  <si>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</si>
  <si>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</si>
  <si>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</si>
  <si>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</si>
  <si>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</si>
  <si>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</si>
  <si>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</si>
  <si>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</si>
  <si>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</si>
  <si>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</si>
  <si>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</si>
  <si>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</si>
  <si>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</si>
  <si>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</si>
  <si>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</si>
  <si>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</si>
  <si>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</si>
  <si>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</si>
  <si>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</si>
  <si>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</si>
  <si>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</si>
  <si>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</si>
  <si>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</si>
  <si>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</si>
  <si>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</si>
  <si>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</si>
  <si>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</si>
  <si>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</si>
  <si>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</si>
  <si>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</si>
  <si>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</si>
  <si>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</si>
  <si>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</si>
  <si>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</si>
  <si>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</si>
  <si>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</si>
  <si>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</si>
  <si>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</si>
  <si>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</si>
  <si>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</si>
  <si>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</si>
  <si>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</si>
  <si>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</si>
  <si>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</si>
  <si>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</si>
  <si>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</si>
  <si>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</si>
  <si>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</si>
  <si>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</si>
  <si>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</si>
  <si>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Regulatory Science/Affairs.</t>
  </si>
  <si>
    <t>A program that prepares individuals to manage the regulatory process for companies innovating and developing cutting edge products in science, biotechnology, pharmaceuticals, and medicine. Includes instruction in regulatory affairs, clinical documentation, human and animal subject protection, Food and Drug Administration (FDA) regulations, data management and analysis, good manufacturing practices, and quality management.</t>
  </si>
  <si>
    <t>Disease Registry Data Management.</t>
  </si>
  <si>
    <t>A program that prepares individuals to find, interpret, and record demographic and medical information on individuals for healthcare agencies and disease registries. Includes instruction in anatomy, data management, disease registry organization and operations, epidemiology, ethics, fundamentals of disease coding and staging, medical terminology, pathophysiology, pharmacology, physiology, quality management, and statistics.</t>
  </si>
  <si>
    <t>Healthcare Innovation.</t>
  </si>
  <si>
    <t>A program that prepares individuals to innovate solutions and lead change within a healthcare organization. Includes instruction in innovation management, medical device development, evidence-based practice, systems thinking, information technology, healthcare policy and finance, organizational change, and leadership.</t>
  </si>
  <si>
    <t>Healthcare Information Privacy Assurance and Security.</t>
  </si>
  <si>
    <t>A program that prepares individuals for careers in designing, implementing, and administering comprehensive privacy and security protection programs in all types of healthcare organizations. Includes instruction in health information ethics, healthcare information privacy and security, healthcare compliance, healthcare information security and disaster recovery, and healthcare privacy law.</t>
  </si>
  <si>
    <t>Health and Medical Administrative Services, Other.</t>
  </si>
  <si>
    <t>Any instructional program in health and medical administrative services not listed above.</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</si>
  <si>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</si>
  <si>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</si>
  <si>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</si>
  <si>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</si>
  <si>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</si>
  <si>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</si>
  <si>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</si>
  <si>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</si>
  <si>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</si>
  <si>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</si>
  <si>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</si>
  <si>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behavioral sciences, biomechanics, clinical documentation, clinical pathology, communication, exercise physiology, kinesiology, neuroscience, and professional standards and ethics.</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</si>
  <si>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</si>
  <si>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</si>
  <si>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</si>
  <si>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</si>
  <si>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</si>
  <si>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</si>
  <si>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</si>
  <si>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</si>
  <si>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Technician/Assistant.</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</si>
  <si>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</si>
  <si>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</si>
  <si>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</si>
  <si>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</si>
  <si>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</si>
  <si>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</si>
  <si>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</si>
  <si>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Allied Health and Medical Assisting Services, Other.</t>
  </si>
  <si>
    <t>Any instructional program in allied health and medical assisting services not listed above.</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</si>
  <si>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</si>
  <si>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</si>
  <si>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</si>
  <si>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</si>
  <si>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</si>
  <si>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</si>
  <si>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</si>
  <si>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</si>
  <si>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</si>
  <si>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</si>
  <si>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</si>
  <si>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</si>
  <si>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</si>
  <si>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</si>
  <si>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</si>
  <si>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</si>
  <si>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</si>
  <si>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</si>
  <si>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</si>
  <si>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</si>
  <si>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</si>
  <si>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</si>
  <si>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</si>
  <si>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</si>
  <si>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</si>
  <si>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</si>
  <si>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</si>
  <si>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</si>
  <si>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</si>
  <si>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</si>
  <si>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</si>
  <si>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</si>
  <si>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</si>
  <si>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</si>
  <si>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</si>
  <si>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</si>
  <si>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</si>
  <si>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</si>
  <si>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Mammography Technology/Technician.</t>
  </si>
  <si>
    <t>A program that prepares registered radiographers to become registered mammographers. Includes instruction in anatomy and physiology, mammography instrumentation, mammography positioning, principles and procedures of mammography, and quality assurance.</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</si>
  <si>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</si>
  <si>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</si>
  <si>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Hyperbaric Medicine Technology/Technician.</t>
  </si>
  <si>
    <t>A program that prepares individuals, under the supervision of physicians, to operate hyperbaric (recompression) chambers for the treatment of disease. Includes instruction in patient assessment and management, hyperbaric safety, physics of hyperbaric and hypobaric exposures, physiology, hyperbaric chamber operation, and air decompression procedures.</t>
  </si>
  <si>
    <t>Intraoperative Neuromonitoring Technology/Technician.</t>
  </si>
  <si>
    <t>A program that prepares individuals, under the supervision of physicians, to become neuromonitoring technicians who analyze, monitor, and record nervous system function to promote the effective treatment of pathological conditions. Includes instruction in EEG technology, EMG technology, anatomy, and neuroanatomy.</t>
  </si>
  <si>
    <t>Orthopedic Technology/Technician.</t>
  </si>
  <si>
    <t>A program that prepares individuals, under the supervision of physicians, to cast, splint, and brace orthopedic injuries. Includes instruction in patient assessment; casting, splinting, and orthopedic appliances; radiographic interpretation; traction; and wound care.</t>
  </si>
  <si>
    <t>Allied Health Diagnostic, Intervention, and Treatment Professions, Other.</t>
  </si>
  <si>
    <t>Any instructional program in allied health diagnostic, intervention, and treatment professions not listed above.</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</si>
  <si>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</si>
  <si>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</si>
  <si>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</si>
  <si>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</si>
  <si>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</si>
  <si>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</si>
  <si>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</si>
  <si>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</si>
  <si>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</si>
  <si>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</si>
  <si>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</si>
  <si>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</si>
  <si>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</si>
  <si>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</si>
  <si>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</si>
  <si>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</si>
  <si>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</si>
  <si>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</si>
  <si>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</si>
  <si>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</si>
  <si>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</si>
  <si>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</si>
  <si>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</si>
  <si>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</si>
  <si>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</si>
  <si>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</si>
  <si>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Clinical/Medical Laboratory Science and Allied Professions, Other.</t>
  </si>
  <si>
    <t>Any instructional program in clinical/medical laboratory science and allied professions not listed above.</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</si>
  <si>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</si>
  <si>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</si>
  <si>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</si>
  <si>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</si>
  <si>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</si>
  <si>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</si>
  <si>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</si>
  <si>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</si>
  <si>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</si>
  <si>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</si>
  <si>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</si>
  <si>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</si>
  <si>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</si>
  <si>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</si>
  <si>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</si>
  <si>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</si>
  <si>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</si>
  <si>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</si>
  <si>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Pre-Art Therapy.</t>
  </si>
  <si>
    <t>A program that prepares individuals for admission to a professional art therapy program.</t>
  </si>
  <si>
    <t>Pre-Physician Assistant.</t>
  </si>
  <si>
    <t>A program that prepares individuals for admission to a professional physician assistant program.</t>
  </si>
  <si>
    <t>Health/Medical Preparatory Programs, Other.</t>
  </si>
  <si>
    <t>Any instructional program in health and medical professional preparation not listed above.</t>
  </si>
  <si>
    <t>Medicine.</t>
  </si>
  <si>
    <t>Instructional content for this group of programs is defined in codes 51.1201 - 51.1299.</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</si>
  <si>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</si>
  <si>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Osteopathic Medicine/Osteopathy.</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</si>
  <si>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</si>
  <si>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Podiatric Medicine/Podiatry.</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</si>
  <si>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</si>
  <si>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Medicine, Other.</t>
  </si>
  <si>
    <t>Any program in medicine not listed above.</t>
  </si>
  <si>
    <t>Medical Clinical Sciences/Graduate Medical Studies.</t>
  </si>
  <si>
    <t>Instructional content for this group of programs is defined in codes 51.1401 - 51.1499.</t>
  </si>
  <si>
    <t>Medical Science/Scientist.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</si>
  <si>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</si>
  <si>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Clinical and Translational Science.</t>
  </si>
  <si>
    <t>A program of study that prepares clinicians to direct a broad range of scientific or clinical or translational studies, translate scientific knowledge into clinical practice, and bridge clinical science with laboratory investigations. Includes instruction in bioinformatics, Information technology, biostatistics, epidemiology, grant writing, management and analysis of clinical data, clinical and translational research law and policy, responsible conduct of research, and scientific writing.</t>
  </si>
  <si>
    <t>Pain Management.</t>
  </si>
  <si>
    <t>A post-residency program of study that prepares physicians in the diagnosis, management, and treatment of acute and chronic pain. Includes instruction in anesthesiology, pain assessment, pain classification and diagnosis, pain neuroscience, palliative and end-of-life care, physical medicine and rehabilitation, psychiatry of pain, pain pharmacology, public policy, and legal issues of pain management.</t>
  </si>
  <si>
    <t>Temporomandibular Disorders and Orofacial Pain.</t>
  </si>
  <si>
    <t>A program that prepares clinicians to evaluate, diagnose, and treat of a wide variety of temporomandibular disorders (TMD) and orofacial pain disorders as well as the treatment of sleep apnea and snoring with intraoral appliances. Includes instruction in head and neck anatomy, physical diagnosis and evaluation, orofacial pain, neurobiology of pain and analgesia, and diagnostic radiography.</t>
  </si>
  <si>
    <t>Tropical Medicine.</t>
  </si>
  <si>
    <t>A program that prepares clinicians to prevent and control vector-borne and tropical infectious diseases. Includes instruction in microbiology, parasitology, mycology, virology, vector biology, vaccinology, laboratory diagnosis, travelers' health, epidemiology, and disease management.</t>
  </si>
  <si>
    <t>Medical Clinical Sciences/Graduate Medical Studies, Other.</t>
  </si>
  <si>
    <t>Any program in medical clinical sciences or graduate medical studies not listed above.</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</si>
  <si>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</si>
  <si>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</si>
  <si>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</si>
  <si>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</si>
  <si>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</si>
  <si>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</si>
  <si>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</si>
  <si>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</si>
  <si>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</si>
  <si>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</si>
  <si>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</si>
  <si>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</si>
  <si>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</si>
  <si>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</si>
  <si>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</si>
  <si>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</si>
  <si>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</si>
  <si>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</si>
  <si>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</si>
  <si>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</si>
  <si>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Infant/Toddler Mental Health Services.</t>
  </si>
  <si>
    <t>A program that prepares individuals to provide mental health services to infants, toddlers, and preschoolers and their families. Includes instruction in developmental psychology, cognitive and biological development, social and emotional development, research methods, and ethics.</t>
  </si>
  <si>
    <t>Medical Family Therapy/Therapist.</t>
  </si>
  <si>
    <t>A program that prepares individuals to work with patients and their families who are experiencing emotional, physical, relational and spiritual difficulties related to acute and chronic illnesses. Includes instruction in cultural context, ethics, family dynamics, family therapy, gender, human development, marriage counseling, psychopathology, research design and methods, sexuality, and systems thinking.</t>
  </si>
  <si>
    <t>Hospice and Palliative Care.</t>
  </si>
  <si>
    <t>A program of study that prepares individuals to work with patients in hospice and palliative care and focuses on the physical, psychological, spiritual, and social needs of patients and families affected by advanced illness. Includes instruction in aging, thanatology, pharmacology, complementary and integrative therapies, pathophysiology, and ethics.</t>
  </si>
  <si>
    <t>Trauma Counseling.</t>
  </si>
  <si>
    <t>A program that focuses on understanding elements of traumatic exposure, trauma-sensitive care, and crisis intervention. Includes instruction in disaster response, grief and loss counseling, crisis intervention and management, trauma counseling, neurobiology of trauma, PTSD and combat-related trauma, relational trauma and treatment of trauma-related disorders.</t>
  </si>
  <si>
    <t>Mental and Social Health Services and Allied Professions, Other.</t>
  </si>
  <si>
    <t>Any instructional program in mental and social health services and allied professions not listed above.</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</si>
  <si>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</si>
  <si>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</si>
  <si>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</si>
  <si>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</si>
  <si>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</si>
  <si>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</si>
  <si>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</si>
  <si>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</si>
  <si>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</si>
  <si>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</si>
  <si>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</si>
  <si>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</si>
  <si>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</si>
  <si>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</si>
  <si>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</si>
  <si>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</si>
  <si>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</si>
  <si>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</si>
  <si>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</si>
  <si>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</si>
  <si>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</si>
  <si>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</si>
  <si>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</si>
  <si>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</si>
  <si>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</si>
  <si>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</si>
  <si>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</si>
  <si>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</si>
  <si>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</si>
  <si>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</si>
  <si>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</si>
  <si>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</si>
  <si>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</si>
  <si>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</si>
  <si>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</si>
  <si>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</si>
  <si>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</si>
  <si>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</si>
  <si>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</si>
  <si>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Pharmacy, Pharmaceutical Sciences, and Administration, Other.</t>
  </si>
  <si>
    <t>Any instructional program in pharmacy, pharmaceutical sciences, and administration not listed above.</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</si>
  <si>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</si>
  <si>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</si>
  <si>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</si>
  <si>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</si>
  <si>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</si>
  <si>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</si>
  <si>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</si>
  <si>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</si>
  <si>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</si>
  <si>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</si>
  <si>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</si>
  <si>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</si>
  <si>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</si>
  <si>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</si>
  <si>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</si>
  <si>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</si>
  <si>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</si>
  <si>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</si>
  <si>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</si>
  <si>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</si>
  <si>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</si>
  <si>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</si>
  <si>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Patient Safety and Healthcare Quality.</t>
  </si>
  <si>
    <t>A program that focuses on the application of transformative mechanisms and evidence-based protocols to reduce preventable patient harm and improve clinical outcomes. Includes instruction in healthcare quality, patient safety, research methods, program evaluation, epidemiology, legal and regulatory compliance, systems thinking, human factors engineering, and risk management.</t>
  </si>
  <si>
    <t>Public Health Genetics.</t>
  </si>
  <si>
    <t>A program that prepares individuals to respond to the complex social, legal, ethical, and public health policy implications generated by genetic research. Includes instruction in biochemical genetics of complex diseases, bioethics, chromosomes and human disease, genetic counseling, genetic epidemiology, gene mapping, human population genetics, and the molecular basis of human inherited disease.</t>
  </si>
  <si>
    <t>Public Health, Other.</t>
  </si>
  <si>
    <t>Any instructional program in public health not listed above.</t>
  </si>
  <si>
    <t>Rehabilitation and Therapeutic Professions.</t>
  </si>
  <si>
    <t>Instructional content for this group of programs is defined in codes 51.2300 - 51.2399.</t>
  </si>
  <si>
    <t>Rehabilitation and Therapeutic Professions, General.</t>
  </si>
  <si>
    <t>A program that prepares individuals to work with people who have learning disabilities, mental illness, and physical disabilities in a clinical, educational, or institutional setting. Includes instruction in abnormal psychology, assistive technology, case management, counseling techniques, cultural diversity, disability assessment and measurement, ethics, psychological and physiological aspects of disability, rehabilitation services, rehabilitation science, and vocational counseling.</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</si>
  <si>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</si>
  <si>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</si>
  <si>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</si>
  <si>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</si>
  <si>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Music Therapy/Therapist.</t>
  </si>
  <si>
    <t>A program that prepares individuals, in association with a rehabilitation team or in private practice, to use music in therapeutic relationships to address the physical, psychological, cognitive, emotional, and social needs of clients.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</si>
  <si>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</si>
  <si>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</si>
  <si>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</si>
  <si>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</si>
  <si>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</si>
  <si>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evaluate, examine, diagnose, and alleviate physical functional impairments and limitations caused by injury or disease through the design and implementation of therapeutic interventions to promote fitness and health. Includes instruction in anatomy, behavioral sciences, biology, biomechanics, biophysical agents, care plan development and documentation, cellular histology, clinical evaluation and measurement, clinical reasoning, communication, exercise physiology, kinesiology, neuroscience, pharmacology, pathology, physiology, professional standards and ethics, rehabilitation psychology, and therapeutic exercise.</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</si>
  <si>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</si>
  <si>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</si>
  <si>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</si>
  <si>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</si>
  <si>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</si>
  <si>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</si>
  <si>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</si>
  <si>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</si>
  <si>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</si>
  <si>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</si>
  <si>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</si>
  <si>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</si>
  <si>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Drama Therapy/Therapist.</t>
  </si>
  <si>
    <t>A program that prepares individuals, in association with a rehabilitation team or in private practice, to use dramatic play, theater, role play, psychodrama, and dramatic ritual in therapeutic relationships to address the physical, psychological, cognitive, emotional, and social needs of clients. Includes instruction in drama theory and performance, human growth and development, biomedical sciences, abnormal psychology, disabling conditions, patient assessment and diagnosis, treatment plan development and implementation, clinical evaluation, record-keeping, and professional standards and ethics.</t>
  </si>
  <si>
    <t>Horticulture Therapy/Therapist.</t>
  </si>
  <si>
    <t>A program that focuses on plant science and horticulture techniques to achieve measurable physical and mental health outcomes for individuals with physical or mental challenges. Includes instruction in abnormal psychology, adult development and aging, botany, facilities design, horticultural therapy, plant pathology, people-plant relationships, and psychology.</t>
  </si>
  <si>
    <t>Play Therapy/Therapist.</t>
  </si>
  <si>
    <t>A program that prepares individuals to be a Registered Play Therapist (RPT) or a School Based-Registered Play Therapist (SB-RPT). Includes instruction in child development, theories of personality, psychotherapy, child and adolescent psychopathology, and ethics.</t>
  </si>
  <si>
    <t>Rehabilitation and Therapeutic Professions, Other.</t>
  </si>
  <si>
    <t>Any instructional program in rehabilitation and therapeutic professions not listed above.</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</si>
  <si>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</si>
  <si>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</si>
  <si>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</si>
  <si>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</si>
  <si>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</si>
  <si>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</si>
  <si>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</si>
  <si>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</si>
  <si>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</si>
  <si>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</si>
  <si>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Physical Therapy Technician/Aide.</t>
  </si>
  <si>
    <t>A program that prepares individuals to assist in rehabilitation services under the supervision of physical therapists, and to perform routine functions in support of physical therapy and rehabilitation. Includes instruction in applied kinesiology, basic function of the human body, communication skills, principles and procedures of physical therapy, physical therapy modalities, and professional ethics.</t>
  </si>
  <si>
    <t>Health Aides/Attendants/Orderlies, Other.</t>
  </si>
  <si>
    <t>Any other instructional program that prepares individuals to provide routine patient care and assistance.</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</si>
  <si>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</si>
  <si>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</si>
  <si>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</si>
  <si>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</si>
  <si>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</si>
  <si>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</si>
  <si>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</si>
  <si>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</si>
  <si>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</si>
  <si>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</si>
  <si>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</si>
  <si>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</si>
  <si>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</si>
  <si>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</si>
  <si>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</si>
  <si>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</si>
  <si>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</si>
  <si>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</si>
  <si>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</si>
  <si>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</si>
  <si>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Health Professions Education, Ethics, and Humanities.</t>
  </si>
  <si>
    <t>Instructional content for this group of programs is defined in codes 51.3201 - 51.3299.</t>
  </si>
  <si>
    <t>Bioethics/Medical Ethics.</t>
  </si>
  <si>
    <t>A program that focuses on the application of ethics, religion, jurisprudence, and the social sciences to the analysis of health care issues, clinical decision 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</si>
  <si>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Health Professions Education.</t>
  </si>
  <si>
    <t>A program that focuses on education and administration leadership skills for clinical educators across health professions and specialties. Includes instruction in academic leadership, assessment, clinical decision making, curriculum development, ethics, primary care education, program evaluation, research methods, and statistics.</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</si>
  <si>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</si>
  <si>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</si>
  <si>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Medical/Health Humanities.</t>
  </si>
  <si>
    <t>A program that explores the ethical, historical, literary, philosophical, and religious dimensions of medicine or health. Includes instruction in art, cultural studies, economics, ethics, history, literature, medical anthropology, philosophy, religion and spiritual thought, science and technology, visual art, and writing.</t>
  </si>
  <si>
    <t>History of Medicine.</t>
  </si>
  <si>
    <t>A program that focuses on the historical evolution and socio-economic context of medical theories, education, practices, and technologies; and on the history of diseases, therapeutics, patients, and healers. Includes instruction in the concepts and methods of the historiography of medicine; the history of science, medicine, and technology; and of research methods in the history of medicine.</t>
  </si>
  <si>
    <t>Arts in Medicine/Health.</t>
  </si>
  <si>
    <t>A program that focuses on the design, implementation, and management of programs that use the visual and performing arts in support of health and wellness among diverse individuals and communities. Includes instruction in dance, literary arts, music, theatre, healthcare systems, program administration, and public health.</t>
  </si>
  <si>
    <t>Health Professions Education, Ethics, and Humanities, Other.</t>
  </si>
  <si>
    <t>Any instructional program in health professions education, ethics, and humanities not listed above.</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</si>
  <si>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</si>
  <si>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</si>
  <si>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</si>
  <si>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</si>
  <si>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</si>
  <si>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</si>
  <si>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</si>
  <si>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</si>
  <si>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</si>
  <si>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</si>
  <si>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</si>
  <si>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</si>
  <si>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</si>
  <si>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</si>
  <si>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Holistic/Integrative Health.</t>
  </si>
  <si>
    <t>A program that focuses on the holistic interconnectedness of physical, psychological, social, spiritual, and environmental well-being and that integrates aspects of alternative, complementary, and conventional medicine to alleviate illness and promote, maintain, and optimize wellness. Includes instruction in anatomy and physiology, alternative diagnostic and healing methods, aromatherapy, biofeedback, energy medicine, environmental psychology, ethics, health coaching, herbal medicine, mind-body medicine, mindfulness, nutrition, somatic bodywork, and stress management.</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</si>
  <si>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</si>
  <si>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</si>
  <si>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</si>
  <si>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</si>
  <si>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</si>
  <si>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</si>
  <si>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</si>
  <si>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</si>
  <si>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</si>
  <si>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</si>
  <si>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</si>
  <si>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</si>
  <si>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</si>
  <si>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</si>
  <si>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</si>
  <si>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</si>
  <si>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</si>
  <si>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</si>
  <si>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</si>
  <si>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</si>
  <si>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</si>
  <si>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</si>
  <si>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</si>
  <si>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</si>
  <si>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</si>
  <si>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</si>
  <si>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</si>
  <si>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</si>
  <si>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</si>
  <si>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</si>
  <si>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</si>
  <si>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</si>
  <si>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</si>
  <si>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</si>
  <si>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</si>
  <si>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</si>
  <si>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</si>
  <si>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</si>
  <si>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</si>
  <si>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</si>
  <si>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</si>
  <si>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</si>
  <si>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</si>
  <si>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</si>
  <si>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</si>
  <si>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</si>
  <si>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Adult Health Nurse/Nursing.</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</si>
  <si>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</si>
  <si>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Nurse Anesthetist.</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</si>
  <si>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</si>
  <si>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</si>
  <si>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</si>
  <si>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Maternal/Child Health and Neonatal Nurse/Nursing.</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</si>
  <si>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</si>
  <si>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Nurse Midwife/Nursing Midwifery.</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</si>
  <si>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</si>
  <si>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</si>
  <si>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</si>
  <si>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Pediatric Nurse/Nursing.</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</si>
  <si>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</si>
  <si>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Psychiatric/Mental Health Nurse/Nursing.</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</si>
  <si>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</si>
  <si>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Public Health/Community Nurse/Nursing.</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</si>
  <si>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</si>
  <si>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Perioperative/Operating Room and Surgical Nurse/Nursing.</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</si>
  <si>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</si>
  <si>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Clinical Nurse Specialist.</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</si>
  <si>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</si>
  <si>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Critical Care Nursing.</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</si>
  <si>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</si>
  <si>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Occupational and Environmental Health Nursing.</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</si>
  <si>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</si>
  <si>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</si>
  <si>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</si>
  <si>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</si>
  <si>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</si>
  <si>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</si>
  <si>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</si>
  <si>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</si>
  <si>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</si>
  <si>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</si>
  <si>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</si>
  <si>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</si>
  <si>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</si>
  <si>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Forensic Nursing.</t>
  </si>
  <si>
    <t>A program that prepares individuals to apply the law and forensic science to nursing practice and collaborate with other professionals for the care of victims and the prosecution of criminals. Includes instruction in advanced physical assessment, evidence collection and preservation, forensic anthropology, legal testimony, medicolegal investigation, pathophysiology, pathohistology, pharmacology, and violence prevention.</t>
  </si>
  <si>
    <t>Registered Nursing, Nursing Administration, Nursing Research and Clinical Nursing, Other.</t>
  </si>
  <si>
    <t>Any instructional program in registered nursing, nursing administration, nursing research, and clinical nursing not listed above.</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</si>
  <si>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</si>
  <si>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</si>
  <si>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</si>
  <si>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</si>
  <si>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</si>
  <si>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</si>
  <si>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</si>
  <si>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</si>
  <si>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Health Professions and Related Clinical Sciences, Other.</t>
  </si>
  <si>
    <t>Instructional content for this group of programs is defined in codes 51.9980 - 51.9999.</t>
  </si>
  <si>
    <t>Any instructional program in the health professions and related clinical sciences not listed above.</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</si>
  <si>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</si>
  <si>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</si>
  <si>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</si>
  <si>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</si>
  <si>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</si>
  <si>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</si>
  <si>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</si>
  <si>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</si>
  <si>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</si>
  <si>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</si>
  <si>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</si>
  <si>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</si>
  <si>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</si>
  <si>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</si>
  <si>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</si>
  <si>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</si>
  <si>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</si>
  <si>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</si>
  <si>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</si>
  <si>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</si>
  <si>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</si>
  <si>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</si>
  <si>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</si>
  <si>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</si>
  <si>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focuses on the theory, policy, law, and practices required to administrate and operate public transportation facilities, networks, services, and systems. Includes instruction in demand analysis and forecasting, environmental planning, facilities design and construction, geographic information systems (GIS), logistics, multi- and intermodal transportation systems, project management, public administration, public policy, transportation economics, transportation law, transportation operations, transportation systems, and transportation technologies.</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</si>
  <si>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</si>
  <si>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</si>
  <si>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</si>
  <si>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</si>
  <si>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</si>
  <si>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</si>
  <si>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</si>
  <si>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</si>
  <si>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Research Administration.</t>
  </si>
  <si>
    <t>A program designed to prepare formally trained, advanced-level personnel for research administration leadership positions at colleges and universities, government agencies, hospitals, nonprofit agencies, and in industry. Includes instruction in bioethics, biostatistics, ethical, legal and regulatory consideration in clinical investigation, financial analysis, grant writing, managing and monitoring clinical trials, project management, strategic planning, and team building.</t>
  </si>
  <si>
    <t>Risk Management.</t>
  </si>
  <si>
    <t>A program that focuses on the principles of business risk measurement, mitigation, and management. Includes instruction in business analytics, foundations of insurance and risk management, investments, life and health insurance, loss prevention, property and liability insurance risk assessment, risk control, risk financing, and security.</t>
  </si>
  <si>
    <t>Science/Technology Management.</t>
  </si>
  <si>
    <t>A program that prepares individuals to develop science, technical, and business skills required for management of people and systems in technology-based industries, government agencies, and non-profit organizations. Includes instruction in computer applications, general management principles, production and operations management, project management, quality control, safety and health issues, and statistics.</t>
  </si>
  <si>
    <t>Business Administration, Management and Operations, Other.</t>
  </si>
  <si>
    <t>Any instructional program in business and administration not listed above.</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</si>
  <si>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</si>
  <si>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</si>
  <si>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</si>
  <si>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</si>
  <si>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</si>
  <si>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</si>
  <si>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</si>
  <si>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</si>
  <si>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</si>
  <si>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</si>
  <si>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Accounting and Business/Management.</t>
  </si>
  <si>
    <t>An integrated or combined program in accounting and business administration/management that prepares individuals to function as accountants and business managers.</t>
  </si>
  <si>
    <t>Accounting and Related Services, Other.</t>
  </si>
  <si>
    <t>Any instructional program in accounting not listed above.</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</si>
  <si>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</si>
  <si>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</si>
  <si>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</si>
  <si>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</si>
  <si>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</si>
  <si>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</si>
  <si>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</si>
  <si>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</si>
  <si>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</si>
  <si>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</si>
  <si>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</si>
  <si>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</si>
  <si>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</si>
  <si>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</si>
  <si>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</si>
  <si>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</si>
  <si>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</si>
  <si>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</si>
  <si>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</si>
  <si>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</si>
  <si>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Business/Corporate Communications.</t>
  </si>
  <si>
    <t>Instructional content for this group of programs is defined in codes 52.0501 - 52.0599.</t>
  </si>
  <si>
    <t>Business/Corporate Communications, General.</t>
  </si>
  <si>
    <t>A program that prepares individuals to function in an organization as a composer, editor, and proofreader of business or business-related communications.</t>
  </si>
  <si>
    <t>Grantsmanship.</t>
  </si>
  <si>
    <t>A program that prepares individuals to develop and write grant proposals to support an organization or cause. Includes instruction in identifying grant opportunities, developing an effective proposal, budget justifications, and developing a working relationship with the funder.</t>
  </si>
  <si>
    <t>Business/Corporate Communications, Other.</t>
  </si>
  <si>
    <t>Any program in business or corporate communications not included above.</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</si>
  <si>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</si>
  <si>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</si>
  <si>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</si>
  <si>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</si>
  <si>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</si>
  <si>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</si>
  <si>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</si>
  <si>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</si>
  <si>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</si>
  <si>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</si>
  <si>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</si>
  <si>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Social Entrepreneurship.</t>
  </si>
  <si>
    <t>A program that focuses on blending entrepreneurial ideas and management skills for issue advocacy and social change. Includes instruction in philanthropy, business modeling, design, entrepreneurship, finance, investing, resource management, project management, prototype development, and marketing.</t>
  </si>
  <si>
    <t>Entrepreneurial and Small Business Operations, Other.</t>
  </si>
  <si>
    <t>Any instructional program in enterprise management and entrepreneurship not listed above.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</si>
  <si>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</si>
  <si>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</si>
  <si>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</si>
  <si>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</si>
  <si>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</si>
  <si>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</si>
  <si>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</si>
  <si>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</si>
  <si>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</si>
  <si>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</si>
  <si>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</si>
  <si>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</si>
  <si>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</si>
  <si>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</si>
  <si>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</si>
  <si>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</si>
  <si>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Financial Risk Management.</t>
  </si>
  <si>
    <t>A program that focuses on the strategies used to define and manage acceptable financial risk for companies. Includes instruction in banking and bank regulations, derivative securities, interest rate and credit markets, financial engineering of systematic risk, and equity, bond, futures, and options markets.</t>
  </si>
  <si>
    <t>Finance and Financial Management Services, Other.</t>
  </si>
  <si>
    <t>Any instructional program in financial management and services not listed above.</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</si>
  <si>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</si>
  <si>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</si>
  <si>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</si>
  <si>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</si>
  <si>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</si>
  <si>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</si>
  <si>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</si>
  <si>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</si>
  <si>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</si>
  <si>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</si>
  <si>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</si>
  <si>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</si>
  <si>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</si>
  <si>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</si>
  <si>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Casino Management.</t>
  </si>
  <si>
    <t>A program that prepares individuals to manage casinos and gaming establishments. Includes instruction in business and financial management; casino operations; casino security and surveillance; hospitality, facilities, and personnel management; and principles of the gaming industry, ethics, and gaming law.</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</si>
  <si>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</si>
  <si>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</si>
  <si>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Brewery/Brewpub Operations/Management.</t>
  </si>
  <si>
    <t>A program that prepares individuals to plan, manage, and market breweries and brewpubs. Includes instruction in brewing science, food services management, logistics and distribution, business networking, personnel management, business planning and capitalization, brewing industry operations, marketing, alcohol and liquor law and regulations, finance, and ethics.</t>
  </si>
  <si>
    <t>Hospitality Administration/Management, Other.</t>
  </si>
  <si>
    <t>Any instructional program in hospitality service management not listed above.</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</si>
  <si>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</si>
  <si>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</si>
  <si>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</si>
  <si>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</si>
  <si>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</si>
  <si>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</si>
  <si>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</si>
  <si>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</si>
  <si>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</si>
  <si>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</si>
  <si>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</si>
  <si>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</si>
  <si>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Executive/Career Coaching.</t>
  </si>
  <si>
    <t>A program of study that focuses on assisting individuals achieve career goals or assisting business leaders achieve organizational change. Includes instruction in executive coaching, group dynamics, leadership, management, organizational behavior, organizational communication, and team building.</t>
  </si>
  <si>
    <t>Human Resources Management and Services, Other.</t>
  </si>
  <si>
    <t>Any instructional program in human resources management not listed above.</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</si>
  <si>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</si>
  <si>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</si>
  <si>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</si>
  <si>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</si>
  <si>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</si>
  <si>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</si>
  <si>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</si>
  <si>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</si>
  <si>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</si>
  <si>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</si>
  <si>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</si>
  <si>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</si>
  <si>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</si>
  <si>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</si>
  <si>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</si>
  <si>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</si>
  <si>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</si>
  <si>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</si>
  <si>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</si>
  <si>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</si>
  <si>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</si>
  <si>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</si>
  <si>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</si>
  <si>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</si>
  <si>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</si>
  <si>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</si>
  <si>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</si>
  <si>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</si>
  <si>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</si>
  <si>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</si>
  <si>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</si>
  <si>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</si>
  <si>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Digital Marketing.</t>
  </si>
  <si>
    <t>A program that prepares individuals to develop a digital marketing plan and integrate marketing, advertising, sales, and logistics across physical and digital channels. Includes instruction in digital marketing, e-commerce, online consumer psychology, search engine optimization, social media marketing, and web analytics.</t>
  </si>
  <si>
    <t>Marketing, Other.</t>
  </si>
  <si>
    <t>Any instructional program in general marketing and marketing research not listed above.</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</si>
  <si>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</si>
  <si>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</si>
  <si>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</si>
  <si>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</si>
  <si>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</si>
  <si>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</si>
  <si>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</si>
  <si>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</si>
  <si>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</si>
  <si>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</si>
  <si>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</si>
  <si>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</si>
  <si>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</si>
  <si>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</si>
  <si>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</si>
  <si>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</si>
  <si>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</si>
  <si>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</si>
  <si>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</si>
  <si>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</si>
  <si>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</si>
  <si>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</si>
  <si>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</si>
  <si>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</si>
  <si>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</si>
  <si>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</si>
  <si>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</si>
  <si>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</si>
  <si>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</si>
  <si>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</si>
  <si>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</si>
  <si>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</si>
  <si>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</si>
  <si>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</si>
  <si>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</si>
  <si>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</si>
  <si>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</si>
  <si>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</si>
  <si>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</si>
  <si>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</si>
  <si>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</si>
  <si>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</si>
  <si>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</si>
  <si>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</si>
  <si>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</si>
  <si>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Construction Management.</t>
  </si>
  <si>
    <t>Instructional content for this group of programs is defined in codes 52.2001 - 52.2099.</t>
  </si>
  <si>
    <t>Construction Management, General.</t>
  </si>
  <si>
    <t>A program that prepares individuals to manage, coordinate, and supervise the construction process. Includes instruction in commercial, residential, mechanical, highway/heavy civil, electrical, environmental, industrial, and specialty construction; facilities management; budgeting and cost control; logistics and materials management; organization and scheduling; personnel management and labor relations; site safety; construction contracting; construction processes and techniques; and applicable codes and regulations.</t>
  </si>
  <si>
    <t>Construction Project Management.</t>
  </si>
  <si>
    <t>A program that prepares individuals to apply project management knowledge, skills, tools, and techniques in the construction and facility management industries. Includes instruction in facilities operations and maintenance, construction estimating, OSHA standards, sustainability, drafting, construction plans, project planning, risk management, cost and time management, contracts and procurement, accounting, statistics, decision making, and human resources.</t>
  </si>
  <si>
    <t>Construction Management, Other.</t>
  </si>
  <si>
    <t>Any program in construction management not listed above.</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</si>
  <si>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</si>
  <si>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</si>
  <si>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</si>
  <si>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</si>
  <si>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</si>
  <si>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</si>
  <si>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</si>
  <si>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Instructional programs that define the prescribed requirements for high school/secondary school graduation. These CIP codes are not valid for IPEDS reporting.</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</si>
  <si>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</si>
  <si>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</si>
  <si>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</si>
  <si>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</si>
  <si>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</si>
  <si>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</si>
  <si>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</si>
  <si>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</si>
  <si>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</si>
  <si>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</si>
  <si>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</si>
  <si>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</si>
  <si>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</si>
  <si>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</si>
  <si>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</si>
  <si>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</si>
  <si>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</si>
  <si>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</si>
  <si>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</si>
  <si>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</si>
  <si>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</si>
  <si>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</si>
  <si>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</si>
  <si>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</si>
  <si>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</si>
  <si>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</si>
  <si>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</si>
  <si>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</si>
  <si>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</si>
  <si>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</si>
  <si>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</si>
  <si>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</si>
  <si>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</si>
  <si>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</si>
  <si>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</si>
  <si>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</si>
  <si>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</si>
  <si>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</si>
  <si>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</si>
  <si>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</si>
  <si>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</si>
  <si>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</si>
  <si>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</si>
  <si>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</si>
  <si>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History, Other.</t>
  </si>
  <si>
    <t>Any instructional program in history not listed above.</t>
  </si>
  <si>
    <t>Instructional content is defined in code 55.0101.</t>
  </si>
  <si>
    <t>Instructional content for this group of programs is defined in codes 55.1301 - 55.1399.</t>
  </si>
  <si>
    <t>Instructional content for this group of programs is defined in codes 55.1401 - 55.1499.</t>
  </si>
  <si>
    <t>Instructional content is defined in code 55.9999.</t>
  </si>
  <si>
    <t>HEALTH PROFESSIONS RESIDENCY/FELLOWSHIP PROGRAMS.</t>
  </si>
  <si>
    <t>Programs that prepare dentists (DDS, DMD), nurse practitioners, pharmacists (PharmD), physician assistants, and veterinarians (DVM) for certification as practitioners of recognized specialties in their respective professions. These programs are approved and accredited by designated professional associations. Residency or fellowship programs that also result in the completion of an academic degree (e.g., MS, PhD), should be reported under the appropriate CIP code, rather than in a residency code located in Series 60. These CIP codes are not valid for IPEDS reporting.</t>
  </si>
  <si>
    <t>Dental Residency/Fellowship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</si>
  <si>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</si>
  <si>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</si>
  <si>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</si>
  <si>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</si>
  <si>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</si>
  <si>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</si>
  <si>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</si>
  <si>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</si>
  <si>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</si>
  <si>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</si>
  <si>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</si>
  <si>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</si>
  <si>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</si>
  <si>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</si>
  <si>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</si>
  <si>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</si>
  <si>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</si>
  <si>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</si>
  <si>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</si>
  <si>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Implantology Fellowship Program.</t>
  </si>
  <si>
    <t>A fellowship training program that prepares dentists in the surgical and restorative aspects of implant dentistry. This CIP code is not valid for IPEDS reporting.</t>
  </si>
  <si>
    <t>Dental Residency/Fellowship Program, Other.</t>
  </si>
  <si>
    <t>Any dental residency or fellowship specialty program not listed above. This CIP code is not valid for IPEDS reporting.</t>
  </si>
  <si>
    <t>Veterinary Residency/Fellowship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</si>
  <si>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</si>
  <si>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</si>
  <si>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</si>
  <si>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</si>
  <si>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</si>
  <si>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</si>
  <si>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</si>
  <si>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</si>
  <si>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</si>
  <si>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</si>
  <si>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</si>
  <si>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</si>
  <si>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</si>
  <si>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</si>
  <si>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</si>
  <si>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</si>
  <si>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</si>
  <si>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</si>
  <si>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</si>
  <si>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</si>
  <si>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</si>
  <si>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</si>
  <si>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</si>
  <si>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</si>
  <si>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</si>
  <si>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</si>
  <si>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</si>
  <si>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</si>
  <si>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</si>
  <si>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</si>
  <si>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</si>
  <si>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</si>
  <si>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</si>
  <si>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</si>
  <si>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</si>
  <si>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</si>
  <si>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</si>
  <si>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</si>
  <si>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</si>
  <si>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</si>
  <si>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</si>
  <si>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Residency/Fellowship Program, Other.</t>
  </si>
  <si>
    <t>Any residency or fellowship training program in veterinary medicine not listed above. This CIP code is not valid for IPEDS reporting.</t>
  </si>
  <si>
    <t>Nurse Practitioner Residency/Fellowship Programs.</t>
  </si>
  <si>
    <t>Instructional content for this group of programs is defined in codes 60.0701 - 60.0799. These CIP codes are not valid for IPEDS reporting.</t>
  </si>
  <si>
    <t>Nurse Practitioner Residency/Fellowship Program, General.</t>
  </si>
  <si>
    <t>A residency or fellowship program for licensed nurse practitioners that provides advanced didactic and clinical training in nursing. This CIP Code is not valid for IPEDS reporting.</t>
  </si>
  <si>
    <t>Combined Nurse Practitioner Residency/Fellowship Program.</t>
  </si>
  <si>
    <t>A residency or fellowship program for licensed nurse practitioners that provides advanced didactic and clinical training in two or more nursing specialties. This CIP Code is not valid for IPEDS reporting.</t>
  </si>
  <si>
    <t>Acute Care Nurse Practitioner Residency/Fellowship Program.</t>
  </si>
  <si>
    <t>A residency or fellowship program for licensed nurse practitioners that provides advanced didactic and clinical training in acute care medicine. This CIP Code is not valid for IPEDS reporting.</t>
  </si>
  <si>
    <t>Adult/Gerontology Acute Care Nurse Practitioner Residency/Fellowship Program.</t>
  </si>
  <si>
    <t>A residency or fellowship program for licensed nurse practitioners that provides advanced didactic and clinical training in adult/gerontology acute care medicine. This CIP Code is not valid for IPEDS reporting.</t>
  </si>
  <si>
    <t>Adult/Gerontology Critical Care Nurse Practitioner Residency/Fellowship Program.</t>
  </si>
  <si>
    <t>A residency or fellowship program for licensed nurse practitioners that provides advanced didactic and clinical training in adult/gerontology critical care medicine. This CIP Code is not valid for IPEDS reporting.</t>
  </si>
  <si>
    <t>Cardiology/Cardiovascular Nurse Practitioner Residency/Fellowship Program.</t>
  </si>
  <si>
    <t>A residency or fellowship program for licensed nurse practitioners that provides advanced didactic and clinical training in cardiology and cardiovascular medicine. This CIP Code is not valid for IPEDS reporting.</t>
  </si>
  <si>
    <t>Clinical Informatics Nurse Practitioner Residency/Fellowship Program.</t>
  </si>
  <si>
    <t>A residency or fellowship program for licensed nurse practitioners that provides advanced didactic and clinical training in clinical informatics. This CIP Code is not valid for IPEDS reporting.</t>
  </si>
  <si>
    <t>Dermatology Nurse Practitioner Residency/Fellowship Program.</t>
  </si>
  <si>
    <t>A residency or fellowship program for licensed nurse practitioners that provides advanced didactic and clinical training in dermatology. This CIP Code is not valid for IPEDS reporting.</t>
  </si>
  <si>
    <t>Developmental and Behavioral Pediatrics Nurse Practitioner Residency/Fellowship Program.</t>
  </si>
  <si>
    <t>A residency or fellowship program for licensed nurse practitioners that provides advanced didactic and clinical training in developmental and behavioral pediatrics. This CIP Code is not valid for IPEDS reporting.</t>
  </si>
  <si>
    <t>Diabetes Nurse Practitioner Residency/Fellowship Program.</t>
  </si>
  <si>
    <t>A residency or fellowship program for licensed nurse practitioners that provides advanced didactic and clinical training in diabetology and metabolic disorders. This CIP Code is not valid for IPEDS reporting.</t>
  </si>
  <si>
    <t>Emergency Medicine Nurse Practitioner Residency/Fellowship Program.</t>
  </si>
  <si>
    <t>A residency or fellowship program for licensed nurse practitioners that provides advanced didactic and clinical training in emergency medicine. This CIP Code is not valid for IPEDS reporting.</t>
  </si>
  <si>
    <t>Endocrinology Nurse Practitioner Residency/Fellowship Program.</t>
  </si>
  <si>
    <t>A residency or fellowship program for licensed nurse practitioners that provides advanced didactic and clinical training in endocrinology. This CIP Code is not valid for IPEDS reporting.</t>
  </si>
  <si>
    <t>Family Medicine Nurse Practitioner Residency/Fellowship Program.</t>
  </si>
  <si>
    <t>A residency or fellowship program for licensed nurse practitioners that provides advanced didactic and clinical training in family medicine. This CIP Code is not valid for IPEDS reporting.</t>
  </si>
  <si>
    <t>Gastroenterology and Hepatology Nurse Practitioner Residency/Fellowship Program.</t>
  </si>
  <si>
    <t>A residency or fellowship program for licensed nurse practitioners that provides advanced didactic and clinical training in gastroenterology and hepatology. This CIP Code is not valid for IPEDS reporting.</t>
  </si>
  <si>
    <t>Gastroenterology Nurse Practitioner Residency/Fellowship Program.</t>
  </si>
  <si>
    <t>A residency or fellowship program for licensed nurse practitioners that provides advanced didactic and clinical training in gastroenterology. This CIP Code is not valid for IPEDS reporting.</t>
  </si>
  <si>
    <t>Genetics Nurse Practitioner Residency/Fellowship Program.</t>
  </si>
  <si>
    <t>A residency or fellowship program for licensed nurse practitioners that provides advanced didactic and clinical training in genetic counseling and disorders. This CIP Code is not valid for IPEDS reporting.</t>
  </si>
  <si>
    <t>Gerontology Nurse Practitioner Residency/Fellowship Program.</t>
  </si>
  <si>
    <t>A residency or fellowship program for licensed nurse practitioners that provides advanced didactic and clinical training in gerontology. This CIP Code is not valid for IPEDS reporting.</t>
  </si>
  <si>
    <t>Global Health Nurse Practitioner Residency/Fellowship Program.</t>
  </si>
  <si>
    <t>A residency or fellowship program for licensed nurse practitioners that provides advanced didactic and clinical training in global health. This CIP Code is not valid for IPEDS reporting.</t>
  </si>
  <si>
    <t>Hematology-Oncology Nurse Practitioner Residency/Fellowship Program.</t>
  </si>
  <si>
    <t>A residency or fellowship program for licensed nurse practitioners that provides advanced didactic and clinical training in hematology and oncology. This CIP Code is not valid for IPEDS reporting.</t>
  </si>
  <si>
    <t>Hepatology Nurse Practitioner Residency/Fellowship Program.</t>
  </si>
  <si>
    <t>A residency or fellowship program for licensed nurse practitioners that provides advanced didactic and clinical training in hepatology. This CIP Code is not valid for IPEDS reporting.</t>
  </si>
  <si>
    <t>Home-Based Primary Care Nurse Practitioner Residency/Fellowship Program.</t>
  </si>
  <si>
    <t>A residency or fellowship program for licensed nurse practitioners that provides advanced didactic and clinical training in home-based primary care. This CIP Code is not valid for IPEDS reporting.</t>
  </si>
  <si>
    <t>Hospice and Palliative Medicine Nurse Practitioner Residency/Fellowship Program.</t>
  </si>
  <si>
    <t>A residency or fellowship program for licensed nurse practitioners that provides advanced didactic and clinical training in hospice and palliative medicine. This CIP Code is not valid for IPEDS reporting.</t>
  </si>
  <si>
    <t>Hospital Medicine Nurse Practitioner Residency/Fellowship Program.</t>
  </si>
  <si>
    <t>A residency or fellowship program for licensed nurse practitioners that provides advanced didactic and clinical training in hospital medicine. This CIP Code is not valid for IPEDS reporting.</t>
  </si>
  <si>
    <t>Infectious Diseases Nurse Practitioner Residency/Fellowship Program.</t>
  </si>
  <si>
    <t>A residency or fellowship program for licensed nurse practitioners that provides advanced didactic and clinical training in infectious diseases. This CIP Code is not valid for IPEDS reporting.</t>
  </si>
  <si>
    <t>Neonatal Nurse Practitioner Residency/Fellowship Program.</t>
  </si>
  <si>
    <t>A residency or fellowship program for licensed nurse practitioners that provides advanced didactic and clinical training in neonatology. This CIP Code is not valid for IPEDS reporting.</t>
  </si>
  <si>
    <t>Nephrology Nurse Practitioner Residency/Fellowship Program.</t>
  </si>
  <si>
    <t>A residency or fellowship program for licensed nurse practitioners that provides advanced didactic and clinical training in nephrology. This CIP Code is not valid for IPEDS reporting.</t>
  </si>
  <si>
    <t>Neurology Nurse Practitioner Residency/Fellowship Program.</t>
  </si>
  <si>
    <t>A residency or fellowship program for licensed nurse practitioners that provides advanced didactic and clinical training in neurology. This CIP Code is not valid for IPEDS reporting.</t>
  </si>
  <si>
    <t>Neuroscience Nurse Practitioner Residency/Fellowship Program.</t>
  </si>
  <si>
    <t>A residency or fellowship program for licensed nurse practitioners that provides advanced didactic and clinical training in neuroscience. This CIP Code is not valid for IPEDS reporting.</t>
  </si>
  <si>
    <t>Obstetrics and Gynecology Nurse Practitioner Residency/Fellowship Program.</t>
  </si>
  <si>
    <t>A residency or fellowship program for licensed nurse practitioners that provides advanced didactic and clinical training in obstetrics and gynecology. This CIP Code is not valid for IPEDS reporting.</t>
  </si>
  <si>
    <t>Occupational Health Nurse Practitioner Residency/Fellowship Program.</t>
  </si>
  <si>
    <t>A residency or fellowship program for licensed nurse practitioners that provides advanced didactic and clinical training in occupational health. This CIP Code is not valid for IPEDS reporting.</t>
  </si>
  <si>
    <t>Orthopedic Nurse Practitioner Residency/Fellowship Program.</t>
  </si>
  <si>
    <t>A residency or fellowship program for licensed nurse practitioners that provides advanced didactic and clinical training in orthopedics. This CIP Code is not valid for IPEDS reporting.</t>
  </si>
  <si>
    <t>Orthopedic Surgery Nurse Practitioner Residency/Fellowship Program.</t>
  </si>
  <si>
    <t>A residency or fellowship program for licensed nurse practitioners that provides advanced didactic and clinical training in orthopedic surgery. This CIP Code is not valid for IPEDS reporting.</t>
  </si>
  <si>
    <t>Pain Management Nurse Practitioner Residency/Fellowship Program.</t>
  </si>
  <si>
    <t>A residency or fellowship program for licensed nurse practitioners that provides advanced didactic and clinical training in pain management. This CIP Code is not valid for IPEDS reporting.</t>
  </si>
  <si>
    <t>Palliative Care Nurse Practitioner Residency/Fellowship Program.</t>
  </si>
  <si>
    <t>A residency or fellowship program for licensed nurse practitioners that provides advanced didactic and clinical training in palliative care. This CIP Code is not valid for IPEDS reporting.</t>
  </si>
  <si>
    <t>Pediatric Hematology-Oncology Nurse Practitioner Residency/Fellowship Program.</t>
  </si>
  <si>
    <t>A residency or fellowship program for licensed nurse practitioners that provides advanced didactic and clinical training in pediatric hematology and oncology. This CIP Code is not valid for IPEDS reporting.</t>
  </si>
  <si>
    <t>Pediatric Nurse Practitioner Residency/Fellowship Program.</t>
  </si>
  <si>
    <t>A residency or fellowship program for licensed nurse practitioners that provides advanced didactic and clinical training in pediatrics. This CIP Code is not valid for IPEDS reporting.</t>
  </si>
  <si>
    <t>Pediatric Rehabilitation Nurse Practitioner Residency/Fellowship Program.</t>
  </si>
  <si>
    <t>A residency or fellowship program for licensed nurse practitioners that provides advanced didactic and clinical training in pediatric rehabilitation. This CIP Code is not valid for IPEDS reporting.</t>
  </si>
  <si>
    <t>Psychiatric/Mental Health Nurse Practitioner Residency/Fellowship Program.</t>
  </si>
  <si>
    <t>A residency or fellowship program for licensed nurse practitioners that provides advanced didactic and clinical training in psychiatric and mental health. This CIP Code is not valid for IPEDS reporting.</t>
  </si>
  <si>
    <t>Public/Community Health Nurse Practitioner Residency/Fellowship Program.</t>
  </si>
  <si>
    <t>A residency or fellowship program for licensed nurse practitioners that provides advanced didactic and clinical training in public or community health. This CIP Code is not valid for IPEDS reporting.</t>
  </si>
  <si>
    <t>Pulmonary Nurse Practitioner Residency/Fellowship Program.</t>
  </si>
  <si>
    <t>A residency or fellowship program for licensed nurse practitioners that provides advanced didactic and clinical training in pulmonology. This CIP Code is not valid for IPEDS reporting.</t>
  </si>
  <si>
    <t>Rheumatology Nurse Practitioner Residency/Fellowship Program.</t>
  </si>
  <si>
    <t>A residency or fellowship program for licensed nurse practitioners that provides advanced didactic and clinical training in rheumatology. This CIP Code is not valid for IPEDS reporting.</t>
  </si>
  <si>
    <t>Rural Health Nurse Practitioner Residency/Fellowship Program.</t>
  </si>
  <si>
    <t>A residency or fellowship program for licensed nurse practitioners that provides advanced didactic and clinical training in rural health. This CIP Code is not valid for IPEDS reporting.</t>
  </si>
  <si>
    <t>Sleep Medicine Nurse Practitioner Residency/Fellowship Program.</t>
  </si>
  <si>
    <t>A residency or fellowship program for licensed nurse practitioners that provides advanced didactic and clinical training in sleep medicine. This CIP Code is not valid for IPEDS reporting.</t>
  </si>
  <si>
    <t>Surgical and Critical Care Nurse Practitioner Residency/Fellowship Program.</t>
  </si>
  <si>
    <t>A residency or fellowship program for licensed nurse practitioners that provides advanced didactic and clinical training in surgical and critical care medicine. This CIP Code is not valid for IPEDS reporting.</t>
  </si>
  <si>
    <t>Surgical Wound and Reconstruction Nurse Practitioner Residency/Fellowship Program.</t>
  </si>
  <si>
    <t>A residency or fellowship program for licensed nurse practitioners that provides advanced didactic and clinical training in surgical wound care and reconstruction. This CIP Code is not valid for IPEDS reporting.</t>
  </si>
  <si>
    <t>Transplantation Nurse Practitioner Residency/Fellowship Program.</t>
  </si>
  <si>
    <t>A residency or fellowship program for licensed nurse practitioners that provides advanced didactic and clinical training in transplantology. This CIP Code is not valid for IPEDS reporting.</t>
  </si>
  <si>
    <t>Trauma and Critical Care Nurse Practitioner Residency/Fellowship Program.</t>
  </si>
  <si>
    <t>A residency or fellowship program for licensed nurse practitioners that provides advanced didactic and clinical training in trauma and critical care medicine. This CIP Code is not valid for IPEDS reporting.</t>
  </si>
  <si>
    <t>Urgent Care Nurse Practitioner Residency/Fellowship Program.</t>
  </si>
  <si>
    <t>A residency or fellowship program for licensed nurse practitioners that provides advanced didactic and clinical training in urgent care medicine. This CIP Code is not valid for IPEDS reporting.</t>
  </si>
  <si>
    <t>Urology Nurse Practitioner Residency/Fellowship Program.</t>
  </si>
  <si>
    <t>A residency or fellowship program for licensed nurse practitioners that provides advanced didactic and clinical training in urology. This CIP Code is not valid for IPEDS reporting.</t>
  </si>
  <si>
    <t>Women's Health Nurse Practitioner Residency/Fellowship Program.</t>
  </si>
  <si>
    <t>A residency or fellowship program for licensed nurse practitioners that provides advanced didactic and clinical training in women's health. This CIP Code is not valid for IPEDS reporting.</t>
  </si>
  <si>
    <t>Wound Care Nurse Practitioner Residency/Fellowship Program.</t>
  </si>
  <si>
    <t>A residency or fellowship program for licensed nurse practitioners that provides advanced didactic and clinical training in wound care. This CIP Code is not valid for IPEDS reporting.</t>
  </si>
  <si>
    <t>Nurse Practitioner Residency/Fellowship Program, Other.</t>
  </si>
  <si>
    <t>Any residency or fellowship program for nurse practitioners not listed above. This CIP code is not valid for IPEDS reporting.</t>
  </si>
  <si>
    <t>Pharmacy Residency/Fellowship Programs.</t>
  </si>
  <si>
    <t>Instructional content for this group of programs is defined in codes 60.0801 - 60.0899. These CIP codes are not valid for IPEDS reporting.</t>
  </si>
  <si>
    <t>Pharmacy Residency/Fellowship Program, General.</t>
  </si>
  <si>
    <t>A residency or fellowship program for licensed pharmacists that provides advanced training in pharmacy. This CIP Code is not valid for IPEDS reporting.</t>
  </si>
  <si>
    <t>Combined Pharmacy Residency/Fellowship Program.</t>
  </si>
  <si>
    <t>A residency or fellowship program for licensed pharmacists that provides advanced training in two or more pharmacy specialties. This CIP Code is not valid for IPEDS reporting.</t>
  </si>
  <si>
    <t>Ambulatory Care Pharmacy Residency/Fellowship Program.</t>
  </si>
  <si>
    <t>A residency or fellowship program for licensed pharmacists that provides advanced training in ambulatory care pharmacy. This CIP Code is not valid for IPEDS reporting.</t>
  </si>
  <si>
    <t>Cardiology Pharmacy Residency/Fellowship Program.</t>
  </si>
  <si>
    <t>A residency or fellowship program for licensed pharmacists that provides advanced training in cardiology pharmacy. This CIP Code is not valid for IPEDS reporting.</t>
  </si>
  <si>
    <t>Clinical Pharmacogenomics Pharmacy Residency/Fellowship Program.</t>
  </si>
  <si>
    <t>A residency or fellowship program for licensed pharmacists that provides advanced training in clinical pharmacogenomics. This CIP Code is not valid for IPEDS reporting.</t>
  </si>
  <si>
    <t>Community/Community-Based Pharmacy Residency/Fellowship Program.</t>
  </si>
  <si>
    <t>A residency or fellowship program for licensed pharmacists that provides advanced training in community or community-based pharmacy. This CIP Code is not valid for IPEDS reporting.</t>
  </si>
  <si>
    <t>Corporate Pharmacy Leadership Residency/Fellowship Program.</t>
  </si>
  <si>
    <t>A residency or fellowship program for licensed pharmacists that provides advanced training in corporate pharmacy leadership. This CIP Code is not valid for IPEDS reporting.</t>
  </si>
  <si>
    <t>Critical Care Pharmacy Residency/Fellowship Program.</t>
  </si>
  <si>
    <t>A residency or fellowship program for licensed pharmacists that provides advanced training in critical care pharmacy. This CIP Code is not valid for IPEDS reporting.</t>
  </si>
  <si>
    <t>Drug Information Pharmacy Residency/Fellowship Program</t>
  </si>
  <si>
    <t>A residency or fellowship program for licensed pharmacists that provides advanced training in drug information. This CIP Code is not valid for IPEDS reporting.</t>
  </si>
  <si>
    <t>Emergency Medicine Pharmacy Residency/Fellowship Program.</t>
  </si>
  <si>
    <t>A residency or fellowship program for licensed pharmacists that provides advanced training in emergency medicine pharmacy. This CIP Code is not valid for IPEDS reporting.</t>
  </si>
  <si>
    <t>Family Medicine Pharmacy Residency/Fellowship Program.</t>
  </si>
  <si>
    <t>A residency or fellowship program for licensed pharmacists that provides advanced training in family medicine pharmacy. This CIP Code is not valid for IPEDS reporting.</t>
  </si>
  <si>
    <t>Geriatric Pharmacy Residency/Fellowship Program.</t>
  </si>
  <si>
    <t>A residency or fellowship program for licensed pharmacists that provides advanced training in geriatric pharmacy. This CIP Code is not valid for IPEDS reporting.</t>
  </si>
  <si>
    <t>Health System Medication Management Pharmacy Residency/Fellowship Program.</t>
  </si>
  <si>
    <t>A residency or fellowship program for licensed pharmacists that provides advanced training in health system medication management. This CIP Code is not valid for IPEDS reporting.</t>
  </si>
  <si>
    <t>Health System Pharmacy Administration and Leadership Residency/Fellowship Program.</t>
  </si>
  <si>
    <t>A residency or fellowship program for licensed pharmacists that provides advanced training in health system pharmacy administration and leadership. This CIP Code is not valid for IPEDS reporting.</t>
  </si>
  <si>
    <t>Infectious Diseases Pharmacy Residency/Fellowship Program.</t>
  </si>
  <si>
    <t>A residency or fellowship program for licensed pharmacists that provides advanced training in infectious diseases pharmacy. This CIP Code is not valid for IPEDS reporting.</t>
  </si>
  <si>
    <t>Internal Medicine Pharmacy Residency/Fellowship Program.</t>
  </si>
  <si>
    <t>A residency or fellowship program for licensed pharmacists that provides advanced training in internal medicine pharmacy. This CIP Code is not valid for IPEDS reporting.</t>
  </si>
  <si>
    <t>Investigational Drugs and Research Pharmacy Residency/Fellowship Program.</t>
  </si>
  <si>
    <t>A residency or fellowship program for licensed pharmacists that provides advanced training in investigational drugs and research. This CIP Code is not valid for IPEDS reporting.</t>
  </si>
  <si>
    <t>Managed Care Pharmacy Residency/Fellowship Program.</t>
  </si>
  <si>
    <t>A residency or fellowship program for licensed pharmacists that provides advanced training in managed care pharmacy. This CIP Code is not valid for IPEDS reporting.</t>
  </si>
  <si>
    <t>Medication Systems and Operations Pharmacy Residency/Fellowship Program.</t>
  </si>
  <si>
    <t>A residency or fellowship program for licensed pharmacists that provides advanced training in medication systems and operations. This CIP Code is not valid for IPEDS reporting.</t>
  </si>
  <si>
    <t>Medication-Use Safety Pharmacy Residency/Fellowship Program.</t>
  </si>
  <si>
    <t>A residency or fellowship program for licensed pharmacists that provides advanced training in medication-use safety. This CIP Code is not valid for IPEDS reporting.</t>
  </si>
  <si>
    <t>Neonatal Pharmacy Residency/Fellowship Program.</t>
  </si>
  <si>
    <t>A residency or fellowship program for licensed pharmacists that provides advanced training in neonatal pharmacy. This CIP Code is not valid for IPEDS reporting.</t>
  </si>
  <si>
    <t>Nephrology Pharmacy Residency/Fellowship Program.</t>
  </si>
  <si>
    <t>A residency or fellowship program for licensed pharmacists that provides advanced training in nephrology pharmacy. This CIP Code is not valid for IPEDS reporting.</t>
  </si>
  <si>
    <t>Neurology Pharmacy Residency/Fellowship Program.</t>
  </si>
  <si>
    <t>A residency or fellowship program for licensed pharmacists that provides advanced training in neurology pharmacy. This CIP Code is not valid for IPEDS reporting.</t>
  </si>
  <si>
    <t>Nuclear Pharmacy Residency/Fellowship Program.</t>
  </si>
  <si>
    <t>A residency or fellowship program for licensed pharmacists that provides advanced training in nuclear pharmacy. This CIP Code is not valid for IPEDS reporting.</t>
  </si>
  <si>
    <t>Nutrition Support Pharmacy Residency/Fellowship Program.</t>
  </si>
  <si>
    <t>A residency or fellowship program for licensed pharmacists that provides advanced training in nutrition support. This CIP Code is not valid for IPEDS reporting.</t>
  </si>
  <si>
    <t>Oncology Pharmacy Residency/Fellowship Program.</t>
  </si>
  <si>
    <t>A residency or fellowship program for licensed pharmacists that provides advanced training in oncology pharmacy. This CIP Code is not valid for IPEDS reporting.</t>
  </si>
  <si>
    <t>Palliative Care/Pain Management Pharmacy Residency/Fellowship Program.</t>
  </si>
  <si>
    <t>A residency or fellowship program for licensed pharmacists that provides advanced training in palliative care and pain management. This CIP Code is not valid for IPEDS reporting.</t>
  </si>
  <si>
    <t>Pediatric Pharmacy Residency/Fellowship Program.</t>
  </si>
  <si>
    <t>A residency or fellowship program for licensed pharmacists that provides advanced training in pediatric pharmacy. This CIP Code is not valid for IPEDS reporting.</t>
  </si>
  <si>
    <t>Pharmacotherapy Pharmacy Residency/Fellowship Program.</t>
  </si>
  <si>
    <t>A residency or fellowship program for licensed pharmacists that provides advanced training in pharmacotherapy. This CIP Code is not valid for IPEDS reporting.</t>
  </si>
  <si>
    <t>Pharmacy Informatics Pharmacy Residency/Fellowship Program.</t>
  </si>
  <si>
    <t>A residency or fellowship program for licensed pharmacists that provides advanced training in pharmacy informatics. This CIP Code is not valid for IPEDS reporting.</t>
  </si>
  <si>
    <t>Psychiatric Pharmacy Residency/Fellowship Program.</t>
  </si>
  <si>
    <t>A residency or fellowship program for licensed pharmacists that provides advanced training in psychiatric pharmacy. This CIP Code is not valid for IPEDS reporting.</t>
  </si>
  <si>
    <t>Transplantation Pharmacy Residency/Fellowship Program.</t>
  </si>
  <si>
    <t>A residency or fellowship program for licensed pharmacists that provides advanced training in transplantation pharmacy. This CIP Code is not valid for IPEDS reporting.</t>
  </si>
  <si>
    <t>Pharmacy Residency Programs, Other.</t>
  </si>
  <si>
    <t>Any residency or fellowship program in pharmacy not listed above. This CIP code is not valid for IPEDS reporting.</t>
  </si>
  <si>
    <t>Physician Assistant Residency/Fellowship Programs.</t>
  </si>
  <si>
    <t>Instructional content for this group of programs is defined in codes 60.0901 - 60.0999. These CIP codes are not valid for IPEDS reporting.</t>
  </si>
  <si>
    <t>Physician Assistant Residency/Fellowship Program, General.</t>
  </si>
  <si>
    <t>A residency or fellowship program for licensed physician assistants that provides advanced training in medicine. This CIP Code is not valid for IPEDS reporting.</t>
  </si>
  <si>
    <t>Combined Physician Assistant Residency/Fellowship Program.</t>
  </si>
  <si>
    <t>A residency or fellowship program for licensed physician assistants that provides advanced training in two or more medical or surgical specialties. This CIP Code is not valid for IPEDS reporting.</t>
  </si>
  <si>
    <t>Acute Care Medicine Physician Assistant Residency/Fellowship Program.</t>
  </si>
  <si>
    <t>A residency or fellowship program for licensed physician assistants that provides advanced training in acute care medicine. This CIP Code is not valid for IPEDS reporting.</t>
  </si>
  <si>
    <t>Acute Care Surgery Physician Assistant Residency/Fellowship Program.</t>
  </si>
  <si>
    <t>A residency or fellowship program for licensed physician assistants that provides advanced training in acute care surgery. This CIP Code is not valid for IPEDS reporting.</t>
  </si>
  <si>
    <t>Cardiology Physician Assistant Residency/Fellowship Program.</t>
  </si>
  <si>
    <t>A residency or fellowship program for licensed physician assistants that provides advanced training in cardiology. This CIP Code is not valid for IPEDS reporting.</t>
  </si>
  <si>
    <t>Cardiothoracic Surgery Physician Assistant Residency/Fellowship Program.</t>
  </si>
  <si>
    <t>A residency or fellowship program for licensed physician assistants that provides advanced training in cardiothoracic surgery. This CIP Code is not valid for IPEDS reporting.</t>
  </si>
  <si>
    <t>Critical Care Physician Assistant Residency/Fellowship Program.</t>
  </si>
  <si>
    <t>A residency or fellowship program for licensed physician assistants that provides advanced training in critical care medicine. This CIP Code is not valid for IPEDS reporting.</t>
  </si>
  <si>
    <t>Critical Care and Trauma Surgery Physician Assistant Residency/Fellowship Program.</t>
  </si>
  <si>
    <t>A residency or fellowship program for licensed physician assistants that provides advanced training in critical care and trauma surgery. This CIP Code is not valid for IPEDS reporting.</t>
  </si>
  <si>
    <t>Emergency Medicine Physician Assistant Residency/Fellowship Program.</t>
  </si>
  <si>
    <t>A residency or fellowship program for licensed physician assistants that provides advanced training in emergency medicine. This CIP Code is not valid for IPEDS reporting.</t>
  </si>
  <si>
    <t>ENT Surgery Physician Assistant Residency/Fellowship Program.</t>
  </si>
  <si>
    <t>A residency or fellowship program for licensed physician assistants that provides advanced training in ENT (ears, nose, and throat) surgery. This CIP Code is not valid for IPEDS reporting.</t>
  </si>
  <si>
    <t>Family Medicine Physician Assistant Residency/Fellowship Program.</t>
  </si>
  <si>
    <t>A residency or fellowship program for licensed physician assistants that provides advanced training in family medicine. This CIP Code is not valid for IPEDS reporting.</t>
  </si>
  <si>
    <t>Geriatrics Physician Assistant Residency/Fellowship Program.</t>
  </si>
  <si>
    <t>A residency or fellowship program for licensed physician assistants that provides advanced training in geriatrics. This CIP Code is not valid for IPEDS reporting.</t>
  </si>
  <si>
    <t>Hematology-Oncology Physician Assistant Residency/Fellowship Program.</t>
  </si>
  <si>
    <t>A residency or fellowship program for licensed physician assistants that provides advanced training in hematology and oncology. This CIP Code is not valid for IPEDS reporting.</t>
  </si>
  <si>
    <t>Hepatobiliary Surgery Physician Assistant Residency/Fellowship Program.</t>
  </si>
  <si>
    <t>A residency or fellowship program for licensed physician assistants that provides advanced training in hepatobiliary surgery. This CIP Code is not valid for IPEDS reporting.</t>
  </si>
  <si>
    <t>Hospitalist Physician Assistant Residency/Fellowship Program.</t>
  </si>
  <si>
    <t>A residency or fellowship program for licensed physician assistants that provides advanced training in hospital medicine. This CIP Code is not valid for IPEDS reporting.</t>
  </si>
  <si>
    <t>Neurosurgery Physician Assistant Residency/Fellowship Program.</t>
  </si>
  <si>
    <t>A residency or fellowship program for licensed physician assistants that provides advanced training in neurosurgery. This CIP Code is not valid for IPEDS reporting.</t>
  </si>
  <si>
    <t>Orthopedic Surgery Physician Assistant Residency/Fellowship Program.</t>
  </si>
  <si>
    <t>A residency or fellowship program for licensed physician assistants that provides advanced training in orthopedic surgery. This CIP Code is not valid for IPEDS reporting.</t>
  </si>
  <si>
    <t>Pediatric Surgery Physician Assistant Residency/Fellowship Program.</t>
  </si>
  <si>
    <t>A residency or fellowship program for licensed physician assistants that provides advanced training in pediatric surgery. This CIP Code is not valid for IPEDS reporting.</t>
  </si>
  <si>
    <t>Transplant Surgery Physician Assistant Residency/Fellowship Program.</t>
  </si>
  <si>
    <t>A residency or fellowship program for licensed physician assistants that provides advanced training in transplant surgery. This CIP Code is not valid for IPEDS reporting.</t>
  </si>
  <si>
    <t>Urology Physician Assistant Residency/Fellowship Program.</t>
  </si>
  <si>
    <t>A residency or fellowship program for licensed physician assistants that provides advanced training in urology. This CIP Code is not valid for IPEDS reporting.</t>
  </si>
  <si>
    <t>Physician Assistant Residency/Fellowship Program, Other.</t>
  </si>
  <si>
    <t>Any residency or fellowship program for physician assistants not listed above. This CIP code is not valid for IPEDS reporting.</t>
  </si>
  <si>
    <t>Health Professions Residency/Fellowship Programs, Other.</t>
  </si>
  <si>
    <t>Instructional content is defined in code 60.9999. These CIP codes are not valid for IPEDS reporting.</t>
  </si>
  <si>
    <t>Any health professions residency or fellowship program not listed above. This CIP code is not valid for IPEDS reporting.</t>
  </si>
  <si>
    <t>MEDICAL RESIDENCY/FELLOWSHIP PROGRAMS.</t>
  </si>
  <si>
    <t>Programs that prepare allopathic physicians (MD), osteopathic physicians (DO), and podiatrists (DPM) for certification as practitioners of recognized medical specialties. These programs are approved and accredited by the Accreditation Council for Graduate Medical Education (ACGME) or the Council on Podiatric Medical Education (CPME) and require from one to seven years to complete, depending on the program. Residency programs that also result in the completion of an academic degree (e.g., MS, PhD), should be reported under one of the clinical sciences codes located in Series 26, 51.05, or 51.14, rather than in a residency code located in Series 61. These CIP Codes are not valid for IPEDS reporting.</t>
  </si>
  <si>
    <t>Combined Medical Residency/Fellowship Programs.</t>
  </si>
  <si>
    <t>Instructional content for this group of programs is defined in codes 61.0101 - 61.0199.</t>
  </si>
  <si>
    <t>Combined Medical Residency/Fellowship Program, General.</t>
  </si>
  <si>
    <t>A combined educational program in two or more closely related medical specialty or subspecialty programs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</si>
  <si>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Diagnostic Radiology/Nuclear Medicine Combined Specialty Program.</t>
  </si>
  <si>
    <t>A combined educational program in diagnostic radiology and nuclear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</si>
  <si>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Emergency Medicine/Anesthesiology Combined Specialty Program.</t>
  </si>
  <si>
    <t>A combined educational program in emergency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</si>
  <si>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Medicine/Emergency Medicine Combined Specialty Program.</t>
  </si>
  <si>
    <t>A combined educational program in family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</si>
  <si>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Medicine/Osteopathic Neuromusculoskeletal Medicine Combined Specialty Program.</t>
  </si>
  <si>
    <t>A combined educational program in family medicine and osteopathic neuromusculoskeletal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</si>
  <si>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Medicine/Preventive Medicine Combined Specialty Program.</t>
  </si>
  <si>
    <t>A combined educational program in family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</si>
  <si>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Medicine/Psychiatry Combined Specialty Program.</t>
  </si>
  <si>
    <t>A combined educational program in family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</si>
  <si>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Medicine/Anesthesiology Combined Specialty Program.</t>
  </si>
  <si>
    <t>A combined educational program in internal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</si>
  <si>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Medicine/Dermatology Combined Specialty Program.</t>
  </si>
  <si>
    <t>A combined educational program in internal medicine and dermatology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</si>
  <si>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 Combined Specialty Program.</t>
  </si>
  <si>
    <t>A combined educational program in internal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</si>
  <si>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Medicine/Critical Care Medicine Combined Specialty Program.</t>
  </si>
  <si>
    <t>A combined educational program in internal medicine, emergency medicine, and critical care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</si>
  <si>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Medicine/Family Medicine Combined Specialty Program.</t>
  </si>
  <si>
    <t>A combined educational program in internal medicine and family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</si>
  <si>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Medicine/Medical Genetics and Genomics Combined Specialty Program.</t>
  </si>
  <si>
    <t>A combined educational program in internal medicine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</si>
  <si>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Medicine/Neurology Combined Specialty Program.</t>
  </si>
  <si>
    <t>A combined educational program in internal medicine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</si>
  <si>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Medicine/Pediatrics Combined Specialty Program.</t>
  </si>
  <si>
    <t>A combined educational program in internal medicine and pediatrics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</si>
  <si>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Medicine/Preventive Medicine Combined Specialty Program.</t>
  </si>
  <si>
    <t>A combined educational program in internal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</si>
  <si>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Medicine/Psychiatry Combined Specialty Program.</t>
  </si>
  <si>
    <t>A combined educational program in internal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</si>
  <si>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Medical Genetics and Genomics/Maternal-Fetal Medicine Combined Specialty Program.</t>
  </si>
  <si>
    <t>A combined educational program in medical genetics and genomics and maternal-fetal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</si>
  <si>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Pediatrics/Anesthesiology Combined Specialty Program.</t>
  </si>
  <si>
    <t>A combined educational program in pediatrics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</si>
  <si>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Pediatrics/Emergency Medicine Combined Specialty Program.</t>
  </si>
  <si>
    <t>A combined educational program in pediatrics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</si>
  <si>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Pediatrics/Medical Genetics and Genomics Combined Specialty Program.</t>
  </si>
  <si>
    <t>A combined educational program in pediatrics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</si>
  <si>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Pediatrics/Physical Medicine &amp; Rehabilitation Combined Specialty Program.</t>
  </si>
  <si>
    <t>A combined educational program in pediatrics and physical medicine and rehabilitation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</si>
  <si>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Pediatrics/Psychology/Child-Adolescent Psychology Combined Specialty Program.</t>
  </si>
  <si>
    <t>A combined educational program in pediatrics, psychology, and child-adolescent psychology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</si>
  <si>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Psychiatry/Neurology Combined Specialty Program.</t>
  </si>
  <si>
    <t>A combined educational program in psychiatry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</si>
  <si>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Reproductive Endocrinology and Infertility/Medical Genetics and Genomics Combined Specialty Program.</t>
  </si>
  <si>
    <t>A combined educational program in reproductive endocrinology and infertility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</si>
  <si>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Combined Medical Residency/Fellowship Programs, Other.</t>
  </si>
  <si>
    <t>Any combined medical residency or fellowship program not listed above.</t>
  </si>
  <si>
    <t>Multiple-Pathway Medical Fellowship Programs.</t>
  </si>
  <si>
    <t>Instructional content for this group of programs is defined in codes 61.0202 - 61.0299.</t>
  </si>
  <si>
    <t>Critical Care Medicine Fellowship Program.</t>
  </si>
  <si>
    <t>A fellowship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residency program in anesthesiology, internal medicine, or obstetrics and gynecology. Note: critical care anesthesiology is no longer a medical subspecialty, but anesthesiologists may complete a subspecialty in critical care medicine. This CIP code is not valid for IPEDS reporting.</t>
  </si>
  <si>
    <t>Geriatric Medicine Fellowship Program.</t>
  </si>
  <si>
    <t>A fellowship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residency program in family medicine or internal medicine. This CIP code is not valid for IPEDS reporting.</t>
  </si>
  <si>
    <t>Health Policy Fellowship Program.</t>
  </si>
  <si>
    <t>A fellowship training program that prepares physicians to effect change within the health care system and advocate for the practice of medicine to ultimately shape the future health care landscape on both local and national levels. Requires prior completion of an accredited medical residency program. This CIP code is not valid for IPEDS reporting.</t>
  </si>
  <si>
    <t>Hospice and Palliative Medicine Fellowship Program.</t>
  </si>
  <si>
    <t>A fellowship training program that prepares physicians to prevent and relieve the suffering experienced by patients with life-limiting illnesses and to maximize the quality of life while addressing the physical, psychological, social, and spiritual needs of both patient and family throughout the course of the disease, including through the dying process and subsequent family grieving. Requires prior completion of a residency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</si>
  <si>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Integrative Medicine Fellowship Program.</t>
  </si>
  <si>
    <t>A fellowship training program that prepares physicians to practice medicine in a way that reaffirms the importance of the relationship between practitioner and patient; focuses on the whole person; is informed by evidence; and makes use of all appropriate therapeutic approaches, healthcare professionals, and disciplines to achieve optimal health and healing. Requires prior completion of an accredited medical residency program. This CIP code is not valid for IPEDS reporting.</t>
  </si>
  <si>
    <t>Medical Education Fellowship Program.</t>
  </si>
  <si>
    <t>A fellowship training program that prepares physicians to teach deliver, design, and evaluate courses and curricula for medical students, residents, and faculty. Requires prior completion of an accredited medical residency program. This CIP code is not valid for IPEDS reporting.</t>
  </si>
  <si>
    <t>Medical Toxicology Fellowship Program.</t>
  </si>
  <si>
    <t>A fellowship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residency program in emergency medicine, pediatrics, or preventive medicine. This CIP code is not valid for IPEDS reporting.</t>
  </si>
  <si>
    <t>Neuromuscular Medicine Fellowship Program.</t>
  </si>
  <si>
    <t>A fellowship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residency program in neurology, child neurology, or physical medicine and rehabilitation. This CIP code is not valid for IPEDS reporting.</t>
  </si>
  <si>
    <t>Pain Medicine Fellowship Program.</t>
  </si>
  <si>
    <t>A fellowship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residency program in anesthesiology, neurology, child neurology, physical medicine and rehabilitation, or psychiatry. This CIP code is not valid for IPEDS reporting.</t>
  </si>
  <si>
    <t>Simulation Fellowship Program.</t>
  </si>
  <si>
    <t>A fellowship training program that prepares physicians to develop, implement, manage, and assess healthcare simulation-based activities and programs. Requires prior completion of an accredited medical residency program. This CIP code is not valid for IPEDS reporting.</t>
  </si>
  <si>
    <t>Sleep Medicine Fellowship Program.</t>
  </si>
  <si>
    <t>A fellowship training program that prepares physicians in the diagnosis and management of clinical conditions that occur during sleep, that disturb sleep, or that are affected by disturbances in the wake-sleep cycle; in the analysis and interpretation of comprehensive polysomnography; and in the management of a sleep laboratory. Requires prior completion of a residency program in family medicine, internal medicine, neurology, child neurology, otolaryngology, pediatrics, or psychiatry. This CIP code is not valid for IPEDS reporting.</t>
  </si>
  <si>
    <t>Sports Medicine Fellowship Program.</t>
  </si>
  <si>
    <t>A fellowship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residency program in emergency medicine, family medicine, internal medicine, orthopedic surgery, pediatrics, or physical medicine and rehabilitation. This CIP code is not valid for IPEDS reporting.</t>
  </si>
  <si>
    <t>Surgery of the Hand Fellowship Program.</t>
  </si>
  <si>
    <t>A fellowship training program that prepares physicians in the investigation, preservation, and restoration by medical, surgical or physical methods of all structures of the upper extremity which directly affect the form and function of the limb, wrist, and hand. Requires prior completion of a residency program in orthopedic surgery, plastic surgery, or general surgery. This CIP code is not valid for IPEDS reporting.</t>
  </si>
  <si>
    <t>Telemedicine Fellowship Program.</t>
  </si>
  <si>
    <t>A fellowship training program that prepares physicians to bring together technology and clinical medicine to enhance the overall delivery of medical care. Requires prior completion of an accredited medical residency program. This CIP code is not valid for IPEDS reporting.</t>
  </si>
  <si>
    <t>Undersea and Hyperbaric Medicine Fellowship Program.</t>
  </si>
  <si>
    <t>A fellowship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residency program in emergency medicine or preventive medicine. This CIP code is not valid for IPEDS reporting.</t>
  </si>
  <si>
    <t>Wilderness Medicine Fellowship Program.</t>
  </si>
  <si>
    <t>A fellowship training program that prepares physicians to practice medicine with limited resources in austere environments or to provide healthcare anywhere in which environmental conditions have physiologic insult to a patient. Requires prior completion of a medical residency program. This CIP code is not valid for IPEDS reporting.</t>
  </si>
  <si>
    <t>Women's Health Fellowship Program.</t>
  </si>
  <si>
    <t>A fellowship training program that prepares physicians to provide high-quality and culturally competent reproductive and gynecologic care to women, and to understand the interactions of biological, societal, behavioral, political, and environmental issues on the overall health of women. Requires prior completion of a residency program in emergency medicine, internal medicine, obstetrics-gynecology, or psychiatry. This CIP code is not valid for IPEDS reporting.</t>
  </si>
  <si>
    <t>Multiple-Pathway Medical Fellowship Programs, Other.</t>
  </si>
  <si>
    <t>Any multiple-pathway medical fellowship program not listed above.</t>
  </si>
  <si>
    <t>Allergy and Immunology Residency/Fellowship Programs.</t>
  </si>
  <si>
    <t>Instructional content for this group of programs is defined in codes 61.0301 - 61.0399.</t>
  </si>
  <si>
    <t>Allergy and Immunology Fellowship Program.</t>
  </si>
  <si>
    <t>A fellowship training program that prepares physicians in the delivery of skilled medical care to patients suffering from allergic, asthmatic, and immunologic diseases. Requires completion of a prior residency program in internal medicine or pediatrics. This CIP code is not valid for IPEDS reporting.</t>
  </si>
  <si>
    <t>Allergy and Immunology Residency/Fellowship Programs, Other.</t>
  </si>
  <si>
    <t>Any residency or fellowship in allergy or immunology not listed above.</t>
  </si>
  <si>
    <t>Anesthesiology Residency/Fellowship Programs.</t>
  </si>
  <si>
    <t>Instructional content for this group of programs is defined in codes 61.0401 - 61.0499.</t>
  </si>
  <si>
    <t>Anesthesiology Residency Program.</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</si>
  <si>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</si>
  <si>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Anesthesiology Residency/Fellowship Programs, Other.</t>
  </si>
  <si>
    <t>Any residency or fellowship program in anesthesiology not listed above.</t>
  </si>
  <si>
    <t>Dermatology Residency/Fellowship Programs.</t>
  </si>
  <si>
    <t>Instructional content for this group of programs is defined in codes 61.0501 - 61.0599.</t>
  </si>
  <si>
    <t>Dermatology Residency Program.</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</si>
  <si>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</si>
  <si>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Dermatopathology Fellowship Program.</t>
  </si>
  <si>
    <t>A fellowship training program that prepares physicians in the clinical and microscopic diagnosis and analysis of skin diseases and disorders.  Includes instruction in laboratory administration and the supervision and training of support personnel.  Requires prior completion of a residency program in dermatology. This CIP code is not valid for IPEDS reporting.</t>
  </si>
  <si>
    <t>Pediatric Dermatology Fellowship Program.</t>
  </si>
  <si>
    <t>A fellowship training program that prepares physicians in the treatment of specific skin disease categories, with emphasis on those diseases which predominate in infants, children, and adolescents. Requires prior completion of a residency program in dermatology. This CIP code is not valid for IPEDS reporting.</t>
  </si>
  <si>
    <t>Dermatology Residency/Fellowship Programs, Other.</t>
  </si>
  <si>
    <t>Any residency or fellowship program in dermatology not listed above.</t>
  </si>
  <si>
    <t>Emergency Medicine Residency/Fellowship Programs.</t>
  </si>
  <si>
    <t>Instructional content for this group of programs is defined in codes 61.0601 - 61.0699.</t>
  </si>
  <si>
    <t>Emergency Medicine Residency Program.</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</si>
  <si>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</si>
  <si>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Disaster Medicine Fellowship Program.</t>
  </si>
  <si>
    <t>A fellowship training program that prepares physicians to provide care for the victims of natural and man-made disasters with specific consideration given to timeliness and availability of resources. Includes instruction in emergency medicine and its associated acute care specialties, public health, emergency management, humanitarian services, and prehospital emergency medical services (EMS). Requires prior completion of a residency program in emergency medicine. This CIP code is not valid for IPEDS reporting.</t>
  </si>
  <si>
    <t>Emergency Medical Services Fellowship Program.</t>
  </si>
  <si>
    <t>A fellowship training program that prepares physicians in the leadership and medical oversight of pre- and out-of-hospital emergency care systems with advanced competencies in Emergency Medical System (EMS) system design, administration, and clinical care. Includes instruction in clinical aspects of EMS, medical oversight of EMS, mass casualty management,  disaster planning and operations, wilderness EMS systems, and quality management and research. Requires prior completion of a residency program in emergency medicine. This CIP code is not valid for IPEDS reporting.</t>
  </si>
  <si>
    <t>Emergency Medicine Residency/Fellowship Programs, Other.</t>
  </si>
  <si>
    <t>Any residency or fellowship program in emergency medicine not listed above.</t>
  </si>
  <si>
    <t>Family Medicine Residency/Fellowship Programs.</t>
  </si>
  <si>
    <t>Instructional content for this group of programs is defined in codes 61.0701 - 61.0799.</t>
  </si>
  <si>
    <t>Family Medicine Residency Program.</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</si>
  <si>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</si>
  <si>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Family Medicine Residency/Fellowship Programs, Other.</t>
  </si>
  <si>
    <t>Any residency or fellowship program in family medicine not listed above.</t>
  </si>
  <si>
    <t>Internal Medicine Residency/Fellowship Programs.</t>
  </si>
  <si>
    <t>Instructional content for this group of programs is defined in codes 61.0801 - 61.0899.</t>
  </si>
  <si>
    <t>Internal Medicine Residency Program.</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</si>
  <si>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</si>
  <si>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Cardiovascular Disease Fellowship Program.</t>
  </si>
  <si>
    <t>A fellowship training program that prepares physicians to specialize in diseases of the heart and blood vessels and to manage complex cardiac conditions such as heart attacks and life-threatening, abnormal heartbeat rhythms. Requires prior completion of a residency program in internal medicine. This CIP code is not valid for IPEDS reporting.</t>
  </si>
  <si>
    <t>Clinical Cardiac Electrophysiology Fellowship Program.</t>
  </si>
  <si>
    <t>A fellowship training program, within the subspecialty of cardiovascular disease, which prepares physicians in intricate technical procedures to evaluate heart rhythms and determine appropriate treatment. Requires prior completion of a residency program in internal medicine. This CIP code is not valid for IPEDS reporting.</t>
  </si>
  <si>
    <t>Endocrinology, Diabetes, and Metabolism Fellowship Program.</t>
  </si>
  <si>
    <t>A fellowship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residency program in internal medicine. This CIP code is not valid for IPEDS reporting.</t>
  </si>
  <si>
    <t>Gastroenterology Fellowship Program.</t>
  </si>
  <si>
    <t>A fellowship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residency program in internal medicine. This CIP code is not valid for IPEDS reporting.</t>
  </si>
  <si>
    <t>Hematology Fellowship Program.</t>
  </si>
  <si>
    <t>A fellowship training program that prepares physicians in the mechanisms and therapy of diseases of the blood, bone marrow, spleen, and lymph, including patient management, diagnostic tests, biopsies, and other procedures. Requires prior completion of a residency program in internal medicine or pathology. This CIP code is not valid for IPEDS reporting.</t>
  </si>
  <si>
    <t>Hematology-Oncology Fellowship Program.</t>
  </si>
  <si>
    <t>A fellowship training program that prepares physicians in the diagnosis and treatment of cancer, benign and malignant tumors, and diseases of the blood, bone marrow, spleen, and lymph. Requires prior completion of a residency program in internal medicine. This CIP code is not valid for IPEDS reporting.</t>
  </si>
  <si>
    <t>Infectious Disease Fellowship Program.</t>
  </si>
  <si>
    <t>A fellowship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residency program in internal medicine. This CIP code is not valid for IPEDS reporting.</t>
  </si>
  <si>
    <t>Interventional Cardiology Fellowship Program.</t>
  </si>
  <si>
    <t>A fellowship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residency program in internal medicine. This CIP code is not valid for IPEDS reporting.</t>
  </si>
  <si>
    <t>Nephrology Fellowship Program.</t>
  </si>
  <si>
    <t>A fellowship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residency program in internal medicine. This CIP code is not valid for IPEDS reporting.</t>
  </si>
  <si>
    <t>Medical Oncology Fellowship Program.</t>
  </si>
  <si>
    <t>A fellowship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residency program in internal medicine. This CIP code is not valid for IPEDS reporting.</t>
  </si>
  <si>
    <t>Pulmonary Disease Fellowship Program.</t>
  </si>
  <si>
    <t>A fellowship training program that prepares physicians in pulmonary physiology and the treatment of lung diseases, pulmonary malignancies, related vascular diseases, respiratory disorders, diagnostic and therapeutic procedures, and pulmonary pathology. Requires prior completion of a residency program in internal medicine. This CIP code is not valid for IPEDS reporting.</t>
  </si>
  <si>
    <t>Rheumatology Fellowship Program.</t>
  </si>
  <si>
    <t>A fellowship training program that prepares physicians in the diagnosis and treatment of patients with acute and chronic rheumatic diseases, diffuse connective tissue diseases, systemic and metabolic diseases and infections and complications following surgery. Requires prior completion of a residency program in internal medicine. This CIP code is not valid for IPEDS reporting.</t>
  </si>
  <si>
    <t>Transplant Hepatology Fellowship Program.</t>
  </si>
  <si>
    <t>A fellowship training program that prepares physicians with special knowledge and the skill required of a gastroenterologist to care for patients prior to and following hepatic transplantation that spans all phases of liver transplantation. Requires prior completion of a residency program in internal medicine. This CIP code is not valid for IPEDS reporting.</t>
  </si>
  <si>
    <t>Internal Medicine Residency/Fellowship Programs, Other.</t>
  </si>
  <si>
    <t>Any residency or fellowship program in internal medicine not listed above.</t>
  </si>
  <si>
    <t>Medical Genetics and Genomics Residency/Fellowship Programs.</t>
  </si>
  <si>
    <t>Instructional content for this group of programs is defined in codes 61.0901 - 61.0999.</t>
  </si>
  <si>
    <t>Clinical Biochemical Genetics Residency Program.</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</si>
  <si>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three general certificates in the area of medical genetics. This CIP code is not valid for IPEDS reporting.</t>
  </si>
  <si>
    <t>Clinical Genetics and Genomics Residency Program.</t>
  </si>
  <si>
    <t>A residency training program that prepares physicians to provide comprehensive diagnostic, management, and counseling services for individuals and families at risk for clinical disorders with a genetic basis. One of three general certificates in the area of medical genetics. This CIP code is not valid for IPEDS reporting.</t>
  </si>
  <si>
    <t>Laboratory Genetics and Genomics Residency Program.</t>
  </si>
  <si>
    <t>A residency training program that prepares physicians to direct and interpret both clinical cytogenetic and molecular genetic analyses relevant to the diagnosis and management of human genetic diseases. One of three general certificates in the area of medical genetics. This CIP code is not valid for IPEDS reporting.</t>
  </si>
  <si>
    <t>Medical Biochemical Genetics Residency Program.</t>
  </si>
  <si>
    <t>A residency training program that prepares physicians in the diagnosis and medical management of individuals with inborn errors of metabolism, including the provision of direct care and consultative care for individuals of all ages. Requires prior completion of a residency program in medical genetics. This CIP code is not valid for IPEDS reporting.</t>
  </si>
  <si>
    <t>Medical Genetics and Genomics Residency/Fellowship Programs, Other.</t>
  </si>
  <si>
    <t>Any residency or fellowship program in medical genetics and genomics not listed above.</t>
  </si>
  <si>
    <t>Neurological Surgery Residency/Fellowship Programs.</t>
  </si>
  <si>
    <t>Instructional content for this group of programs is defined in codes 61.1001 - 61.1099.</t>
  </si>
  <si>
    <t>Neurological Surgery Residency Program.</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</si>
  <si>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</si>
  <si>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Neurological Surgery Residency/Fellowship Programs, Other.</t>
  </si>
  <si>
    <t>Any residency or fellowship program in neurological surgery not listed above.</t>
  </si>
  <si>
    <t>Neurology Residency/Fellowship Programs.</t>
  </si>
  <si>
    <t>Instructional content for this group of programs is defined in codes 61.1101 - 61.1199.</t>
  </si>
  <si>
    <t>Neurology Residency Program.</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</si>
  <si>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</si>
  <si>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Child Neurology Residency Program.</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</si>
  <si>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</si>
  <si>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Clinical Neurophysiology Fellowship Program.</t>
  </si>
  <si>
    <t>A fellowship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residency program in neurology, child neurology, or psychiatry. This CIP code is not valid for IPEDS reporting.</t>
  </si>
  <si>
    <t>Epilepsy Fellowship Program.</t>
  </si>
  <si>
    <t>A fellowship training program that prepares physicians in the diagnosis and treatment of patients with epileptic seizures or with symptoms and signs whose differential diagnosis includes epileptic seizures. Requires prior completion of a residency program in neurology. This CIP code is not valid for IPEDS reporting.</t>
  </si>
  <si>
    <t>Headache Medicine Fellowship Program.</t>
  </si>
  <si>
    <t>A fellowship training program that prepares physicians in the diagnosis, treatment, and research of headache and related disorders. Requires prior completion of a residency program in neurology. This CIP code is not valid for IPEDS reporting.</t>
  </si>
  <si>
    <t>Neurodevelopmental Disabilities Fellowship Program.</t>
  </si>
  <si>
    <t>A fellowship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residency program in neurology, child neurology, or pediatrics. This CIP code is not valid for IPEDS reporting.</t>
  </si>
  <si>
    <t>Vascular Neurology Fellowship Program.</t>
  </si>
  <si>
    <t>A fellowship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residency program in neurology or child neurology. This CIP code is not valid for IPEDS reporting.</t>
  </si>
  <si>
    <t>Neurology Residency/Fellowship Programs, Other.</t>
  </si>
  <si>
    <t>Any residency or fellowship program in neurology not listed above.</t>
  </si>
  <si>
    <t>Nuclear Medicine Residency/Fellowship Programs.</t>
  </si>
  <si>
    <t>Instructional content for this group of programs is defined in codes 61.1201 - 61.1299.</t>
  </si>
  <si>
    <t>Nuclear Medicine Residency Program.</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</si>
  <si>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</si>
  <si>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Nuclear Medicine Residency/Fellowship Programs, Other.</t>
  </si>
  <si>
    <t>Any residency or fellowship program in nuclear medicine not listed above.</t>
  </si>
  <si>
    <t>Obstetrics and Gynecology Residency/Fellowship Programs.</t>
  </si>
  <si>
    <t>Instructional content for this group of programs is defined in codes 61.1301 - 61.1399.</t>
  </si>
  <si>
    <t>Obstetrics and Gynecology Residency Program.</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</si>
  <si>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</si>
  <si>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Gynecologic Oncology Fellowship Program.</t>
  </si>
  <si>
    <t>A fellowship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residency program in obstetrics and gynecology. This CIP code is not valid for IPEDS reporting.</t>
  </si>
  <si>
    <t>Maternal and Fetal Medicine Fellowship Program.</t>
  </si>
  <si>
    <t>A fellowship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residency program in obstetrics and gynecology. This CIP code is not valid for IPEDS reporting.</t>
  </si>
  <si>
    <t>Reproductive Endocrinology/Infertility Fellowship Program.</t>
  </si>
  <si>
    <t>A fellowship training program that prepares physicians to manage complex problems relating to reproductive endocrinology and infertility. Requires prior completion of a residency program in obstetrics and gynecology. This CIP code is not valid for IPEDS reporting.</t>
  </si>
  <si>
    <t>Obstetrics and Gynecology Residency/Fellowship Programs, Other.</t>
  </si>
  <si>
    <t>Any residency or fellowship program in obstetrics and gynecology not listed above.</t>
  </si>
  <si>
    <t>Ophthalmology Residency/Fellowship Programs.</t>
  </si>
  <si>
    <t>Instructional content for this group of programs is defined in codes 61.1401 - 61.1499.</t>
  </si>
  <si>
    <t>Ophthalmology Residency Program.</t>
  </si>
  <si>
    <t>A residency training program that prepares physicians in the diagnosis, prevention treatment of ophthalmic diseases and disorders, and ocular pathology procedures.  Includes instruction in eye surgery. This CIP code is not valid for IPEDS reporting.</t>
  </si>
  <si>
    <t>Ophthalmology Residency/Fellowship Programs, Other.</t>
  </si>
  <si>
    <t>Any residency or fellowship program in ophthalmology not listed above.</t>
  </si>
  <si>
    <t>Orthopedic Surgery Residency/Fellowship Programs.</t>
  </si>
  <si>
    <t>Instructional content for this group of programs is defined in codes 61.1501 - 61.1599.</t>
  </si>
  <si>
    <t>Orthopedic Surgery Residency Program.</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</si>
  <si>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</si>
  <si>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Musculoskeletal Oncology Fellowship Program.</t>
  </si>
  <si>
    <t>A fellowship training program that prepares physicians in the diagnosis and treatment of musculoskeletal neoplasm, and the application of cancer therapy regimes. This CIP code is not valid for IPEDS reporting.</t>
  </si>
  <si>
    <t>Orthopedic Sports Medicine Fellowship Program.</t>
  </si>
  <si>
    <t>A fellowship training program that prepares physicians to prevent and manage athletic injuries and to provide appropriate care for all structures of the musculoskeletal system directly affected by participation in sporting activity. Requires prior completion of a residency program in orthopedic surgery. This CIP code is not valid for IPEDS reporting.</t>
  </si>
  <si>
    <t>Orthopedic Surgery of the Spine Fellowship Program.</t>
  </si>
  <si>
    <t>A fellowship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</si>
  <si>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Pediatric Orthopedics Fellowship Program.</t>
  </si>
  <si>
    <t>A fellowship training program that prepares physicians in the diagnosis, surgical and non-surgical treatment, and management of musculoskeletal diseases, abnormalities and trauma in infants, children, and adolescents.  Requires prior completion of a residency program in orthopedic surgery. This CIP code is not valid for IPEDS reporting.</t>
  </si>
  <si>
    <t>Orthopedic Surgery Residency/Fellowship Programs, Other.</t>
  </si>
  <si>
    <t>Any residency or fellowship program in orthopedic surgery not listed above.</t>
  </si>
  <si>
    <t>Osteopathic Medicine Residency/Fellowship Programs.</t>
  </si>
  <si>
    <t>Instructional content for this group of programs is defined in codes 61.1601 - 61.1699.</t>
  </si>
  <si>
    <t>Osteopathic Neuromusculoskeletal Medicine Residency Program.</t>
  </si>
  <si>
    <t>A residency training program that prepares osteopathic (DO) physicians to perform osteopathic neuromusculoskeletal diagnosis and perform Osteopathic Manipulative Treatment (OMT). This CIP code is not valid for IPEDS reporting.</t>
  </si>
  <si>
    <t>Osteopathic Medicine Residency/Fellowship Programs, Other.</t>
  </si>
  <si>
    <t>Any residency or fellowship program in osteopathic medicine not listed above.</t>
  </si>
  <si>
    <t>Otolaryngology Residency/Fellowship Programs.</t>
  </si>
  <si>
    <t>Instructional content for this group of programs is defined in codes 61.1701 - 61.1799.</t>
  </si>
  <si>
    <t>Otolaryngology Residency Program.</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</si>
  <si>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</si>
  <si>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Neurotology Fellowship Program.</t>
  </si>
  <si>
    <t>A fellowship training program that prepares physicians to treat diseases of the ear and temporal bone, including disorders of hearing and balance. Requires prior completion of a residency program in otolaryngology. This CIP code is not valid for IPEDS reporting.</t>
  </si>
  <si>
    <t>Pediatric Otolaryngology Fellowship Program.</t>
  </si>
  <si>
    <t>A fellowship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residency program in otolaryngology. This CIP code is not valid for IPEDS reporting.</t>
  </si>
  <si>
    <t>Otolaryngology Residency/Fellowship Programs, Other.</t>
  </si>
  <si>
    <t>Any residency or fellowship program in otolaryngology not listed above.</t>
  </si>
  <si>
    <t>Pathology Residency/Fellowship Programs.</t>
  </si>
  <si>
    <t>Instructional content for this group of programs is defined in codes 61.1801 - 61.1899.</t>
  </si>
  <si>
    <t>Combined Anatomic and Clinical 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</si>
  <si>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</si>
  <si>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Anatomic Pathology Residency Program.</t>
  </si>
  <si>
    <t>A residency training program that prepares physicians in the diagnosis of disease and anatomic abnormalities. Includes instruction in autopsy pathology, cytology, diagnostic surgical pathology, forensic medicine, laboratory management, and quality control. This CIP code is not valid for IPEDS reporting.</t>
  </si>
  <si>
    <t>Clinical Pathology Residency Program.</t>
  </si>
  <si>
    <t>A residency training program that prepares physicians in the clinical laboratory analysis and diagnosis of disease. Includes instruction in performing clinical chemistry, cytogenetics, immunology, laboratory management, microbiology, molecular biology, quality control, serology, toxicology, and virology. This CIP code is not valid for IPEDS reporting.</t>
  </si>
  <si>
    <t>Blood Banking/Transfusion Medicine Fellowship Program.</t>
  </si>
  <si>
    <t>A fellowship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residency program in pathology. This CIP code is not valid for IPEDS reporting.</t>
  </si>
  <si>
    <t>Chemical Pathology Fellowship Program.</t>
  </si>
  <si>
    <t>A fellowship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residency program in medical pathology. This CIP code is not valid for IPEDS reporting.</t>
  </si>
  <si>
    <t>Cytopathology Fellowship Program.</t>
  </si>
  <si>
    <t>A fellowship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residency program in pathology. This CIP code is not valid for IPEDS reporting.</t>
  </si>
  <si>
    <t>Forensic Pathology Fellowship Program.</t>
  </si>
  <si>
    <t>A fellowship training program that prepares physicians in the performance of medical autopsies, the analysis of human remains and crime scenes, and the legal follow-up and responsibilities of public pathologists.  Requires prior completion of a residency program in pathology. This CIP code is not valid for IPEDS reporting.</t>
  </si>
  <si>
    <t>Hematological Pathology Fellowship Program.</t>
  </si>
  <si>
    <t>A fellowship training program that prepares physicians in the laboratory and analytical procedures for studying all facets of hematologic and coagulation disorders.  Includes instruction in the management of hematology laboratories. Requires prior completion of a residency program in pathology. This CIP code is not valid for IPEDS reporting.</t>
  </si>
  <si>
    <t>Immunopathology Fellowship Program.</t>
  </si>
  <si>
    <t>A fellowship training program that prepares physicians in the diagnosis, treatment and laboratory management of immunologic diseases. Includes instruction in diagnostic surgical pathology, management of organ transplantation and immunotherapy.  Requires prior completion of a residency program in pathology. This CIP code is not valid for IPEDS reporting.</t>
  </si>
  <si>
    <t>Laboratory Medicine Fellowship Program.</t>
  </si>
  <si>
    <t>A fellowship training program that prepares physicians in the principles and practices of applied medical research and related techniques, equipment, data systems, and research design. Includes instruction in the management of medical laboratories in research and healthcare facilities. This CIP code is not valid for IPEDS reporting.</t>
  </si>
  <si>
    <t>Medical Microbiology Fellowship Program.</t>
  </si>
  <si>
    <t>A fellowship training program that prepares physicians in the isolation and identification of microbial agents that cause infectious disease, including viruses, bacteria, fungi, and parasites. Requires prior completion of a residency program in pathology. This CIP code is not valid for IPEDS reporting.</t>
  </si>
  <si>
    <t>Molecular Genetic Pathology Fellowship Program.</t>
  </si>
  <si>
    <t>A fellowship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residency program in medical genetics or pathology. This CIP code is not valid for IPEDS reporting.</t>
  </si>
  <si>
    <t>Neuropathology Fellowship Program.</t>
  </si>
  <si>
    <t>A fellowship training program that prepares physicians in the laboratory analysis of nerve tissues and the clinical diagnosis of neurological and neuromuscular diseases.  Includes instruction in nerve biopsies and necropsies.  Requires prior completion of a residency program in pathology. This CIP code is not valid for IPEDS reporting.</t>
  </si>
  <si>
    <t>Pediatric Pathology Fellowship Program.</t>
  </si>
  <si>
    <t>A fellowship training program that prepares physicians in the laboratory diagnosis of diseases that occur during fetal growth, infancy, and child development, based on knowledge of general pathology, normal growth and development, and pediatric medicine. Requires prior completion of a residency program in pathology. This CIP code is not valid for IPEDS reporting.</t>
  </si>
  <si>
    <t>Radioisotopic Pathology Fellowship Program.</t>
  </si>
  <si>
    <t>A fellowship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Requires prior completion of a residency program in pathology. This CIP code is not valid for IPEDS reporting.</t>
  </si>
  <si>
    <t>Pathology Residency/Fellowship Programs, Other.</t>
  </si>
  <si>
    <t>Any residency or fellowship program in pathology not listed above.</t>
  </si>
  <si>
    <t>Pediatrics Residency/Fellowship Programs.</t>
  </si>
  <si>
    <t>Instructional content for this group of programs is defined in codes 61.1901 - 61.1999.</t>
  </si>
  <si>
    <t>Pediatrics Residency Program.</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</si>
  <si>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</si>
  <si>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Adolescent Medicine Fellowship Program.</t>
  </si>
  <si>
    <t>A fellowship training program that prepares physicians in the unique physical, psychological, and social characteristics of adolescents and their healthcare problems and needs. Requires prior completion of a residency program in family medicine, internal medicine, or pediatrics. This CIP code is not valid for IPEDS reporting.</t>
  </si>
  <si>
    <t>Child Abuse Pediatrics Fellowship Program.</t>
  </si>
  <si>
    <t>A fellowship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residency program in pediatrics. This CIP code is not valid for IPEDS reporting.</t>
  </si>
  <si>
    <t>Developmental-Behavioral Pediatrics Fellowship Program.</t>
  </si>
  <si>
    <t>A fellowship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residency program in pediatrics. This CIP code is not valid for IPEDS reporting.</t>
  </si>
  <si>
    <t>Neonatal-Perinatal Medicine Fellowship Program.</t>
  </si>
  <si>
    <t>A fellowship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residency program in pediatrics. This CIP code is not valid for IPEDS reporting.</t>
  </si>
  <si>
    <t>Pediatric Cardiology Fellowship Program.</t>
  </si>
  <si>
    <t>A fellowship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residency program in pediatrics. This CIP code is not valid for IPEDS reporting.</t>
  </si>
  <si>
    <t>Pediatric Critical Care Medicine Fellowship Program.</t>
  </si>
  <si>
    <t>A fellowship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residency program in pediatrics. This CIP code is not valid for IPEDS reporting.</t>
  </si>
  <si>
    <t>Pediatric Emergency Medicine Fellowship Program.</t>
  </si>
  <si>
    <t>A fellowship training program that prepares physicians to manage emergencies in infants and children. Requires prior completion of a residency program in emergency medicine or pediatrics. This CIP code is not valid for IPEDS reporting.</t>
  </si>
  <si>
    <t>Pediatric Endocrinology Fellowship Program.</t>
  </si>
  <si>
    <t>A fellowship training program that prepares physicians in the diagnosis and management of endocrine diseases and the regulation of hormone balance in childhood and adolescence.  Requires prior completion of a residency program in pediatrics. This CIP code is not valid for IPEDS reporting.</t>
  </si>
  <si>
    <t>Pediatric Gastroenterology Fellowship Program.</t>
  </si>
  <si>
    <t>A fellowship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residency program in pediatrics. This CIP code is not valid for IPEDS reporting.</t>
  </si>
  <si>
    <t>Pediatric Hematology-Oncology Fellowship Program.</t>
  </si>
  <si>
    <t>A fellowship training program that prepares physicians in the diagnosis and management of hematologic disorders and malignant diseases, including blood and bone marrow function, in infancy, childhood, and adolescence. Requires prior completion of a residency program in pediatrics. This CIP code is not valid for IPEDS reporting.</t>
  </si>
  <si>
    <t>Pediatric Infectious Diseases Fellowship Program.</t>
  </si>
  <si>
    <t>A fellowship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residency program in pediatrics. This CIP code is not valid for IPEDS reporting.</t>
  </si>
  <si>
    <t>Pediatric Nephrology Fellowship Program.</t>
  </si>
  <si>
    <t>A fellowship training program that prepares physicians in the diagnosis and management of infants, children, and adolescents with renal and genito-urinary problems, hypertension and disorders of body fluid physiology.  Requires prior completion of a residency program in pediatrics. This CIP code is not valid for IPEDS reporting.</t>
  </si>
  <si>
    <t>Pediatric Pulmonology Fellowship Program.</t>
  </si>
  <si>
    <t>A fellowship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residency program in pediatrics. This CIP code is not valid for IPEDS reporting.</t>
  </si>
  <si>
    <t>Pediatric Rheumatology Fellowship Program.</t>
  </si>
  <si>
    <t>A fellowship training program that prepares physicians to diagnose and treat diseases of joints, muscle, bones, and tendons in children and young adults, including arthritis, back pain, muscle strains, common athletic injuries, and collagen diseases. Requires prior completion of a residency program in pediatrics. This CIP code is not valid for IPEDS reporting.</t>
  </si>
  <si>
    <t>Pediatric Transplant Hepatology Fellowship Program.</t>
  </si>
  <si>
    <t>A fellowship training program that prepares physicians with special knowledge, skill, and expertise required of pediatric gastroenterologists to care for children and young adults prior to and following hepatic transplantation. Requires prior completion of a residency program in pediatrics. This CIP code is not valid for IPEDS reporting.</t>
  </si>
  <si>
    <t>Pediatrics Residency/Fellowship Programs, Other.</t>
  </si>
  <si>
    <t>Any residency or fellowship program in pediatrics not listed above.</t>
  </si>
  <si>
    <t>Physical Medicine and Rehabilitation Residency/Fellowship Programs.</t>
  </si>
  <si>
    <t>Instructional content for this group of programs is defined in codes 61.2001 - 61.2099.</t>
  </si>
  <si>
    <t>Physical Medicine and Rehabilitation Residency Program.</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</si>
  <si>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</si>
  <si>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Spinal Cord Injury Medicine Fellowship Program.</t>
  </si>
  <si>
    <t>A fellowship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residency program in physical medicine and rehabilitation. This CIP code is not valid for IPEDS reporting.</t>
  </si>
  <si>
    <t>Pediatric Rehabilitation Medicine Fellowship Program.</t>
  </si>
  <si>
    <t>A fellowship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residency program in physical medicine and rehabilitation. This CIP code is not valid for IPEDS reporting.</t>
  </si>
  <si>
    <t>Physical Medicine and Rehabilitation Residency/Fellowship Programs, Other.</t>
  </si>
  <si>
    <t>Any residency or fellowship program in physical medicine and rehabilitation not listed above.</t>
  </si>
  <si>
    <t>Plastic Surgery Residency/Fellowship Programs.</t>
  </si>
  <si>
    <t>Instructional content for this group of programs is defined in codes 61.2101 - 61.2199.</t>
  </si>
  <si>
    <t>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</si>
  <si>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</si>
  <si>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Integrated 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</si>
  <si>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Does NOT require prior completion of a program in general surgery. This CIP code is not valid for IPEDS reporting.</t>
  </si>
  <si>
    <t>Plastic Surgery Within the Head and Neck Fellowship Program.</t>
  </si>
  <si>
    <t>A fellowship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residency program in otolaryngology or plastic surgery. This CIP code is not valid for IPEDS reporting.</t>
  </si>
  <si>
    <t>Plastic Surgery Residency/Fellowship Programs, Other.</t>
  </si>
  <si>
    <t>Any residency or fellowship program in plastic surgery not listed above.</t>
  </si>
  <si>
    <t>Podiatric Medicine Residency/Fellowship Programs.</t>
  </si>
  <si>
    <t>Instructional content for this group of programs is defined in codes 61.2201 - 61.2299.</t>
  </si>
  <si>
    <t>Podiatric Medicine and Surgery Residency Program.</t>
  </si>
  <si>
    <t>A residency training program that prepares podiatrists for primary practice in podiatric healthcare and foot surgery.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</si>
  <si>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Residency/Fellowship Programs, Other.</t>
  </si>
  <si>
    <t>Any residency or fellowship program in podiatric medicine not listed above.</t>
  </si>
  <si>
    <t>Preventive Medicine Residency/Fellowship Programs.</t>
  </si>
  <si>
    <t>Instructional content for this group of programs is defined in codes 61.2301 - 61.2399.</t>
  </si>
  <si>
    <t>Public Health and General Preventive Medicine Residency Program.</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</si>
  <si>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</si>
  <si>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Aerospace Medicine Residency Program.</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</si>
  <si>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</si>
  <si>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Occupational Medicine Residency Program.</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</si>
  <si>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</si>
  <si>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Preventive Medicine Residency/Fellowship Programs, Other.</t>
  </si>
  <si>
    <t>Any residency or fellowship program in preventive medicine not listed above.</t>
  </si>
  <si>
    <t>Psychiatry Residency/Fellowship Programs.</t>
  </si>
  <si>
    <t>Instructional content for this group of programs is defined in codes 61.2401 - 61.2499.</t>
  </si>
  <si>
    <t>Psychiatry Residency Program.</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</si>
  <si>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</si>
  <si>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Addiction Psychiatry Fellowship Program.</t>
  </si>
  <si>
    <t>A fellowship training program that prepares physicians in the evaluation and treatment of individuals with alcohol, drug, or other substance-related disorders, and of individuals with the dual diagnosis of substance-related and other psychiatric disorders. Requires prior completion of a residency program in psychiatry. This CIP code is not valid for IPEDS reporting.</t>
  </si>
  <si>
    <t>Child and Adolescent Psychiatry Fellowship Program.</t>
  </si>
  <si>
    <t>A fellowship training program that prepares physicians in the diagnosis and treatment of developmental, behavioral, emotional, and mental disorders of childhood and adolescence. Requires prior completion of a residency program in psychiatry. This CIP code is not valid for IPEDS reporting.</t>
  </si>
  <si>
    <t>Consultation-Liaison Psychiatry Fellowship Program.</t>
  </si>
  <si>
    <t>A fellowship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residency program in psychiatry. This CIP code is not valid for IPEDS reporting.</t>
  </si>
  <si>
    <t>Forensic Psychiatry Fellowship Program.</t>
  </si>
  <si>
    <t>A fellowship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residency program in psychiatry. This CIP code is not valid for IPEDS reporting.</t>
  </si>
  <si>
    <t>Geriatric Psychiatry Fellowship Program.</t>
  </si>
  <si>
    <t>A fellowship training program that prepares physicians in the prevention, evaluation, diagnosis, and treatment of mental and emotional disorders in the elderly, and to improve the psychiatric care of the elderly both in health and in disease. Requires prior completion of a residency program in psychiatry. This CIP code is not valid for IPEDS reporting.</t>
  </si>
  <si>
    <t>Psychiatry Residency/Fellowship Programs, Other.</t>
  </si>
  <si>
    <t>Any residency or fellowship program in psychiatry not listed above.</t>
  </si>
  <si>
    <t>Radiation Oncology Residency/Fellowship Programs.</t>
  </si>
  <si>
    <t>Instructional content for this group of programs is defined in codes 61.2501 - 61.2599.</t>
  </si>
  <si>
    <t>Radiation Oncology Residency Program.</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</si>
  <si>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</si>
  <si>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Radiation Oncology Residency/Fellowship Programs, Other.</t>
  </si>
  <si>
    <t>Any residency or fellowship program in radiation oncology not listed above.</t>
  </si>
  <si>
    <t>Radiology Residency/Fellowship Programs.</t>
  </si>
  <si>
    <t>Instructional content for this group of programs is defined in codes 61.2601 - 61.2699.</t>
  </si>
  <si>
    <t>Diagnostic Radiology Residency Program.</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</si>
  <si>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</si>
  <si>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Integrated Interventional Radiology Residency Program.</t>
  </si>
  <si>
    <t>A fellowship training program that prepares physicians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Does NOT require prior completion of a residency program in diagnostic radiology. This CIP code is not valid for IPEDS reporting.</t>
  </si>
  <si>
    <t>Abdominal Radiology Fellowship Program.</t>
  </si>
  <si>
    <t>A fellowship training program that prepares diagnostic radiologists in the diagnosis and treatment of disorders of the abdomen and pelvis in adults and children. Requires prior completion of a residency program in diagnostic or interventional radiology. This CIP code is not valid for IPEDS reporting.</t>
  </si>
  <si>
    <t>Diagnostic Radiologic Physics Residency Program.</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</si>
  <si>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</si>
  <si>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Medical Nuclear Physics Residency Program.</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</si>
  <si>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</si>
  <si>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Musculoskeletal Radiology Fellowship Program.</t>
  </si>
  <si>
    <t>A fellowship training program that prepares diagnostic radiologists in the diagnosis and treatment of disorders or injuries of the joints, bones, muscles, and spine in adults and children. Requires prior completion of a residency program in diagnostic or interventional radiology. This CIP code is not valid for IPEDS reporting.</t>
  </si>
  <si>
    <t>Neuroradiology Fellowship Program.</t>
  </si>
  <si>
    <t>A fellowship training program that prepares diagnostic radiologists in the diagnosis and treatment of disorders of the brain, spine, spinal cord, peripheral nerves, and head and neck in adults and children. Requires prior completion of a residency program in diagnostic radiology. This CIP code is not valid for IPEDS reporting.</t>
  </si>
  <si>
    <t>Nuclear Radiology Fellowship Program.</t>
  </si>
  <si>
    <t>A fellowship training program that prepares physicians in the imaging by external detection of radionuclides and/or biodistribution by external detection of radionuclides for diagnosis of disease.  Requires prior partial completion of a residency program in diagnostic radiology. This CIP code is not valid for IPEDS reporting.</t>
  </si>
  <si>
    <t>Pediatric Radiology Fellowship Program.</t>
  </si>
  <si>
    <t>A fellowship training program that prepares physicians in all forms of diagnostic imaging as it pertains to the diagnosis and treatment of diseases in the newborn, infant, child, and adolescent. Requires prior completion of a residency program in diagnostic radiology. This CIP code is not valid for IPEDS reporting.</t>
  </si>
  <si>
    <t>Radiologic Physics Residency Program.</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</si>
  <si>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</si>
  <si>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Therapeutic Radiologic Physics Residency Program.</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</si>
  <si>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</si>
  <si>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Vascular and Interventional Radiology Fellowship Program.</t>
  </si>
  <si>
    <t>A fellowship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residency program in diagnostic radiology. This CIP code is not valid for IPEDS reporting.</t>
  </si>
  <si>
    <t>Radiology Residency/Fellowship Programs, Other.</t>
  </si>
  <si>
    <t>Any medical residency or fellowship in radiology not listed above.</t>
  </si>
  <si>
    <t>Surgery Residency/Fellowship Programs.</t>
  </si>
  <si>
    <t>Instructional content for this group of programs is defined in codes 61.2701 - 61.2799.</t>
  </si>
  <si>
    <t>General Surgery Residency Program.</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</si>
  <si>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</si>
  <si>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Colon and Rectal Surgery Residency Program.</t>
  </si>
  <si>
    <t>A residency training program that prepares physicians in the surgical care of patients with anorectal and colonic diseases.  Also includes instruction in diagnostic and therapeutic colonoscopy.  Requires prior or concurrent completion of a residency program in general surgery. This CIP code is not valid for IPEDS reporting.</t>
  </si>
  <si>
    <t>Complex General Surgical Oncology Fellowship Program.</t>
  </si>
  <si>
    <t>A fellowship training program that prepares surgeons in the management of patients with difficult, rare or complex cancer presentations, including clinical evaluation, surgical management, and adjuvant therapy. Requires prior completion of a residency program in general surgery. This CIP code is not valid for IPEDS reporting.</t>
  </si>
  <si>
    <t>Congenital Cardiac Surgery Fellowship Program.</t>
  </si>
  <si>
    <t>A fellowship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residency or fellowship program in thoracic surgery. This CIP code is not valid for IPEDS reporting.</t>
  </si>
  <si>
    <t>Pediatric Surgery Fellowship Program.</t>
  </si>
  <si>
    <t>A fellowship training program that prepares physicians in the diagnosis, evaluation and surgical treatment of diseases, disorders, and trauma in infants and children.  Requires prior completion of a residency program in general surgery. This CIP code is not valid for IPEDS reporting.</t>
  </si>
  <si>
    <t>Surgical Critical Care Fellowship Program.</t>
  </si>
  <si>
    <t>A fellowship training program that prepares surgeons in the diagnosis, treatment, and support of critically ill and injured patients, particularly trauma victims and patients with multiple organ dysfunction. Requires prior completion of a residency program in general surgery. This CIP code is not valid for IPEDS reporting.</t>
  </si>
  <si>
    <t>Thoracic Surgery Fellowship Program.</t>
  </si>
  <si>
    <t>A fellowship training program that prepares physicians in the evaluation and surgical treatment of pulmonary, esophageal, mediastinal, chest wall, diaphragmatic and cardiovascular disorders.  Includes instruction in bronchoscopy and esophagoscopy. Requires prior or concurrent completion of a residency program in general surgery. This CIP code is not valid for IPEDS reporting.</t>
  </si>
  <si>
    <t>Vascular Surgery Fellowship Program.</t>
  </si>
  <si>
    <t>A fellowship training program that prepares physicians in the surgical treatment of diseases and disorders of the arterial, venous and lymphatic circulatory systems and of the heart and thoracic aorta. Requires prior or concurrent completion of a residency program in general surgery. This CIP code is not valid for IPEDS reporting.</t>
  </si>
  <si>
    <t>Surgery Residency/Fellowship Programs, Other.</t>
  </si>
  <si>
    <t>Any residency or fellowship program in surgery not listed above.</t>
  </si>
  <si>
    <t>Urology Residency/Fellowship Programs.</t>
  </si>
  <si>
    <t>Instructional content for this group of programs is defined in codes 61.2801 - 61.2899. These CIP codes are not valid for IPEDS reporting.</t>
  </si>
  <si>
    <t>Urology Residency Program.</t>
  </si>
  <si>
    <t>A residency training program that prepares physicians to manage congenital and acquired conditions of the genitourinary system, the adrenal gland, and other contiguous structures throughout the lifespan and which may be benign or malignant. This specialist is skilled in medical and open surgical therapy of these conditions, as well as endoscopic, percutaneous, and other minimally invasive methods. This CIP code is not valid for IPEDS reporting.</t>
  </si>
  <si>
    <t>Pediatric Urology Fellowship Program.</t>
  </si>
  <si>
    <t>A fellowship training program that prepares individuals in the study, prevention, and management of congenital, childhood-acquired, and overlapping adolescent anomalies of the genitourinary tract, including problems, diseases, tumors, and traumas. Requires prior completion of a residency program in urology. This CIP code is not valid for IPEDS reporting.</t>
  </si>
  <si>
    <t>Urology Residency/Fellowship Programs, Other.</t>
  </si>
  <si>
    <t>Any residency or fellowship program in urology not listed above.</t>
  </si>
  <si>
    <t>Medical Residency/Fellowship Programs, Other.</t>
  </si>
  <si>
    <t>Instructional content is defined in code 61.9999.</t>
  </si>
  <si>
    <t>Any medical residency or fellowship program not listed above. This CIP code is not valid for IPEDS reporting.</t>
  </si>
  <si>
    <t>&lt;-- Click (+) to Expand</t>
  </si>
  <si>
    <t>0602</t>
  </si>
  <si>
    <t>Boise State University (0602)</t>
  </si>
  <si>
    <t>College/University/Other</t>
  </si>
  <si>
    <t>0607</t>
  </si>
  <si>
    <t>College of Southern Idaho (0607)</t>
  </si>
  <si>
    <t>0608</t>
  </si>
  <si>
    <t>Idaho State University (0608)</t>
  </si>
  <si>
    <t>0610</t>
  </si>
  <si>
    <t>Lewis-Clark State College (0610)</t>
  </si>
  <si>
    <t>0614</t>
  </si>
  <si>
    <t>North Idaho College (0614)</t>
  </si>
  <si>
    <t>0615</t>
  </si>
  <si>
    <t>College of Eastern Idaho (0615)</t>
  </si>
  <si>
    <t>0631</t>
  </si>
  <si>
    <t>University of Idaho (0631)</t>
  </si>
  <si>
    <t>0660</t>
  </si>
  <si>
    <t>College of Western Idaho (0660)</t>
  </si>
  <si>
    <t>0999</t>
  </si>
  <si>
    <t>Other Idaho College or University (0999)</t>
  </si>
  <si>
    <t>2895</t>
  </si>
  <si>
    <t>Northwest Nazarene University (2895)</t>
  </si>
  <si>
    <t>2897</t>
  </si>
  <si>
    <t>BYU - Utah (2897)</t>
  </si>
  <si>
    <t>2898</t>
  </si>
  <si>
    <t>Treasure Valley Community College</t>
  </si>
  <si>
    <t>8845</t>
  </si>
  <si>
    <t>BYU - Idaho (8845)</t>
  </si>
  <si>
    <t>8896</t>
  </si>
  <si>
    <t>College of Idaho (8896)</t>
  </si>
  <si>
    <t>General Category - Out-of-State (9999)</t>
  </si>
  <si>
    <t>Grade 1</t>
  </si>
  <si>
    <t>Content is intended for grade 1</t>
  </si>
  <si>
    <t>Grade 2</t>
  </si>
  <si>
    <t>Content is intended for grade 2</t>
  </si>
  <si>
    <t>Grade 3</t>
  </si>
  <si>
    <t>Content is intended for grade 3</t>
  </si>
  <si>
    <t>Grade 4</t>
  </si>
  <si>
    <t>Content is intended for grade 4</t>
  </si>
  <si>
    <t>Grade 5</t>
  </si>
  <si>
    <t>Content is intended for grade 5</t>
  </si>
  <si>
    <t>Grade 6</t>
  </si>
  <si>
    <t>Content is intended for grade 6</t>
  </si>
  <si>
    <t>Grade 7</t>
  </si>
  <si>
    <t>Content is intended for grade 7</t>
  </si>
  <si>
    <t>Grade 8</t>
  </si>
  <si>
    <t>Content is intended for grade 8</t>
  </si>
  <si>
    <t>Grade 9</t>
  </si>
  <si>
    <t>Content is intended for grade 9</t>
  </si>
  <si>
    <t>Grade 10</t>
  </si>
  <si>
    <t>Content is intended for grade 10</t>
  </si>
  <si>
    <t>Grade 11</t>
  </si>
  <si>
    <t>Content is intended for grade 11</t>
  </si>
  <si>
    <t>Grade 12</t>
  </si>
  <si>
    <t>Content is intended for grade 12</t>
  </si>
  <si>
    <t>KG</t>
  </si>
  <si>
    <t>Content is intended for grade KG</t>
  </si>
  <si>
    <t>MX</t>
  </si>
  <si>
    <t>Mixed Grades</t>
  </si>
  <si>
    <t>Content is intended for grade MX</t>
  </si>
  <si>
    <t>PK</t>
  </si>
  <si>
    <t>Preschool</t>
  </si>
  <si>
    <t>Content is intended for grade PK</t>
  </si>
  <si>
    <t>Category 1 Contracts</t>
  </si>
  <si>
    <t xml:space="preserve">For certificated instructional employees on a limited one-year contract as provided in section 33-514A, Idaho Code. </t>
  </si>
  <si>
    <t>Category 2 Contracts</t>
  </si>
  <si>
    <t xml:space="preserve">For certificated instructional employees in the first and second years of continuous employment with the same school district. </t>
  </si>
  <si>
    <t>Category 3 Contracts</t>
  </si>
  <si>
    <t>For certificated instructional employees during the third year of continuous employment by the same school district.</t>
  </si>
  <si>
    <t>Administrator Contract</t>
  </si>
  <si>
    <t>For certificated administrative employees.</t>
  </si>
  <si>
    <t>AE</t>
  </si>
  <si>
    <t>Approved Alternative Evening School</t>
  </si>
  <si>
    <t>For certificated staff performing duties in an Alternative Evening School program</t>
  </si>
  <si>
    <t>AR</t>
  </si>
  <si>
    <t>Retired Administrator Contract</t>
  </si>
  <si>
    <t>For retired certificated administrative employees who are currently drawing PERSI retirement benefits.</t>
  </si>
  <si>
    <t>AS</t>
  </si>
  <si>
    <t>Approved Alternative Summer School</t>
  </si>
  <si>
    <t>For certificated staff performing duties in an approved Alternative Summer School program</t>
  </si>
  <si>
    <t>C</t>
  </si>
  <si>
    <t>Continuing or Renewable (Tenure) Contract</t>
  </si>
  <si>
    <t>For certificated instructional employees who have attained renewable contract status as provided in Section 33-515, Idaho Code.</t>
  </si>
  <si>
    <t xml:space="preserve">Retired Teacher Contract </t>
  </si>
  <si>
    <t>For retired certificated instructional employees who are currently drawing PERSI retirement benefits.</t>
  </si>
  <si>
    <t>RS</t>
  </si>
  <si>
    <t>Regular Summer School</t>
  </si>
  <si>
    <t>Limited use: For certificated employees performing duties only in a regular summer school program</t>
  </si>
  <si>
    <t>CH</t>
  </si>
  <si>
    <t>Charter General Contract</t>
  </si>
  <si>
    <t>For charter school teachers on a general contract approved by the charter school’s board. Idaho Code 33-5206</t>
  </si>
  <si>
    <t>NE</t>
  </si>
  <si>
    <t>Non-Employee Contract</t>
  </si>
  <si>
    <t>Limited use:  For certificated non-employee contracts.  LEA’s who render services from non-employee contracts will need to ensure that they hold a current and valid Idaho certificate for the services being rendered.  LEA’s should consult the Department of Labor’s website for guidance on rendering services for non-employee contracts and consult with legal counsel.</t>
  </si>
  <si>
    <t>District is contracting with the YMCA to provide instruction to be delivered by the YMCA employed person. The students are going to the YMCA for PE. The YMCA person is required to hold a valid Idaho Instructional Certificate with a PE endorsement.</t>
  </si>
  <si>
    <t>AD</t>
  </si>
  <si>
    <t>Andorra</t>
  </si>
  <si>
    <t>United Arab Emirates (the)</t>
  </si>
  <si>
    <t>AF</t>
  </si>
  <si>
    <t>Afghanistan</t>
  </si>
  <si>
    <t>AG</t>
  </si>
  <si>
    <t>Antigua and Barbuda</t>
  </si>
  <si>
    <t>AI</t>
  </si>
  <si>
    <t>Anguilla</t>
  </si>
  <si>
    <t>AL</t>
  </si>
  <si>
    <t>Albania</t>
  </si>
  <si>
    <t>AM</t>
  </si>
  <si>
    <t>Armenia</t>
  </si>
  <si>
    <t>AN</t>
  </si>
  <si>
    <t>Netherlands Antilles</t>
  </si>
  <si>
    <t>AO</t>
  </si>
  <si>
    <t>Angola</t>
  </si>
  <si>
    <t>AQ</t>
  </si>
  <si>
    <t>Antarctica</t>
  </si>
  <si>
    <t>Argentina</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</si>
  <si>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</si>
  <si>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</si>
  <si>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</si>
  <si>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</si>
  <si>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</si>
  <si>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</si>
  <si>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</si>
  <si>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</si>
  <si>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</si>
  <si>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</si>
  <si>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</si>
  <si>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</si>
  <si>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</si>
  <si>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</si>
  <si>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</si>
  <si>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</si>
  <si>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</si>
  <si>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</si>
  <si>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</si>
  <si>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</si>
  <si>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</si>
  <si>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</si>
  <si>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</si>
  <si>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</si>
  <si>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</si>
  <si>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</si>
  <si>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</si>
  <si>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</si>
  <si>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</si>
  <si>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</si>
  <si>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</si>
  <si>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</si>
  <si>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</si>
  <si>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</si>
  <si>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</si>
  <si>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</si>
  <si>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</si>
  <si>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</si>
  <si>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</si>
  <si>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</si>
  <si>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</si>
  <si>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</si>
  <si>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 (the)</t>
  </si>
  <si>
    <t>BT</t>
  </si>
  <si>
    <t>Bhutan</t>
  </si>
  <si>
    <t>BV</t>
  </si>
  <si>
    <t>Bouvet Island</t>
  </si>
  <si>
    <t>BW</t>
  </si>
  <si>
    <t>Botswana</t>
  </si>
  <si>
    <t>BY</t>
  </si>
  <si>
    <t>Belarus</t>
  </si>
  <si>
    <t>BZ</t>
  </si>
  <si>
    <t>Belize</t>
  </si>
  <si>
    <t>CA</t>
  </si>
  <si>
    <t>Canada</t>
  </si>
  <si>
    <t>CC</t>
  </si>
  <si>
    <t>Cocos (Keeling) Islands (the)</t>
  </si>
  <si>
    <t>CD</t>
  </si>
  <si>
    <t>Congo (the Democratic Republic of the)</t>
  </si>
  <si>
    <t>CF</t>
  </si>
  <si>
    <t>Central African Republic (the)</t>
  </si>
  <si>
    <t>CG</t>
  </si>
  <si>
    <t>Congo (the)</t>
  </si>
  <si>
    <t>Switzerland</t>
  </si>
  <si>
    <t>CI</t>
  </si>
  <si>
    <t>Côte d'Ivoire</t>
  </si>
  <si>
    <t>CK</t>
  </si>
  <si>
    <t>Cook Islands (the)</t>
  </si>
  <si>
    <t>CL</t>
  </si>
  <si>
    <t>Chile</t>
  </si>
  <si>
    <t>CM</t>
  </si>
  <si>
    <t>Cameroon</t>
  </si>
  <si>
    <t>CN</t>
  </si>
  <si>
    <t>China</t>
  </si>
  <si>
    <t>CO</t>
  </si>
  <si>
    <t>Colombia</t>
  </si>
  <si>
    <t>CR</t>
  </si>
  <si>
    <t>Costa Rica</t>
  </si>
  <si>
    <t>CS</t>
  </si>
  <si>
    <t>Serbia and Montenegro</t>
  </si>
  <si>
    <t>CU</t>
  </si>
  <si>
    <t>Cuba</t>
  </si>
  <si>
    <t>CV</t>
  </si>
  <si>
    <t>Cabo Verde</t>
  </si>
  <si>
    <t>CW</t>
  </si>
  <si>
    <t>Curaçao</t>
  </si>
  <si>
    <t>CX</t>
  </si>
  <si>
    <t>Christmas Island</t>
  </si>
  <si>
    <t>CY</t>
  </si>
  <si>
    <t>Cyprus</t>
  </si>
  <si>
    <t>CZ</t>
  </si>
  <si>
    <t>Czechia</t>
  </si>
  <si>
    <t>DE</t>
  </si>
  <si>
    <t>Germany</t>
  </si>
  <si>
    <t>DJ</t>
  </si>
  <si>
    <t>Djibouti</t>
  </si>
  <si>
    <t>DK</t>
  </si>
  <si>
    <t>Denmark</t>
  </si>
  <si>
    <t>DM</t>
  </si>
  <si>
    <t>Dominica</t>
  </si>
  <si>
    <t>DO</t>
  </si>
  <si>
    <t>Dominican Republic (the)</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</si>
  <si>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</si>
  <si>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</si>
  <si>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</si>
  <si>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</si>
  <si>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</si>
  <si>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</si>
  <si>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</si>
  <si>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</si>
  <si>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</si>
  <si>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</si>
  <si>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</si>
  <si>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</si>
  <si>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</si>
  <si>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</si>
  <si>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</si>
  <si>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</si>
  <si>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</si>
  <si>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</si>
  <si>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</si>
  <si>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</si>
  <si>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</si>
  <si>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(the) [Malvinas]</t>
  </si>
  <si>
    <t>FM</t>
  </si>
  <si>
    <t>Micronesia (Federated States of)</t>
  </si>
  <si>
    <t>FO</t>
  </si>
  <si>
    <t>Faroe Islands (the)</t>
  </si>
  <si>
    <t>FR</t>
  </si>
  <si>
    <t>France</t>
  </si>
  <si>
    <t>FX</t>
  </si>
  <si>
    <t>France, Metropolitan</t>
  </si>
  <si>
    <t>GA</t>
  </si>
  <si>
    <t>Gabon</t>
  </si>
  <si>
    <t>GB</t>
  </si>
  <si>
    <t>United Kingdom of Great Britain and Northern Ireland (the)</t>
  </si>
  <si>
    <t>GD</t>
  </si>
  <si>
    <t>Grenada</t>
  </si>
  <si>
    <t>GE</t>
  </si>
  <si>
    <t>Georgia</t>
  </si>
  <si>
    <t>GF</t>
  </si>
  <si>
    <t>French Guiana</t>
  </si>
  <si>
    <t>GG</t>
  </si>
  <si>
    <t>Guernsey</t>
  </si>
  <si>
    <t>GH</t>
  </si>
  <si>
    <t>Ghana</t>
  </si>
  <si>
    <t>GI</t>
  </si>
  <si>
    <t>Gibraltar</t>
  </si>
  <si>
    <t>GL</t>
  </si>
  <si>
    <t>Greenland</t>
  </si>
  <si>
    <t>GM</t>
  </si>
  <si>
    <t>Gambia (the)</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</si>
  <si>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</si>
  <si>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</si>
  <si>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</si>
  <si>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</si>
  <si>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</si>
  <si>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</si>
  <si>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</si>
  <si>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</si>
  <si>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</si>
  <si>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</si>
  <si>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</si>
  <si>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</si>
  <si>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</si>
  <si>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</si>
  <si>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</si>
  <si>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</si>
  <si>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</si>
  <si>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</si>
  <si>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</si>
  <si>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</si>
  <si>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</si>
  <si>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</si>
  <si>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</si>
  <si>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</si>
  <si>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</si>
  <si>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</si>
  <si>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</si>
  <si>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</si>
  <si>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</si>
  <si>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</si>
  <si>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</si>
  <si>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</si>
  <si>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</si>
  <si>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</si>
  <si>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</si>
  <si>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</si>
  <si>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</si>
  <si>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</si>
  <si>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</si>
  <si>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</si>
  <si>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</si>
  <si>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 (the)</t>
  </si>
  <si>
    <t>IQ</t>
  </si>
  <si>
    <t>Iraq</t>
  </si>
  <si>
    <t>IR</t>
  </si>
  <si>
    <t>Iran (Islamic Republic of)</t>
  </si>
  <si>
    <t>IS</t>
  </si>
  <si>
    <t>Iceland</t>
  </si>
  <si>
    <t>IT</t>
  </si>
  <si>
    <t>Italy</t>
  </si>
  <si>
    <t>JE</t>
  </si>
  <si>
    <t>Jersey</t>
  </si>
  <si>
    <t>JM</t>
  </si>
  <si>
    <t>Jamaica</t>
  </si>
  <si>
    <t>JO</t>
  </si>
  <si>
    <t>Jordan</t>
  </si>
  <si>
    <t>JP</t>
  </si>
  <si>
    <t>Japan</t>
  </si>
  <si>
    <t>KE</t>
  </si>
  <si>
    <t>Kenya</t>
  </si>
  <si>
    <t>Kyrgyzstan</t>
  </si>
  <si>
    <t>KH</t>
  </si>
  <si>
    <t>Cambodia</t>
  </si>
  <si>
    <t>KI</t>
  </si>
  <si>
    <t>Kiribati</t>
  </si>
  <si>
    <t>KM</t>
  </si>
  <si>
    <t>Comoros (the)</t>
  </si>
  <si>
    <t>KN</t>
  </si>
  <si>
    <t>Saint Kitts and Nevis</t>
  </si>
  <si>
    <t>KP</t>
  </si>
  <si>
    <t>Korea (the Democratic People's Republic of)</t>
  </si>
  <si>
    <t>KR</t>
  </si>
  <si>
    <t>Korea (the Republic of)</t>
  </si>
  <si>
    <t>KW</t>
  </si>
  <si>
    <t>Kuwait</t>
  </si>
  <si>
    <t>KY</t>
  </si>
  <si>
    <t>Cayman Islands (the)</t>
  </si>
  <si>
    <t>KZ</t>
  </si>
  <si>
    <t>Kazakhstan</t>
  </si>
  <si>
    <t>LA</t>
  </si>
  <si>
    <t>Lao People's Democratic Republic (the)</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</si>
  <si>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</si>
  <si>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</si>
  <si>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</si>
  <si>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</si>
  <si>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</si>
  <si>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</si>
  <si>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</si>
  <si>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</si>
  <si>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</si>
  <si>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</si>
  <si>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</si>
  <si>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</si>
  <si>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</si>
  <si>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</si>
  <si>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</si>
  <si>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</si>
  <si>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</si>
  <si>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</si>
  <si>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</si>
  <si>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</si>
  <si>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</si>
  <si>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</si>
  <si>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</si>
  <si>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</si>
  <si>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</si>
  <si>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 (the Republic of)</t>
  </si>
  <si>
    <t>ME</t>
  </si>
  <si>
    <t>Montenegro</t>
  </si>
  <si>
    <t>MF</t>
  </si>
  <si>
    <t>Saint Martin (French part)</t>
  </si>
  <si>
    <t>MG</t>
  </si>
  <si>
    <t>Madagascar</t>
  </si>
  <si>
    <t>MH</t>
  </si>
  <si>
    <t>Marshall Islands (the)</t>
  </si>
  <si>
    <t>MK</t>
  </si>
  <si>
    <t>North Macedonia</t>
  </si>
  <si>
    <t>ML</t>
  </si>
  <si>
    <t>Mali</t>
  </si>
  <si>
    <t>MM</t>
  </si>
  <si>
    <t>Myanmar</t>
  </si>
  <si>
    <t>MN</t>
  </si>
  <si>
    <t>Mongolia</t>
  </si>
  <si>
    <t>MO</t>
  </si>
  <si>
    <t>Macao</t>
  </si>
  <si>
    <t>MP</t>
  </si>
  <si>
    <t>Northern Mariana Islands (the)</t>
  </si>
  <si>
    <t>MQ</t>
  </si>
  <si>
    <t>Martinique</t>
  </si>
  <si>
    <t>MR</t>
  </si>
  <si>
    <t>Mauritania</t>
  </si>
  <si>
    <t>MS</t>
  </si>
  <si>
    <t>Montserrat</t>
  </si>
  <si>
    <t>MT</t>
  </si>
  <si>
    <t>Malta</t>
  </si>
  <si>
    <t>MU</t>
  </si>
  <si>
    <t>Mauritius</t>
  </si>
  <si>
    <t>MV</t>
  </si>
  <si>
    <t>Maldives</t>
  </si>
  <si>
    <t>MW</t>
  </si>
  <si>
    <t>Malawi</t>
  </si>
  <si>
    <t>Mexico</t>
  </si>
  <si>
    <t>MY</t>
  </si>
  <si>
    <t>Malaysia</t>
  </si>
  <si>
    <t>MZ</t>
  </si>
  <si>
    <t>Mozambique</t>
  </si>
  <si>
    <t>NA</t>
  </si>
  <si>
    <t>Namibia</t>
  </si>
  <si>
    <t>NC</t>
  </si>
  <si>
    <t>New Caledonia</t>
  </si>
  <si>
    <t>Niger (the)</t>
  </si>
  <si>
    <t>NF</t>
  </si>
  <si>
    <t>Norfolk Island</t>
  </si>
  <si>
    <t>NG</t>
  </si>
  <si>
    <t>Nigeria</t>
  </si>
  <si>
    <t>NI</t>
  </si>
  <si>
    <t>Nicaragua</t>
  </si>
  <si>
    <t>NL</t>
  </si>
  <si>
    <t>Netherlands (the)</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</si>
  <si>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</si>
  <si>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</si>
  <si>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</si>
  <si>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</si>
  <si>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</si>
  <si>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</si>
  <si>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</si>
  <si>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</si>
  <si>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</si>
  <si>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</si>
  <si>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</si>
  <si>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</si>
  <si>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</si>
  <si>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</si>
  <si>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</si>
  <si>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</si>
  <si>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</si>
  <si>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</si>
  <si>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</si>
  <si>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</si>
  <si>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</si>
  <si>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 (the)</t>
  </si>
  <si>
    <t>Pakistan</t>
  </si>
  <si>
    <t>PL</t>
  </si>
  <si>
    <t>Poland</t>
  </si>
  <si>
    <t>PM</t>
  </si>
  <si>
    <t>Saint Pierre and Miquelon</t>
  </si>
  <si>
    <t>PN</t>
  </si>
  <si>
    <t>Pitcairn</t>
  </si>
  <si>
    <t>PR</t>
  </si>
  <si>
    <t>Puerto Rico</t>
  </si>
  <si>
    <t>PS</t>
  </si>
  <si>
    <t>Palestine, State of</t>
  </si>
  <si>
    <t>PT</t>
  </si>
  <si>
    <t>Portugal</t>
  </si>
  <si>
    <t>PW</t>
  </si>
  <si>
    <t>Palau</t>
  </si>
  <si>
    <t>PY</t>
  </si>
  <si>
    <t>Paraguay</t>
  </si>
  <si>
    <t>QA</t>
  </si>
  <si>
    <t>Qatar</t>
  </si>
  <si>
    <t>RE</t>
  </si>
  <si>
    <t>Réunion</t>
  </si>
  <si>
    <t>RO</t>
  </si>
  <si>
    <t>Romania</t>
  </si>
  <si>
    <t>Serbia</t>
  </si>
  <si>
    <t>RU</t>
  </si>
  <si>
    <t>Russian Federation (the)</t>
  </si>
  <si>
    <t>RW</t>
  </si>
  <si>
    <t>Rwanda</t>
  </si>
  <si>
    <t>Saudi Arabia</t>
  </si>
  <si>
    <t>SB</t>
  </si>
  <si>
    <t>Solomon Islands</t>
  </si>
  <si>
    <t>SC</t>
  </si>
  <si>
    <t>Seychelles</t>
  </si>
  <si>
    <t>SD</t>
  </si>
  <si>
    <t>Sudan (the)</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</si>
  <si>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</si>
  <si>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</si>
  <si>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</si>
  <si>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</si>
  <si>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</si>
  <si>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</si>
  <si>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</si>
  <si>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</si>
  <si>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</si>
  <si>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</si>
  <si>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</si>
  <si>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</si>
  <si>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</si>
  <si>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</si>
  <si>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</si>
  <si>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</si>
  <si>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</si>
  <si>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</si>
  <si>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</si>
  <si>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</si>
  <si>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Suriname</t>
  </si>
  <si>
    <t>SS</t>
  </si>
  <si>
    <t>South Sudan</t>
  </si>
  <si>
    <t>ST</t>
  </si>
  <si>
    <t>Sao Tome and Principe</t>
  </si>
  <si>
    <t>SU</t>
  </si>
  <si>
    <t>USSR (former)</t>
  </si>
  <si>
    <t>SV</t>
  </si>
  <si>
    <t>El Salvador</t>
  </si>
  <si>
    <t>SX</t>
  </si>
  <si>
    <t>Sint Maarten (Dutch part)</t>
  </si>
  <si>
    <t>SY</t>
  </si>
  <si>
    <t>Syrian Arab Republic (the)</t>
  </si>
  <si>
    <t>SZ</t>
  </si>
  <si>
    <t>Eswatini</t>
  </si>
  <si>
    <t>TC</t>
  </si>
  <si>
    <t>Turks and Caicos Islands (the)</t>
  </si>
  <si>
    <t>TD</t>
  </si>
  <si>
    <t>Chad</t>
  </si>
  <si>
    <t>TF</t>
  </si>
  <si>
    <t>French Southern Territories (the)</t>
  </si>
  <si>
    <t>TG</t>
  </si>
  <si>
    <t>Togo</t>
  </si>
  <si>
    <t>TH</t>
  </si>
  <si>
    <t>Thailand</t>
  </si>
  <si>
    <t>TJ</t>
  </si>
  <si>
    <t>Tajikistan</t>
  </si>
  <si>
    <t>TK</t>
  </si>
  <si>
    <t>Tokelau</t>
  </si>
  <si>
    <t>TL</t>
  </si>
  <si>
    <t>Timor-Leste</t>
  </si>
  <si>
    <t>TM</t>
  </si>
  <si>
    <t>Turkmenistan</t>
  </si>
  <si>
    <t>TN</t>
  </si>
  <si>
    <t>Tunisia</t>
  </si>
  <si>
    <t>TO</t>
  </si>
  <si>
    <t>Tonga</t>
  </si>
  <si>
    <t>TP</t>
  </si>
  <si>
    <t>East Timor</t>
  </si>
  <si>
    <t>TR</t>
  </si>
  <si>
    <t>Turkey</t>
  </si>
  <si>
    <t>TT</t>
  </si>
  <si>
    <t>Trinidad and Tobago</t>
  </si>
  <si>
    <t>TV</t>
  </si>
  <si>
    <t>Tuvalu</t>
  </si>
  <si>
    <t>TW</t>
  </si>
  <si>
    <t>Taiwan (Province of China)</t>
  </si>
  <si>
    <t>TZ</t>
  </si>
  <si>
    <t>Tanzania, the United Republic of</t>
  </si>
  <si>
    <t>UA</t>
  </si>
  <si>
    <t>Ukraine</t>
  </si>
  <si>
    <t>UG</t>
  </si>
  <si>
    <t>Uganda</t>
  </si>
  <si>
    <t>UK</t>
  </si>
  <si>
    <t>United Kingdom</t>
  </si>
  <si>
    <t>UM</t>
  </si>
  <si>
    <t>United States Minor Outlying Islands (the)</t>
  </si>
  <si>
    <t>US</t>
  </si>
  <si>
    <t>United States of America (the)</t>
  </si>
  <si>
    <t>UY</t>
  </si>
  <si>
    <t>Uruguay</t>
  </si>
  <si>
    <t>UZ</t>
  </si>
  <si>
    <t>Uzbekistan</t>
  </si>
  <si>
    <t>VA</t>
  </si>
  <si>
    <t>Holy See (the)</t>
  </si>
  <si>
    <t>VC</t>
  </si>
  <si>
    <t>Saint Vincent and the Grenadines</t>
  </si>
  <si>
    <t>VE</t>
  </si>
  <si>
    <t>Venezuela (Bolivarian Republic of)</t>
  </si>
  <si>
    <t>VG</t>
  </si>
  <si>
    <t>Virgin Islands (British)</t>
  </si>
  <si>
    <t>VI</t>
  </si>
  <si>
    <t>Virgin Islands (U.S.)</t>
  </si>
  <si>
    <t>VN</t>
  </si>
  <si>
    <t>Viet Nam</t>
  </si>
  <si>
    <t>VU</t>
  </si>
  <si>
    <t>Vanuatu</t>
  </si>
  <si>
    <t>WF</t>
  </si>
  <si>
    <t>Wallis and Futuna</t>
  </si>
  <si>
    <t>WS</t>
  </si>
  <si>
    <t>Samoa</t>
  </si>
  <si>
    <t>YE</t>
  </si>
  <si>
    <t>Yemen</t>
  </si>
  <si>
    <t>YT</t>
  </si>
  <si>
    <t>Mayotte</t>
  </si>
  <si>
    <t>YU</t>
  </si>
  <si>
    <t>Yugoslavia (former)</t>
  </si>
  <si>
    <t>ZA</t>
  </si>
  <si>
    <t>South Africa</t>
  </si>
  <si>
    <t>ZM</t>
  </si>
  <si>
    <t>Zambia</t>
  </si>
  <si>
    <t>ZR</t>
  </si>
  <si>
    <t>Zaire (former)</t>
  </si>
  <si>
    <t>ZW</t>
  </si>
  <si>
    <t>Zimbabwe</t>
  </si>
  <si>
    <t>ZZ</t>
  </si>
  <si>
    <t>Unknown/Unspecified</t>
  </si>
  <si>
    <t>&lt;«&lt;</t>
  </si>
  <si>
    <t>Toggle the (+/-)</t>
  </si>
  <si>
    <t>to SHOW/HIDE this list. ISO-3166 Country Codes</t>
  </si>
  <si>
    <t>See Assignment-Course Codes tab</t>
  </si>
  <si>
    <t>Assignment-Course Codes</t>
  </si>
  <si>
    <t>Completed - Full Credit</t>
  </si>
  <si>
    <t>The student has completed the course content (for regular courses) or exhibits mastery of all course competencies (for Mastery Courses) and full credit has been awarded.</t>
  </si>
  <si>
    <t>Completed - No Credit</t>
  </si>
  <si>
    <t>The student has completed the course content (for regular courses) or has completed the term but not all competencies (for Mastery Courses) and no credit has been awarded.</t>
  </si>
  <si>
    <t>CP</t>
  </si>
  <si>
    <t>Completed - Partial Credit</t>
  </si>
  <si>
    <t>The student has completed the course content (for regular courses) and partial credit has been awarded.</t>
  </si>
  <si>
    <t>Left the School</t>
  </si>
  <si>
    <t>Student course was dropped due to the student disenrolling from the school.</t>
  </si>
  <si>
    <t>Schedule Change</t>
  </si>
  <si>
    <t xml:space="preserve">Student course was dropped to accommodate a change in the students course schedule. </t>
  </si>
  <si>
    <t>Correspondence Course</t>
  </si>
  <si>
    <t>Course material is provided to the student who works at their own pace and schedule.</t>
  </si>
  <si>
    <t xml:space="preserve">I </t>
  </si>
  <si>
    <t>Independent Study</t>
  </si>
  <si>
    <t>Student is studying independently.  A certified staff member of the district is providing some guidance and assessment.  The local district, based on the recommendation of that teacher of record, will grant credit to the student.</t>
  </si>
  <si>
    <t>Offsite</t>
  </si>
  <si>
    <t>Course where students receive direct instruction from an instructor through another provider (or program) and may not be an employee of the district.</t>
  </si>
  <si>
    <t>Regular Class</t>
  </si>
  <si>
    <t>Traditional course structure with a local teacher of record directly managing the learning environment for their students.</t>
  </si>
  <si>
    <t>V</t>
  </si>
  <si>
    <t>IDLA/Virtual/Distance course</t>
  </si>
  <si>
    <t>Course where students receive virtual instruction from an instructor through another provider and may not be an employee of the district.  Typically, a proctor may be assigned to monitor the students.</t>
  </si>
  <si>
    <t>EXP</t>
  </si>
  <si>
    <t>Expulsion</t>
  </si>
  <si>
    <t>An action taken by the LEA removing a child from his/her regular school for disciplinary purposes for the remainder of the school year or longer in accordance with local educational agency policy.  Include removals resulting from violations of the Gun-Free Schools Act that are modified to less than 365 days.  Students are typically considered no longer enrolled for attendance purposes, but are eligible to return at the end of the expulsion period.</t>
  </si>
  <si>
    <t>ISS</t>
  </si>
  <si>
    <t>In School Suspension</t>
  </si>
  <si>
    <t>Temporary removal of a child from his/her regular classroom(s) for disciplinary purposes but where the student remains under the direct supervision of school personnel.  Direct supervision means school personnel are physically in the same location as the students under their supervision.</t>
  </si>
  <si>
    <t>OSS</t>
  </si>
  <si>
    <t>Out of School Suspension</t>
  </si>
  <si>
    <t>Temporary removal of a child from his/her regular classroom(s) for disciplinary purposes to another setting (e.g. home, behavior center).  Includes both removals in which no services are provided -- for Special ed students, less than 10 days, and those in which student receives some services according to an IEP.  Students are considered to still be enrolled.</t>
  </si>
  <si>
    <t>PLT</t>
  </si>
  <si>
    <t>Change of Placement (long-term)</t>
  </si>
  <si>
    <t xml:space="preserve">For children with disabilities and an active IEP, instances in which the IEP team determine a change in placement of the student from his/her current educational placement to a new educational placement is the least restrictive environment. </t>
  </si>
  <si>
    <t>RHO</t>
  </si>
  <si>
    <t>Removal by Hearing Officer</t>
  </si>
  <si>
    <t>For children with disabilities and an active IEP, instances in which an impartial hearing officer orders the removal of the child from his/her current educational placement to an appropriate alternative educational setting for not more than 45 school days based on the hearing officer’s determination that maintaining the child’s current placement is substantially likely to result in injury to the child or others.  The IEP team is responsible for determining the interim alternative educational setting.</t>
  </si>
  <si>
    <t>URI</t>
  </si>
  <si>
    <t>Unilateral Removal</t>
  </si>
  <si>
    <t>For children with disabilities and an active IEP, instances in which school personnel (not the IEP team) order the removal of the child from his/her current educational placement to an appropriate interim alternative educational setting for not more than 45 school days.  The IEP team is responsible for determining the interim alternative educational setting.  Unilateral removals do not include decision by the child’s IEP team to change a student’s placement.</t>
  </si>
  <si>
    <t>M</t>
  </si>
  <si>
    <t>Medical</t>
  </si>
  <si>
    <t>Medical issues caused delays</t>
  </si>
  <si>
    <t>Moved</t>
  </si>
  <si>
    <t>Child moved out of district during the process</t>
  </si>
  <si>
    <t>Other</t>
  </si>
  <si>
    <t>P</t>
  </si>
  <si>
    <t>Parental</t>
  </si>
  <si>
    <t>Parent refusal to provide consent or unable to contact parent causing delayed evaluation or initial services</t>
  </si>
  <si>
    <t>F</t>
  </si>
  <si>
    <t>Free Lunch Eligible</t>
  </si>
  <si>
    <t>Identified as economically disadvantaged, determined by individual eligibility, other than Direct Certification, to receive free meals (breakfast and/or lunch) in the National School Lunch Program.</t>
  </si>
  <si>
    <t>Reduced Price Lunch eligible</t>
  </si>
  <si>
    <t>Identified as economically disadvantaged, determined by individual eligibility, other than Direct Certification, to receive reduced-price meals (breakfast and/or lunch) in the National School Lunch Program.</t>
  </si>
  <si>
    <t>Not Eligible</t>
  </si>
  <si>
    <t>Not individually identified as economically disadvantaged.</t>
  </si>
  <si>
    <t>D</t>
  </si>
  <si>
    <t>Direct Certified</t>
  </si>
  <si>
    <t>Identified as economically disadvantaged, determined by individual eligibility through Direct Certification as eligible to receive free meals (breakfast and/or lunch) in the National School Lunch Program.</t>
  </si>
  <si>
    <t>S</t>
  </si>
  <si>
    <t>Survey - Household Income</t>
  </si>
  <si>
    <t>Identified as economically disadvantaged, determined by a qualified measure outside of the NSLP</t>
  </si>
  <si>
    <t>Associate</t>
  </si>
  <si>
    <t>B</t>
  </si>
  <si>
    <t>Bachelors</t>
  </si>
  <si>
    <t>Bachelor of Arts</t>
  </si>
  <si>
    <t>Bachelor of Science</t>
  </si>
  <si>
    <t>Doctorate</t>
  </si>
  <si>
    <t>Ed Specialist (Ed.D.)</t>
  </si>
  <si>
    <t>HS</t>
  </si>
  <si>
    <t>High School</t>
  </si>
  <si>
    <t>Masters</t>
  </si>
  <si>
    <t>Masters of Arts</t>
  </si>
  <si>
    <t>Masters of Science</t>
  </si>
  <si>
    <t>OS</t>
  </si>
  <si>
    <t>Occupational Specialist</t>
  </si>
  <si>
    <t>Active</t>
  </si>
  <si>
    <t>Active employee with current assignments.</t>
  </si>
  <si>
    <t>Inactive</t>
  </si>
  <si>
    <t xml:space="preserve">The employee is currently on an active contract within the District, but not currently working or having active assignments. i.e. Does not have any currently active assignments, but is expected to return to active status at some point in the future.  Examples include: sabbatical, maternity leave, etc. </t>
  </si>
  <si>
    <t>T</t>
  </si>
  <si>
    <t>Terminated</t>
  </si>
  <si>
    <t>Employee is no longer employed by the school district.</t>
  </si>
  <si>
    <t>1A</t>
  </si>
  <si>
    <t xml:space="preserve">A student who had previously entered any class in a school and then continues his or her membership in the same school from one term to the next because of a promotion or demotion, or who transfers from one homeroom or class to another during a regular school session.
</t>
  </si>
  <si>
    <t>1B</t>
  </si>
  <si>
    <t>Transfer from Within District</t>
  </si>
  <si>
    <t xml:space="preserve">A student who transfers from a public school that is located within the administrative boundaries of the same local education agency.
</t>
  </si>
  <si>
    <t>1C</t>
  </si>
  <si>
    <t>Initial Enrollment</t>
  </si>
  <si>
    <t xml:space="preserve">A student already residing in the United States enters a school for the first time in the United States or an outlying area.
</t>
  </si>
  <si>
    <t>2A</t>
  </si>
  <si>
    <t>Transfer From Other Public Idaho District or Charter</t>
  </si>
  <si>
    <t xml:space="preserve">A student who transfers from a public school that is not located within the administrative boundaries of the same local education agency but is in the same state.
</t>
  </si>
  <si>
    <t>2B</t>
  </si>
  <si>
    <t>Transfer in From Non Public Setting</t>
  </si>
  <si>
    <t xml:space="preserve">A student who transfers from a private school (operated by a non-governmental, group or organization) or home school.
</t>
  </si>
  <si>
    <t>2C</t>
  </si>
  <si>
    <t>Transfer In From Out of State</t>
  </si>
  <si>
    <t xml:space="preserve">A student who transfers from a public school that is located in another state or from a United States overseas dependents school.
</t>
  </si>
  <si>
    <t>3A</t>
  </si>
  <si>
    <t>Returning Dropout</t>
  </si>
  <si>
    <t xml:space="preserve">A student who had previously entered any class in a school and then re-enters the same school after he or she has left school due to dropping out during a regular school session.
</t>
  </si>
  <si>
    <t>4A</t>
  </si>
  <si>
    <t>Entering Foreign Exchange student</t>
  </si>
  <si>
    <t xml:space="preserve">A student who has recently moved from a foreign country where he or she had been enrolled in school and enters a school in the United States or an outlying area as a foreign exchange student.
</t>
  </si>
  <si>
    <t>4B</t>
  </si>
  <si>
    <t>Entering Foreign Student</t>
  </si>
  <si>
    <t xml:space="preserve">A student who has recently moved from a foreign country where he or she had been enrolled in school and enters a school in the United States or an outlying area for the first time.
</t>
  </si>
  <si>
    <t>5A</t>
  </si>
  <si>
    <t>Returning Expelled or from Other Temporary Ban</t>
  </si>
  <si>
    <t>Student is returning after having been expelled or after some other temporary status that prevented enrollment.</t>
  </si>
  <si>
    <t>5B</t>
  </si>
  <si>
    <t>Return from Medical Leave</t>
  </si>
  <si>
    <t xml:space="preserve">A student who had previously entered any class in a school and then re-enters the same school after he or she has left school for medical leave during a regular school session.
</t>
  </si>
  <si>
    <t>5E</t>
  </si>
  <si>
    <t>Reenrolling student after temporary parental withdrawal</t>
  </si>
  <si>
    <t>A student who had previously entered any class in a school and then re-enters the same school after he or she has left school for temporary parental withdrawal during a regular school session.</t>
  </si>
  <si>
    <t>6B</t>
  </si>
  <si>
    <t>Repeating 12th Grade</t>
  </si>
  <si>
    <t>A student who is returning after 4 years of high school to fulfill Idaho high school graduation requirements outlined in 08.02.03.105</t>
  </si>
  <si>
    <t>6C</t>
  </si>
  <si>
    <t>Special Ed Community based transition services</t>
  </si>
  <si>
    <t>A student who is returning after 4 years of high school to participate in special education community based transition services</t>
  </si>
  <si>
    <t>01</t>
  </si>
  <si>
    <t>Specific Learning Disability</t>
  </si>
  <si>
    <t>Specific Learning Disability (SLD) means a disorder in one or more of the basic psychological processes involved in understanding or in using language, spoken or written, that may manifest itself in the imperfect ability to listen, think, speak, read, write, spell, or to do mathematical calculations, including conditions such as perceptual disabilities, brain injury, minimal brain dysfunction, dyslexia, and developmental aphasia.</t>
  </si>
  <si>
    <t xml:space="preserve">Only a school age child may be identified as a student with a specific learning disability. </t>
  </si>
  <si>
    <t>02</t>
  </si>
  <si>
    <t>Intellectual Disability</t>
  </si>
  <si>
    <t xml:space="preserve">Intellectual Disability is defined as significantly sub-average intellectual functioning that exists concurrently with deficits in adaptive behavior. These deficits are manifested during the student’s developmental period, and adversely affect the student’s educational performance. </t>
  </si>
  <si>
    <t>04</t>
  </si>
  <si>
    <t>Speech Impairment</t>
  </si>
  <si>
    <t>The term speech impairment includes articulation/phonology disorders, voice disorders, or fluency disorders that adversely impact a child's educational performance.</t>
  </si>
  <si>
    <t>05</t>
  </si>
  <si>
    <t>Language Impairment</t>
  </si>
  <si>
    <t>A language impairment exists when there is a disorder or delay in the development of comprehension and/or the uses of spoken or written language and/or other symbol systems.</t>
  </si>
  <si>
    <t>06</t>
  </si>
  <si>
    <t>Emotional Behavioral Disorder</t>
  </si>
  <si>
    <t>A student with an emotional behavioral disorder exhibits one or more of the following characteristics over a long period of time, and to a marked degree, that adversely affects his or hers educational performance
(a) An inability to learn that is not primarily the result of intellectual disability; hearing, vision, or motor impairment, or other health impairment; 
(b) An inability to build or maintain satisfactory interpersonal relationships with peers and teachers;
(c) Inappropriate types of behavior or feelings under normal circumstances;
(d) A general pervasive mood of unhappiness or depression;
(e) A tendency to develop physical symptoms or fears associated with personal or school problems; or
(f) Schizophrenia.</t>
  </si>
  <si>
    <t>07</t>
  </si>
  <si>
    <t>Other Health Impairment</t>
  </si>
  <si>
    <t>A student classified as having Other Health Impairment exhibits limited strength, vitality, or alertness, including heightened alertness, including heightened alertness to environmental stimuli that results in limited alertness with respect to the educational environment that is due to chronic or acute health problems. These health problems may include, but are not limited to, asthma, attention deficit disorder (ADD), attention deficit hyperactivity disorder (ADHD), cancer, diabetes, epilepsy, Fetal Alcohol Syndrome, a heart condition, hemophilia, lead poisoning, leukemia, nephritis, rheumatic fever, sickle cell anemia, Tourette syndrome, and stroke to such a degree that it adversely affects the student’s educational performance.</t>
  </si>
  <si>
    <t>08</t>
  </si>
  <si>
    <t>Orthopedic Impairment</t>
  </si>
  <si>
    <t xml:space="preserve">Orthopedic impairment means a severe physical limitation that adversely affects a student's educational performance. The term includes impairments caused by congenital anomaly (clubfoot, or absence of an appendage), an impairment caused by disease (poliomyelitis, bone tuberculosis, etc.), or an impairment from other causes (cerebral palsy, amputations, and fractures or burns that cause contracture).
</t>
  </si>
  <si>
    <t>Deaf or Hard of Hearing</t>
  </si>
  <si>
    <t>Deaf or Hard of Hearing means a child with a hearing loss, whether permanent or fluctuating, that impairs the access, comprehension, and/or use of linguistic information through hearing, with or without amplification, and that adversely affects a child’s educational performance.</t>
  </si>
  <si>
    <t>Visual Impairment</t>
  </si>
  <si>
    <t>Visual impairment refers to an impairment in vision that, even with correction, adversely affects a student’s education performance. The term includes both partial sight and blindness. Partial sight refers to the ability to use vision as one channel of learning if educational materials are adapted. Blindness refers to the prohibition of vision as a channel of learning, regardless of the adaptation of materials.</t>
  </si>
  <si>
    <t>Deaf-Blindness</t>
  </si>
  <si>
    <t>A student with deaf-blindness demonstrates both hearing and visual impairments, the combination of which causes such severe communication and other developmental and educational needs that the student cannot be appropriately educated with special education services designed solely for students with deafness or blindness.</t>
  </si>
  <si>
    <t>Multiple Disabilities</t>
  </si>
  <si>
    <t>Multiple disabilities are two or more co-existing severe impairments, one of which usually includes an intellectual disability, such as intellectual disability/blindness, intellectual disability/orthopedic, etc. Students with multiple disabilities exhibit impairments that are likely to be life long, significantly interfere with independent functioning, and may necessitate environmental modifications to enable the student to participate in school and society. The term does not include deaf/blindness.</t>
  </si>
  <si>
    <t>Developmental Delay</t>
  </si>
  <si>
    <t xml:space="preserve">The term developmental delay may be used only for students ages three (3) until their tenth (10th) birthday who are experiencing developmental delays as measured by appropriate diagnostic instruments and procedures in one or more of the following areas. 
(a) cognitive development -- includes skills involving perceptual discrimination, memory, reasoning, academic skills, and conceptual development;
(b) physical development -- includes skills involving coordination of both the large and small muscles of the body (i.e., gross, fine, and perceptual motor skills);
(c) communication development -- includes skills involving expressive and receptive communication abilities, both verbal and nonverbal;
(d) social or emotional development -- includes skills involving meaningful social interactions with adults and other children including self-expression and coping skills; or
(e) adaptive development -- includes daily living skills (e.g., eating, dressing, and toileting) as well as skills involving attention and personal responsibility.
</t>
  </si>
  <si>
    <t>Autism Spectrum Disorder</t>
  </si>
  <si>
    <t xml:space="preserve">Autism Spectrum Disorder is a developmental disability, generally evident in the early developmental period, significantly affecting verbal or nonverbal communication and social interaction, and adversely affecting educational performance.  </t>
  </si>
  <si>
    <t>Traumatic Brain Injury</t>
  </si>
  <si>
    <t>Traumatic brain injury refers to an acquired injury to the brain caused by an external physical force resulting in a total or partial functional disability or psychosocial impairment, or both, that adversely affects educational performance. The term applies to open or closed head injuries resulting in impairments in one or more areas such as cognition, language, memory, attention, reasoning, abstract thinking, judgment, problem solving, sensory, perceptual and motor abilities, psychosocial behavior, physical functions, information processing, and speech. The term does not apply to congenital or degenerative brain injuries or to brain injuries induced by birth trauma.</t>
  </si>
  <si>
    <t>Within District To Same School</t>
  </si>
  <si>
    <t xml:space="preserve">Category 1A identifies students who are ending the current school year and are expected to return to the same school for the following school year. </t>
  </si>
  <si>
    <t>Students who are expecting to return to the same school the following school year; or
Students who have not met Idaho graduation requirements, expected to return to the same school the following school year</t>
  </si>
  <si>
    <t>Within District To Different Public School</t>
  </si>
  <si>
    <t>Category 1B identifies students who are transferring to a different public school within the same district.</t>
  </si>
  <si>
    <t>Students who are expected to enroll in different public school within the same district; or
Students who are making a mid-term grade level change within the same district but different public school; or
Students who are transferring to a detention center within the same district.</t>
  </si>
  <si>
    <t>Within Idaho To Different Public School District</t>
  </si>
  <si>
    <t>Category 2A identifies students who are transferring out of current district into a different Idaho public school district.</t>
  </si>
  <si>
    <t>Students who are transferring to another Idaho Public School District; or
Students who are transferring to Idaho School for Deaf and Blind; or
Students who are transferring to a detention center in a different district.</t>
  </si>
  <si>
    <t>Within Idaho To Private School or Federal/State Setting</t>
  </si>
  <si>
    <t>Category 2B identifies students who are exiting the public school system and entering a private or other non-public/federal or state education setting.</t>
  </si>
  <si>
    <t xml:space="preserve">Students who are transferring to an Idaho Private school; or
Students who are transferring to an education setting governed by a federal agency, in Idaho (i.e. Bureau of Indian Education, Job Corps); or
Students who are transferring to an educational setting governed by an Idaho State Agency (i.e. Department of Correction, Department of Juvenile Corrections).
</t>
  </si>
  <si>
    <t>Transfer Out of Idaho to US Public or Non-Public Setting</t>
  </si>
  <si>
    <t xml:space="preserve">Category 2C identifies students who are moving or transferring out of Idaho and into another U.S. public or non-public education setting. </t>
  </si>
  <si>
    <t>Students who are transferring out of Idaho to another U.S. Public School District; or
Students who are transferring out of Idaho to a private school in the U.S.; or
Students who are transferring out of Idaho to a federal or state education setting in a U.S. state.</t>
  </si>
  <si>
    <t>2D</t>
  </si>
  <si>
    <t>Transfer Out of Country</t>
  </si>
  <si>
    <t>Category 2D identifies students who are moving out of country with no expectations of returning.</t>
  </si>
  <si>
    <t>Students who are permanently transferring/moving out of country.</t>
  </si>
  <si>
    <t>2E</t>
  </si>
  <si>
    <t>Within Idaho To Homeschool</t>
  </si>
  <si>
    <t>Category 2E identifies students who are exiting the public school system and entering homeschool setting within Idaho.</t>
  </si>
  <si>
    <t>Students exiting Idaho Public School to become homeschooled.</t>
  </si>
  <si>
    <t>Confirmed Drop Out</t>
  </si>
  <si>
    <t>Category 3A identifies students who have informed the school that they are dropping out.</t>
  </si>
  <si>
    <t>Students who notify the school that they are dropping out.</t>
  </si>
  <si>
    <t>3B</t>
  </si>
  <si>
    <t>Reached Maximum Age</t>
  </si>
  <si>
    <t>Category 3B identifies students who have reached maximum school age.</t>
  </si>
  <si>
    <t>Students who have reached the maximum school age for 18-21 transitional services.</t>
  </si>
  <si>
    <t>3C</t>
  </si>
  <si>
    <t>Expelled</t>
  </si>
  <si>
    <t>Category 3C identifies students removed from the school system due to expulsion; not expected to return.</t>
  </si>
  <si>
    <t>Students who have been permanently expelled.</t>
  </si>
  <si>
    <t>3D</t>
  </si>
  <si>
    <t>Transfer to Adult Education</t>
  </si>
  <si>
    <t>Category 3D identifies students who are exiting secondary school to enroll in a training program or adult education program that will not lead to an Idaho-approved high school diploma.</t>
  </si>
  <si>
    <t>Students who will be enrolling in another vocational education setting, which will not lead to a regular high school diploma (such as a GED). 
** There is NO cooperative agreement with the vocational education provider and the local district.</t>
  </si>
  <si>
    <t>3E</t>
  </si>
  <si>
    <t>Unknown</t>
  </si>
  <si>
    <t xml:space="preserve">Category 3E identifies students whose status is unknown. </t>
  </si>
  <si>
    <t>Students who are not known to be attending school, but have not informed the district that they have dropped out; or
Students believed to have moved away but for whom the district cannot verify enrollment in school elsewhere; or
Students dropped from attendance rosters after excessive truancy.</t>
  </si>
  <si>
    <t>Graduated – Met State Standards</t>
  </si>
  <si>
    <t>Category 4A identifies students who have graduated with a regular high school diploma and is fully aligned with Idaho State High School Graduation Requirements. 08.02.03.105</t>
  </si>
  <si>
    <t>Graduated by completing all necessary high school credit/content graduation requirements, with or without accommodations, and have met any additional graduation requirements. 08.02.03.105
** Special Ed students who graduate with 4A should be exited from special education and are no longer entitled to Free Appropriate Public Education (FAPE)
** Students who have completed adapted (modified or differentiated) course requirements (as determined by an IEP team) should be coded as 4C.</t>
  </si>
  <si>
    <t>4C</t>
  </si>
  <si>
    <t>Completed - Adapted Requirements</t>
  </si>
  <si>
    <t>Category 4C identifies students that did NOT meet Idaho State High School Graduation Requirements outlined in  08.02.03.105 but whose program of study addressed adapted (modified or differentiated) coursework as outlined in an IEP</t>
  </si>
  <si>
    <t>Students with disabilities who have satisfied an IEP but NOT regular Idaho State High School Graduation Requirements; 
** Student who qualify for special education are entitled to FAPE until the semester in which the student turns 21 - IDAPA 08.02.03.109.07  
** Students with this exit code are counted and reported as non graduates.</t>
  </si>
  <si>
    <t>4G</t>
  </si>
  <si>
    <t>Early Graduate 1 Year</t>
  </si>
  <si>
    <t>Category 4G identifies students who have graduated 1 year early and eligible for MAP one Scholarship.
33-4602(5) Any student who successfully completes public school grades 1 through 12 curriculum at least one (1) year early shall be eligible for an advanced opportunities scholarship.</t>
  </si>
  <si>
    <t>Students who have graduated 1 year early and eligible for MAP one Scholarship.
33-4602(5) Any student who successfully completes public school grades 1 through 12 curriculum at least one (1) year early shall be eligible for an advanced opportunities scholarship.</t>
  </si>
  <si>
    <t>4H</t>
  </si>
  <si>
    <t>Early Graduate 2 Year</t>
  </si>
  <si>
    <t>Category 4H identifies students who have graduated 2 years early and eligible for MAP two Scholarship.
33-4602(5) Any student who successfully completes public school grades 1 through 12 curriculum at least one (1) year early shall be eligible for an advanced opportunities scholarship.</t>
  </si>
  <si>
    <t>Students who have graduated 2 years early and eligible for MAP two Scholarship.
33-4602(5) Any student who successfully completes public school grades 1 through 12 curriculum at least one (1) year early shall be eligible for an advanced opportunities scholarship.</t>
  </si>
  <si>
    <t>4I</t>
  </si>
  <si>
    <t>Early Graduate 3 Year</t>
  </si>
  <si>
    <t>Category 4I identifies students who have graduated 3 years early and eligible for MAP three Scholarship.
33-4602(5) Any student who successfully completes public school grades 1 through 12 curriculum at least one (1) year early shall be eligible for an advanced opportunities scholarship.</t>
  </si>
  <si>
    <t>Students who have graduated 3 years early and eligible for MAP three Scholarship.
33-4602(5) Any student who successfully completes public school grades 1 through 12 curriculum at least one (1) year early shall be eligible for an advanced opportunities scholarship.</t>
  </si>
  <si>
    <t>Temporarily Unenrolled</t>
  </si>
  <si>
    <t xml:space="preserve">Category 5A identifies students who are temporarily unenrolled from a district and are expected to return. </t>
  </si>
  <si>
    <t xml:space="preserve">Students from an alternative setting temporarily removed for attendance reasons but expected to reenroll with the next session; or
Students prevented from attending school because they have not presented proper evidence of required immunizations; or
Students temporarily traveling out of state and expected to return; or
Students who are participating in seasonal work; or
Students who are temporarily unenrolled from a district for disciplinary or other eligibility reasons. </t>
  </si>
  <si>
    <t>Medical Leave/Permanent Incapacitation</t>
  </si>
  <si>
    <t xml:space="preserve">Category 5B identifies students who cannot receive education services because of a severe/long-term medical condition or the location of treatment. 
</t>
  </si>
  <si>
    <t xml:space="preserve">Students may be participating in drug treatment or residing in rehabilitative centers. 
Students may be chronically ill, or suffer from an illness of such severity that they cannot receive education services. 
</t>
  </si>
  <si>
    <t>5C</t>
  </si>
  <si>
    <t>US Resident Exiting to Foreign Exchange Program</t>
  </si>
  <si>
    <t xml:space="preserve">Category 5C identifies students who are U.S. citizens and have withdrawn from an Idaho public school system to participate in a foreign exchange program in another country. </t>
  </si>
  <si>
    <t xml:space="preserve">Idaho resident students leaving to participate in a foreign exchange program in another country </t>
  </si>
  <si>
    <t>5F</t>
  </si>
  <si>
    <t>Foreign Exchange Student Exiting District/School</t>
  </si>
  <si>
    <t xml:space="preserve">Category 5F identifies foreign exchange students who are withdrawing from the U.S. school system to switch schools or districts or to return to their home country from participation in their foreign exchange program. </t>
  </si>
  <si>
    <t>Non-U.S. resident exchange visitors/students switching districts, schools or leaving Idaho to return to their home country, from participating in a foreign exchange program.</t>
  </si>
  <si>
    <t>6A</t>
  </si>
  <si>
    <t>Deceased</t>
  </si>
  <si>
    <t>Category 6A identifies students who have passed away.</t>
  </si>
  <si>
    <t>Students who have passed away.</t>
  </si>
  <si>
    <t>Extracurricular activities; e.g. coaching, debate, special music, drama</t>
  </si>
  <si>
    <t>Funded by code 10 - General Fund</t>
  </si>
  <si>
    <t>Driver training</t>
  </si>
  <si>
    <t>Funded by code 09 - Other State/Local</t>
  </si>
  <si>
    <t>Fringe Benefit Cash Amount (Cash from Pool Allotment)</t>
  </si>
  <si>
    <t>Special curriculum assignments and department heads</t>
  </si>
  <si>
    <t>E</t>
  </si>
  <si>
    <t>Extended Summer Contracts (paid from funds other than general maintenance and operation)</t>
  </si>
  <si>
    <t>Stipend or Bonus (paid from general funds)</t>
  </si>
  <si>
    <t>G</t>
  </si>
  <si>
    <t>Extended Summer Contracts (not reimbursed by Professional-Technical)</t>
  </si>
  <si>
    <t>L</t>
  </si>
  <si>
    <t>Leadership Premium (Per I.C. 33-1004J)</t>
  </si>
  <si>
    <t>National Board Certified Benefit</t>
  </si>
  <si>
    <t>Stipend or Bonus (paid from federal funds)</t>
  </si>
  <si>
    <t>Funded by code 08 - Federal Fund</t>
  </si>
  <si>
    <t>Stipend or Bonus (paid from other state funds)</t>
  </si>
  <si>
    <t>512</t>
  </si>
  <si>
    <t>Elementary School Program</t>
  </si>
  <si>
    <t>515</t>
  </si>
  <si>
    <t>Secondary School Program</t>
  </si>
  <si>
    <t>517</t>
  </si>
  <si>
    <t>Alternative School Program</t>
  </si>
  <si>
    <t>519</t>
  </si>
  <si>
    <t>Vocational-Technical Program</t>
  </si>
  <si>
    <t>521</t>
  </si>
  <si>
    <r>
      <t>Special Education Program</t>
    </r>
    <r>
      <rPr>
        <i/>
        <sz val="10"/>
        <color theme="6" tint="-0.499984740745262"/>
        <rFont val="Arial"/>
        <family val="2"/>
      </rPr>
      <t xml:space="preserve"> (formerly Exceptional Child Program) </t>
    </r>
  </si>
  <si>
    <t>522</t>
  </si>
  <si>
    <r>
      <t>Special Education Preschool Program</t>
    </r>
    <r>
      <rPr>
        <i/>
        <sz val="10"/>
        <color theme="6" tint="-0.499984740745262"/>
        <rFont val="Arial"/>
        <family val="2"/>
      </rPr>
      <t xml:space="preserve"> (formerly Preschool Exceptional Prog.)</t>
    </r>
  </si>
  <si>
    <t>524</t>
  </si>
  <si>
    <t>Gifted &amp; Talented Program</t>
  </si>
  <si>
    <t>531</t>
  </si>
  <si>
    <t>Interscholastic Program</t>
  </si>
  <si>
    <t>532</t>
  </si>
  <si>
    <t>School Activity Program</t>
  </si>
  <si>
    <t>541</t>
  </si>
  <si>
    <t>Summer School Program</t>
  </si>
  <si>
    <t>542</t>
  </si>
  <si>
    <t>Adult School Program</t>
  </si>
  <si>
    <t>546</t>
  </si>
  <si>
    <t>Detention Center Program</t>
  </si>
  <si>
    <t>611</t>
  </si>
  <si>
    <t>Attendance - Guidance - Health Program</t>
  </si>
  <si>
    <t>616</t>
  </si>
  <si>
    <r>
      <t xml:space="preserve">Special Education Support Services Program </t>
    </r>
    <r>
      <rPr>
        <i/>
        <sz val="10"/>
        <color theme="6" tint="-0.499984740745262"/>
        <rFont val="Arial"/>
        <family val="2"/>
      </rPr>
      <t>(formerly Spec. Services Prog.)</t>
    </r>
  </si>
  <si>
    <t>621</t>
  </si>
  <si>
    <t>Instruction Improvement Program</t>
  </si>
  <si>
    <t>622</t>
  </si>
  <si>
    <t>Educational Media Program</t>
  </si>
  <si>
    <t>623</t>
  </si>
  <si>
    <t>Instruction-Related Technology Program</t>
  </si>
  <si>
    <t>631</t>
  </si>
  <si>
    <t>Board of Education Program</t>
  </si>
  <si>
    <t>632</t>
  </si>
  <si>
    <t>District Administration Program</t>
  </si>
  <si>
    <t>641</t>
  </si>
  <si>
    <t>School Administration Program</t>
  </si>
  <si>
    <t>651</t>
  </si>
  <si>
    <t>Business Operation Program</t>
  </si>
  <si>
    <t>655</t>
  </si>
  <si>
    <t>Central Service Program</t>
  </si>
  <si>
    <t>656</t>
  </si>
  <si>
    <t>Administrative Technology Service</t>
  </si>
  <si>
    <t>661</t>
  </si>
  <si>
    <t>Buildings - Care Program (Custodial)</t>
  </si>
  <si>
    <t>663</t>
  </si>
  <si>
    <t>Maintenance - Non-Student Occupied</t>
  </si>
  <si>
    <t>664</t>
  </si>
  <si>
    <t>Maintenance - Student-Occupied Buildings</t>
  </si>
  <si>
    <t>665</t>
  </si>
  <si>
    <t>Maintenance - Grounds</t>
  </si>
  <si>
    <t>667</t>
  </si>
  <si>
    <t>Security Program</t>
  </si>
  <si>
    <t>681</t>
  </si>
  <si>
    <t>Pupil-To-School Transportation. Program</t>
  </si>
  <si>
    <t>682</t>
  </si>
  <si>
    <t>Pupil-Activity Transportation Program</t>
  </si>
  <si>
    <t>683</t>
  </si>
  <si>
    <t>General Transportation Program</t>
  </si>
  <si>
    <t>691</t>
  </si>
  <si>
    <t>Other Support Services Program</t>
  </si>
  <si>
    <t>710</t>
  </si>
  <si>
    <t>Child Nutrition Program</t>
  </si>
  <si>
    <t>720</t>
  </si>
  <si>
    <t>Community Services Program</t>
  </si>
  <si>
    <t>730</t>
  </si>
  <si>
    <t>Enterprise Operations Program</t>
  </si>
  <si>
    <t>810</t>
  </si>
  <si>
    <t>Capital Assets - Student-Occupied (Qualifying Expd)</t>
  </si>
  <si>
    <t>811</t>
  </si>
  <si>
    <t>Capital Assets - Non-Student Occupied (&amp; Student-Occupied Bldg Non-Qualifying Expenditures)</t>
  </si>
  <si>
    <t>911</t>
  </si>
  <si>
    <t>Debt Services Program - Principal</t>
  </si>
  <si>
    <t>912</t>
  </si>
  <si>
    <t>Debt Services Program - Interest</t>
  </si>
  <si>
    <t>913</t>
  </si>
  <si>
    <t>Debt Services Program - Refunded Debt</t>
  </si>
  <si>
    <t>920</t>
  </si>
  <si>
    <t>Fund Transfers - Out</t>
  </si>
  <si>
    <t>General M &amp; O</t>
  </si>
  <si>
    <t>220</t>
  </si>
  <si>
    <t xml:space="preserve">Federal Forest Reserve </t>
  </si>
  <si>
    <t>230</t>
  </si>
  <si>
    <t>Local Special Projects</t>
  </si>
  <si>
    <t>231</t>
  </si>
  <si>
    <t>232</t>
  </si>
  <si>
    <t>233</t>
  </si>
  <si>
    <t>234</t>
  </si>
  <si>
    <t>235</t>
  </si>
  <si>
    <t>236</t>
  </si>
  <si>
    <t>237</t>
  </si>
  <si>
    <t>238</t>
  </si>
  <si>
    <t>239</t>
  </si>
  <si>
    <t>240</t>
  </si>
  <si>
    <t>School Building Maintenance (Student-Occupied)</t>
  </si>
  <si>
    <t>241</t>
  </si>
  <si>
    <t>Driver Education - State</t>
  </si>
  <si>
    <t>242</t>
  </si>
  <si>
    <t>State Special Projects</t>
  </si>
  <si>
    <t>243</t>
  </si>
  <si>
    <t>Professional Technical - State</t>
  </si>
  <si>
    <t>244</t>
  </si>
  <si>
    <t>245</t>
  </si>
  <si>
    <t>Technology - State</t>
  </si>
  <si>
    <t>246</t>
  </si>
  <si>
    <t xml:space="preserve">Substance Abuse - State </t>
  </si>
  <si>
    <t>247</t>
  </si>
  <si>
    <t>248</t>
  </si>
  <si>
    <t>249</t>
  </si>
  <si>
    <t>250</t>
  </si>
  <si>
    <t>ESSER III (ARPA) American Rescue Plan Act</t>
  </si>
  <si>
    <t>251</t>
  </si>
  <si>
    <t>Title I-A ESSA - Improving Basic Programs</t>
  </si>
  <si>
    <t>252</t>
  </si>
  <si>
    <t>ESSER I (CARES) Coronavirus Aid, Relief and Economic Security Act</t>
  </si>
  <si>
    <t>253</t>
  </si>
  <si>
    <t>Title I-C ESSA - Education of Migratory Children</t>
  </si>
  <si>
    <t>254</t>
  </si>
  <si>
    <t>ESSER II (CRRSA) Coronavirus Response and Relief Supplemental Appropriations Act</t>
  </si>
  <si>
    <t>255</t>
  </si>
  <si>
    <t>Title I-D ESSA - Neglected &amp; Delinquent Children</t>
  </si>
  <si>
    <t>256</t>
  </si>
  <si>
    <t>Reserved (formerly Title I-F ESEA - Compr. School Reform)</t>
  </si>
  <si>
    <t>257</t>
  </si>
  <si>
    <t>IDEA Part B (611 School Age 3-21)</t>
  </si>
  <si>
    <t>258</t>
  </si>
  <si>
    <t>IDEA Part B  (619 Pre-School Age 3-5)</t>
  </si>
  <si>
    <t>259</t>
  </si>
  <si>
    <t>IDEA Part B (ARPA) American Rescue Plan Act</t>
  </si>
  <si>
    <t>260</t>
  </si>
  <si>
    <t>School-Based Medicaid</t>
  </si>
  <si>
    <t>Title IV-A ESSA - Student Support and Academic Enrichment</t>
  </si>
  <si>
    <t>262</t>
  </si>
  <si>
    <t>Title V-B ESSA - Rural Education Initiative</t>
  </si>
  <si>
    <t>263</t>
  </si>
  <si>
    <t>Perkins IV - Professional Technical Act</t>
  </si>
  <si>
    <t>267</t>
  </si>
  <si>
    <t>Title VII-A  Indian Education</t>
  </si>
  <si>
    <t>269</t>
  </si>
  <si>
    <t xml:space="preserve">Johnson O'Malley </t>
  </si>
  <si>
    <t>270</t>
  </si>
  <si>
    <t>Title III-A ESSA - English Language Acquisition</t>
  </si>
  <si>
    <t>271</t>
  </si>
  <si>
    <t>Title II-A ESEA - Supporting Effective Instruction</t>
  </si>
  <si>
    <t>272</t>
  </si>
  <si>
    <t>Federal Special Projects</t>
  </si>
  <si>
    <t>273</t>
  </si>
  <si>
    <t>Title IV-B ESEA - 21st Century Community Learning Centers</t>
  </si>
  <si>
    <t>274</t>
  </si>
  <si>
    <t>275</t>
  </si>
  <si>
    <t>276</t>
  </si>
  <si>
    <t>277</t>
  </si>
  <si>
    <t>278</t>
  </si>
  <si>
    <t>279</t>
  </si>
  <si>
    <t>280</t>
  </si>
  <si>
    <t>281</t>
  </si>
  <si>
    <t>282</t>
  </si>
  <si>
    <t>283</t>
  </si>
  <si>
    <t>284</t>
  </si>
  <si>
    <t>285</t>
  </si>
  <si>
    <t>286</t>
  </si>
  <si>
    <t>287</t>
  </si>
  <si>
    <t>288</t>
  </si>
  <si>
    <t>289</t>
  </si>
  <si>
    <t>290</t>
  </si>
  <si>
    <t>Child Nutrition</t>
  </si>
  <si>
    <t>300</t>
  </si>
  <si>
    <t>Debt Service Fund</t>
  </si>
  <si>
    <t>310</t>
  </si>
  <si>
    <t xml:space="preserve">Bond Redemption &amp; Interest </t>
  </si>
  <si>
    <t>400</t>
  </si>
  <si>
    <t>Capital Project Funds</t>
  </si>
  <si>
    <t>410</t>
  </si>
  <si>
    <t>Capital Construction Projects</t>
  </si>
  <si>
    <t>420</t>
  </si>
  <si>
    <t>Plant Facilities</t>
  </si>
  <si>
    <t>424</t>
  </si>
  <si>
    <t>Plant Facilities - Bus Depreciation</t>
  </si>
  <si>
    <t>425</t>
  </si>
  <si>
    <t>Plant Facilities - Lottery</t>
  </si>
  <si>
    <t>427</t>
  </si>
  <si>
    <t>Plant Facilities - Lease Excess</t>
  </si>
  <si>
    <t>430</t>
  </si>
  <si>
    <t>Plant Facilities - School Building Maintenance Student-Occupied</t>
  </si>
  <si>
    <t>490</t>
  </si>
  <si>
    <t>Insurance Adjustment Fund</t>
  </si>
  <si>
    <t>500</t>
  </si>
  <si>
    <t>Enterprise Funds</t>
  </si>
  <si>
    <t>510</t>
  </si>
  <si>
    <t>Enterprise Fund</t>
  </si>
  <si>
    <t>600</t>
  </si>
  <si>
    <t>Internal Service Funds</t>
  </si>
  <si>
    <t>610</t>
  </si>
  <si>
    <t>Internal Service</t>
  </si>
  <si>
    <t>700</t>
  </si>
  <si>
    <t>Fiduciary Funds</t>
  </si>
  <si>
    <t>Expendable Trust Funds</t>
  </si>
  <si>
    <t>711</t>
  </si>
  <si>
    <t>712</t>
  </si>
  <si>
    <t>713</t>
  </si>
  <si>
    <t>714</t>
  </si>
  <si>
    <t>715</t>
  </si>
  <si>
    <t>716</t>
  </si>
  <si>
    <t>717</t>
  </si>
  <si>
    <t>718</t>
  </si>
  <si>
    <t>719</t>
  </si>
  <si>
    <t>Non-Expendable Trust</t>
  </si>
  <si>
    <t>721</t>
  </si>
  <si>
    <t>722</t>
  </si>
  <si>
    <t>723</t>
  </si>
  <si>
    <t>724</t>
  </si>
  <si>
    <t>725</t>
  </si>
  <si>
    <t>726</t>
  </si>
  <si>
    <t>727</t>
  </si>
  <si>
    <t>728</t>
  </si>
  <si>
    <t>729</t>
  </si>
  <si>
    <t>750</t>
  </si>
  <si>
    <t>School Activity Fund (Agency Fund)</t>
  </si>
  <si>
    <t>General Fixed Assets</t>
  </si>
  <si>
    <t>910</t>
  </si>
  <si>
    <t>General Long Term Debt</t>
  </si>
  <si>
    <t>Title I-A</t>
  </si>
  <si>
    <t>Improving Basic Programs</t>
  </si>
  <si>
    <t>Title I-C</t>
  </si>
  <si>
    <t>Migrant Education</t>
  </si>
  <si>
    <t>03</t>
  </si>
  <si>
    <t>Title VI-B</t>
  </si>
  <si>
    <t>Rural &amp; Low-Income Schools/REAP</t>
  </si>
  <si>
    <t>IDEA -- Special Ed</t>
  </si>
  <si>
    <t>IDEA -- Preschool</t>
  </si>
  <si>
    <t>Transportation Program</t>
  </si>
  <si>
    <t>Food Service Program</t>
  </si>
  <si>
    <t>Other Federal</t>
  </si>
  <si>
    <t>09</t>
  </si>
  <si>
    <t>Other State/Local</t>
  </si>
  <si>
    <t>General Fund</t>
  </si>
  <si>
    <t>Includes State LEP Funds</t>
  </si>
  <si>
    <t>Title II-A</t>
  </si>
  <si>
    <t>Teacher &amp; Principal Quality</t>
  </si>
  <si>
    <t>Title X-C</t>
  </si>
  <si>
    <t>McKinney-Vento Homeless Education</t>
  </si>
  <si>
    <t>Title X-C Subgrant</t>
  </si>
  <si>
    <t>McKinney-Vento Homeless Education Subgrant</t>
  </si>
  <si>
    <t>Title III-A</t>
  </si>
  <si>
    <t>Language Instruction for LEP &amp; Immigrant Students</t>
  </si>
  <si>
    <t>Title III-A Subgrant</t>
  </si>
  <si>
    <t>Immigrant Subgrant</t>
  </si>
  <si>
    <t>Title I-D Subpart 1</t>
  </si>
  <si>
    <t>Neglected or Delinquent Subpart 1</t>
  </si>
  <si>
    <t>Title I-D Subpart 2</t>
  </si>
  <si>
    <t>Neglected or Delinquent Subpart 2</t>
  </si>
  <si>
    <t>Female</t>
  </si>
  <si>
    <t xml:space="preserve">The biological trait that distinguishes a persons sex as female. As shown from a legal document. (i.e. Birth Certificate, Court document, Passport, State Issued Identification, etc.) Note: This field is not to be used for “Gender Identity” purposes. </t>
  </si>
  <si>
    <t>Male</t>
  </si>
  <si>
    <t xml:space="preserve">The biological trait that distinguishes a persons sex as male. As shown from a legal document. (i.e. Birth Certificate, Court document, Passport, State Issued Identification, etc.) Note: This field is not to be used for “Gender Identity” purposes. </t>
  </si>
  <si>
    <t>Graduate - Met Regular Requirements</t>
  </si>
  <si>
    <t>Graduated with diploma – met regular requirements: Student exited by meeting comparable academic requirements that are equally as rigorous as regular academic requirements established by the district and received an identical diploma. Also include:
  • Students who continued in secondary education and a GED program and received a GED
  • Students incarcerated in juvenile detention or adult corrections and received a GED</t>
  </si>
  <si>
    <t>Students that did NOT meet Idaho State High School Graduation Requirements outlined in 08.02.03.105 but whose program of study addressed adapted (modified or differentiated) coursework.</t>
  </si>
  <si>
    <t>Reached Maximum Age: Student completed the semester in which he or she turned 21 without receiving a diploma or certificate.</t>
  </si>
  <si>
    <t>Dropped Out</t>
  </si>
  <si>
    <t>Dropped out: Student was on last year’s child count, is not currently enrolled, and does not meet the definition for any other inactive reason. Include:
  • dropouts
  • runaways
  • expelled students (not receiving district services)
  • students whose status is unknown
  • students who left school and then received a GED</t>
  </si>
  <si>
    <t>Transfer to Another Education Environment</t>
  </si>
  <si>
    <t>Transferred to Another Educational setting: Student moved out of the district’s catchment area or otherwise transferred to another district or LEA and is known to be continuing in a general or special education program. Include students receiving education in:
  • residential treatment centers
  • juvenile detention centers
  • correctional facilities
  • private schools
  • Job Corps
  • Virtual Charter Schools
To use this code there must be verification that the student is continuing in some education program in the form of a request for records or a statement from the parents. Hearsay is not adequate verification that the student is known to continue.</t>
  </si>
  <si>
    <t>End of Formal Services</t>
  </si>
  <si>
    <t>Student no longer receives program services.</t>
  </si>
  <si>
    <t>Deceased: Student died since the last count.</t>
  </si>
  <si>
    <t>Summer Break</t>
  </si>
  <si>
    <t xml:space="preserve">Student has active gifted IEP, temporarily exiting program services for Summer break, expected to return in fall - to advance grade level or program. </t>
  </si>
  <si>
    <t>No Grade Level Specified</t>
  </si>
  <si>
    <t>Pre-Kindergarten</t>
  </si>
  <si>
    <t>000</t>
  </si>
  <si>
    <t>General Category - Out-of-State</t>
  </si>
  <si>
    <t>010</t>
  </si>
  <si>
    <t>Boise State University</t>
  </si>
  <si>
    <t>020</t>
  </si>
  <si>
    <t xml:space="preserve">College of Idaho </t>
  </si>
  <si>
    <t>023</t>
  </si>
  <si>
    <t>College of St Gertrude</t>
  </si>
  <si>
    <t>025</t>
  </si>
  <si>
    <t>College of Western Idaho</t>
  </si>
  <si>
    <t>030</t>
  </si>
  <si>
    <t>Idaho State University</t>
  </si>
  <si>
    <t>035</t>
  </si>
  <si>
    <t>Lewis-Clark State College</t>
  </si>
  <si>
    <t>040</t>
  </si>
  <si>
    <t>North Idaho College</t>
  </si>
  <si>
    <t>045</t>
  </si>
  <si>
    <t>Albion or Southern College of Idaho</t>
  </si>
  <si>
    <t>050</t>
  </si>
  <si>
    <t>Northwest Nazarene University</t>
  </si>
  <si>
    <t>055</t>
  </si>
  <si>
    <t xml:space="preserve">BYU - Utah </t>
  </si>
  <si>
    <t>060</t>
  </si>
  <si>
    <t>BYU - Idaho</t>
  </si>
  <si>
    <t>065</t>
  </si>
  <si>
    <t>Gooding College</t>
  </si>
  <si>
    <t>070</t>
  </si>
  <si>
    <t>University of Idaho</t>
  </si>
  <si>
    <t>075</t>
  </si>
  <si>
    <t>ISU/UI At University Place - Idaho Falls</t>
  </si>
  <si>
    <t>080</t>
  </si>
  <si>
    <t>Magic Valley Christian College</t>
  </si>
  <si>
    <t>082</t>
  </si>
  <si>
    <t>College of Eastern Idaho</t>
  </si>
  <si>
    <t>085</t>
  </si>
  <si>
    <t>College of Southern Idaho</t>
  </si>
  <si>
    <t>090</t>
  </si>
  <si>
    <t>Other Idaho College or University</t>
  </si>
  <si>
    <t>Shelters</t>
  </si>
  <si>
    <t>Supervised public or private facilities that provide temporary living accommodations to individuals without permanent housing</t>
  </si>
  <si>
    <t xml:space="preserve">Includes: missions, domestic violence shelters or homeless shelters </t>
  </si>
  <si>
    <t>Doubled-up</t>
  </si>
  <si>
    <t xml:space="preserve">Doubled-up </t>
  </si>
  <si>
    <t>Includes: living with another family</t>
  </si>
  <si>
    <t>Unsheltered</t>
  </si>
  <si>
    <t>Includes: cars, parks, campgrounds, temporary trailer, or abandoned buildings</t>
  </si>
  <si>
    <t>Hotel/Motel</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</si>
  <si>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</si>
  <si>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</si>
  <si>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</si>
  <si>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</si>
  <si>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</si>
  <si>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</si>
  <si>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</si>
  <si>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</si>
  <si>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</si>
  <si>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</si>
  <si>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</si>
  <si>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</si>
  <si>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</si>
  <si>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</si>
  <si>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</si>
  <si>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</si>
  <si>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</si>
  <si>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</si>
  <si>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</si>
  <si>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</si>
  <si>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</si>
  <si>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</si>
  <si>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</si>
  <si>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</si>
  <si>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</si>
  <si>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</si>
  <si>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</si>
  <si>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</si>
  <si>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</si>
  <si>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</si>
  <si>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</si>
  <si>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</si>
  <si>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</si>
  <si>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</si>
  <si>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</si>
  <si>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</si>
  <si>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</si>
  <si>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</si>
  <si>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</si>
  <si>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</si>
  <si>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</si>
  <si>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</si>
  <si>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</si>
  <si>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</si>
  <si>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Other County or location outside of Idaho</t>
  </si>
  <si>
    <t>DRG</t>
  </si>
  <si>
    <t>Drugs</t>
  </si>
  <si>
    <t>The use, possession, sale, or solicitation of drugs as identified in 21 U.S.C. Section 812(c).  These offenses do not include the use, possession, sale, or solicitation of alcohol or tobacco.</t>
  </si>
  <si>
    <t>SBI</t>
  </si>
  <si>
    <t>Serious Bodily Injury</t>
  </si>
  <si>
    <t>A bodily injury that involves a substantial risk of death; extreme physical pain; protracted and obvious disfigurement; or protracted loss or impairment of the function of a bodily member, organ or faculty. (18 USC Section 1365(h)(3))</t>
  </si>
  <si>
    <t>WPN</t>
  </si>
  <si>
    <t>Weapons Possession</t>
  </si>
  <si>
    <t>WPU</t>
  </si>
  <si>
    <t>Weapons Use</t>
  </si>
  <si>
    <t>Use of a weapon, device, instrument, material, or substance, animate or inanimate, that is used for, or is readily capable of causing death or serious bodily injury; such a term does not include a pocket knife with a blade of less than 2 ½ inches in length. (18 USC section 930(g)(2))</t>
  </si>
  <si>
    <t>CT</t>
  </si>
  <si>
    <t>Co Taught</t>
  </si>
  <si>
    <t>Co-taught is an approach to program delivery where two or more teachers ( generally a general and special education teachers, but not always) share teaching responsibilities within a regular classroom.  Co-teaching is two or more people sharing responsibility for teaching some or all of the students assigned to a classroom. It involves the distribution of responsibility among people for planning, instruction, and evaluation for a classroom of students.</t>
  </si>
  <si>
    <t>DA</t>
  </si>
  <si>
    <t>Distance Learning (All Students)</t>
  </si>
  <si>
    <t>The instructor and all the students in the course are in different locations.  The instruction interaction takes place in real time.  Examples include video conferencing, IEN and WebEx, Live Meeting, etc.</t>
  </si>
  <si>
    <t>DS</t>
  </si>
  <si>
    <t>Distance learning (Some Students)</t>
  </si>
  <si>
    <t>The instructor is in the classroom with some students, while other students are at another location. The instruction interaction is in real time.  Examples include video conferencing, IEN and WebEx, Live Meeting, etc..</t>
  </si>
  <si>
    <t>Sheltered English Class</t>
  </si>
  <si>
    <t>Sheltered Instruction, is a teaching style founded on the concept of providing meaningful instruction in the content areas (social studies, math, science) for transitioning Limited English Proficient (LEP) students towards higher academic achievement while they reach English fluency. Sometimes the children are all in the same grade level, but other times, particularly when there are a limited number of gifted children, the classroom may contain children spanning more than one grade level, grades four through six, for example.</t>
  </si>
  <si>
    <t>RC</t>
  </si>
  <si>
    <t>Regular Classroom</t>
  </si>
  <si>
    <t>“Regular Education Class” refers to the educational environments where children without disabilities receive instruction and participate in activities throughout the school day. It includes instruction that occurs outside of the actual classroom such as within the school or community where interaction occurs with persons without disabilities (example – assemblies, field trips, etc.).</t>
  </si>
  <si>
    <t>RR</t>
  </si>
  <si>
    <t>Resource Room</t>
  </si>
  <si>
    <t>A student is not in this room 100% of the day normally but rather  Resource rooms are classrooms where a special education teacher instructs and assists students identified with a disability. These classrooms are staffed by special education teachers and sometimes paraprofessionals. The number of students in a resource room at a specific time varies, but typically consists of at most five students per instructor. Mainstreaming in education typically includes this service to students with special needs. These students receive special instruction in an individualized or group setting for a portion of the day. Individual needs are supported in resource rooms as defined by the student's Individualized Education Program (IEP).] The student getting this type of support will receive some time in the resource room, which is referred to as a "removal from the regular education environment" portion of the day and sometime in the regular classroom with modifications and/or accommodations which may include specialized instruction with their non-disabled peers. Special education support within the regular education setting is part of the "inclusion model.”</t>
  </si>
  <si>
    <t>Self-Contained Classroom</t>
  </si>
  <si>
    <t>A self-contained classroom is one in which the students share similar academic requirements. For example, all the gifted children in a school or school district will be contained in the same classroom.</t>
  </si>
  <si>
    <t>Virtual</t>
  </si>
  <si>
    <t>Virtual class where the instructor and the student are in different locations and the interaction is not in real time. Examples include on-line, correspondence, computer-based, etc.</t>
  </si>
  <si>
    <t>Night/Evening Class</t>
  </si>
  <si>
    <t>A course, or section, in which instruction is delivered to students in the evening.</t>
  </si>
  <si>
    <t>AM Only - Every Day</t>
  </si>
  <si>
    <t>PM Only Every Day</t>
  </si>
  <si>
    <t>Wk 1 M,W,F and Wk 2 T,Th</t>
  </si>
  <si>
    <t>M, W every other F</t>
  </si>
  <si>
    <t>T, Th every other F</t>
  </si>
  <si>
    <t>AM and PM (full day) every day</t>
  </si>
  <si>
    <t>Other schedule type 7</t>
  </si>
  <si>
    <t>Other schedule type 8</t>
  </si>
  <si>
    <t>Other schedule type 9</t>
  </si>
  <si>
    <t>aar</t>
  </si>
  <si>
    <t>Afar</t>
  </si>
  <si>
    <t>abk</t>
  </si>
  <si>
    <t>Abkhazian</t>
  </si>
  <si>
    <t>ace</t>
  </si>
  <si>
    <t>Acehnese, Achinese</t>
  </si>
  <si>
    <t>ach</t>
  </si>
  <si>
    <t>Acoli</t>
  </si>
  <si>
    <t>ada</t>
  </si>
  <si>
    <t>Adangme</t>
  </si>
  <si>
    <t>ady</t>
  </si>
  <si>
    <t>Adyghe, Adygei</t>
  </si>
  <si>
    <t>afa</t>
  </si>
  <si>
    <t>Afroasiatic languages</t>
  </si>
  <si>
    <t>afh</t>
  </si>
  <si>
    <t>Afrihili</t>
  </si>
  <si>
    <t>afr</t>
  </si>
  <si>
    <t>Afrikaans</t>
  </si>
  <si>
    <t>ain</t>
  </si>
  <si>
    <t>Ainu (Japan)</t>
  </si>
  <si>
    <t>aka</t>
  </si>
  <si>
    <t>Akan</t>
  </si>
  <si>
    <t>akk</t>
  </si>
  <si>
    <t>Akkadian</t>
  </si>
  <si>
    <t>alb</t>
  </si>
  <si>
    <t>Albanian</t>
  </si>
  <si>
    <t>ale</t>
  </si>
  <si>
    <t>Aleut</t>
  </si>
  <si>
    <t>alg</t>
  </si>
  <si>
    <t>Algonquian languages</t>
  </si>
  <si>
    <t>alt</t>
  </si>
  <si>
    <t>Southern Altai</t>
  </si>
  <si>
    <t>amh</t>
  </si>
  <si>
    <t>Amharic</t>
  </si>
  <si>
    <t>ang</t>
  </si>
  <si>
    <t>English, Old (ca. 450-1100)</t>
  </si>
  <si>
    <t>anp</t>
  </si>
  <si>
    <t>Angika</t>
  </si>
  <si>
    <t>apa</t>
  </si>
  <si>
    <t>Apache languages</t>
  </si>
  <si>
    <t>ara</t>
  </si>
  <si>
    <t>Arabic</t>
  </si>
  <si>
    <t>arc</t>
  </si>
  <si>
    <t>Official Aramaic, Imperial Aramaic (700–300 BC)</t>
  </si>
  <si>
    <t>arg</t>
  </si>
  <si>
    <t>Aragonese</t>
  </si>
  <si>
    <t>arm</t>
  </si>
  <si>
    <t>Armenian</t>
  </si>
  <si>
    <t>arn</t>
  </si>
  <si>
    <t>Mapudungun, Mapuche</t>
  </si>
  <si>
    <t>arp</t>
  </si>
  <si>
    <t>Arapaho</t>
  </si>
  <si>
    <t>art</t>
  </si>
  <si>
    <t>Artificial languages</t>
  </si>
  <si>
    <t>arw</t>
  </si>
  <si>
    <t>Arawak</t>
  </si>
  <si>
    <t>asm</t>
  </si>
  <si>
    <t>Assamese</t>
  </si>
  <si>
    <t>ast</t>
  </si>
  <si>
    <t>Asturian, Bable, Leonese, Asturleonese</t>
  </si>
  <si>
    <t>ath</t>
  </si>
  <si>
    <t>Athabaskan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</si>
  <si>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</si>
  <si>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</si>
  <si>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</si>
  <si>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</si>
  <si>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</si>
  <si>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</si>
  <si>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</si>
  <si>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</si>
  <si>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</si>
  <si>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</si>
  <si>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</si>
  <si>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</si>
  <si>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</si>
  <si>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</si>
  <si>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</si>
  <si>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</si>
  <si>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</si>
  <si>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</si>
  <si>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</si>
  <si>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</si>
  <si>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</si>
  <si>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</si>
  <si>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</si>
  <si>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</si>
  <si>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</si>
  <si>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</si>
  <si>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</si>
  <si>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</si>
  <si>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</si>
  <si>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</si>
  <si>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</si>
  <si>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 Bedawiyet</t>
  </si>
  <si>
    <t>bel</t>
  </si>
  <si>
    <t>Belarusian</t>
  </si>
  <si>
    <t>bem</t>
  </si>
  <si>
    <t>Bemba</t>
  </si>
  <si>
    <t>ben</t>
  </si>
  <si>
    <t>Bengali</t>
  </si>
  <si>
    <t>ber</t>
  </si>
  <si>
    <t>Berber languages</t>
  </si>
  <si>
    <t>bho</t>
  </si>
  <si>
    <t>Bhojpuri</t>
  </si>
  <si>
    <t>bih</t>
  </si>
  <si>
    <t>Bihari (languages)</t>
  </si>
  <si>
    <t>bik</t>
  </si>
  <si>
    <t>Bikol</t>
  </si>
  <si>
    <t>bin</t>
  </si>
  <si>
    <t>Bini, Edo</t>
  </si>
  <si>
    <t>bis</t>
  </si>
  <si>
    <t>Bislama</t>
  </si>
  <si>
    <t>bla</t>
  </si>
  <si>
    <t>Siksika</t>
  </si>
  <si>
    <t>bnt</t>
  </si>
  <si>
    <t>Bantu languages</t>
  </si>
  <si>
    <t>bos</t>
  </si>
  <si>
    <t>Bosnian</t>
  </si>
  <si>
    <t>bra</t>
  </si>
  <si>
    <t>Braj</t>
  </si>
  <si>
    <t>bre</t>
  </si>
  <si>
    <t>Breton</t>
  </si>
  <si>
    <t>btk</t>
  </si>
  <si>
    <t>Batak languages</t>
  </si>
  <si>
    <t>bua</t>
  </si>
  <si>
    <t>Buriat</t>
  </si>
  <si>
    <t>bug</t>
  </si>
  <si>
    <t>Buginese</t>
  </si>
  <si>
    <t>bul</t>
  </si>
  <si>
    <t>Bulgarian</t>
  </si>
  <si>
    <t>bur</t>
  </si>
  <si>
    <t>Burmese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</si>
  <si>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</si>
  <si>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</si>
  <si>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</si>
  <si>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</si>
  <si>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</si>
  <si>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</si>
  <si>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</si>
  <si>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</si>
  <si>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</si>
  <si>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</si>
  <si>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</si>
  <si>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</si>
  <si>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</si>
  <si>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</si>
  <si>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</si>
  <si>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</si>
  <si>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cha</t>
  </si>
  <si>
    <t>Chamorro</t>
  </si>
  <si>
    <t>chb</t>
  </si>
  <si>
    <t>Chibcha</t>
  </si>
  <si>
    <t>che</t>
  </si>
  <si>
    <t>Chechen</t>
  </si>
  <si>
    <t>chg</t>
  </si>
  <si>
    <t>Chagatai</t>
  </si>
  <si>
    <t>chi</t>
  </si>
  <si>
    <t>Chinese</t>
  </si>
  <si>
    <t>chk</t>
  </si>
  <si>
    <t>Chuukese</t>
  </si>
  <si>
    <t>chm</t>
  </si>
  <si>
    <t>Mari (Russia)</t>
  </si>
  <si>
    <t>chn</t>
  </si>
  <si>
    <t>Chinook Jargon</t>
  </si>
  <si>
    <t>cho</t>
  </si>
  <si>
    <t>Choctaw</t>
  </si>
  <si>
    <t>chp</t>
  </si>
  <si>
    <t>Chipewyan, Dene Suline</t>
  </si>
  <si>
    <t>chr</t>
  </si>
  <si>
    <t>Cherokee</t>
  </si>
  <si>
    <t>chu</t>
  </si>
  <si>
    <t>Church Slavonic, Church Slavic, Old Church Slavonic, Old Slavonic, Old Bulgarian</t>
  </si>
  <si>
    <t>chv</t>
  </si>
  <si>
    <t>Chuvash</t>
  </si>
  <si>
    <t>chy</t>
  </si>
  <si>
    <t>Cheyenne</t>
  </si>
  <si>
    <t>cmc</t>
  </si>
  <si>
    <t>Chamic languages</t>
  </si>
  <si>
    <t>cop</t>
  </si>
  <si>
    <t>Coptic</t>
  </si>
  <si>
    <t>cor</t>
  </si>
  <si>
    <t>Cornish</t>
  </si>
  <si>
    <t>cos</t>
  </si>
  <si>
    <t>Corsican</t>
  </si>
  <si>
    <t>cpe</t>
  </si>
  <si>
    <t>creoles and pidgins, English-based</t>
  </si>
  <si>
    <t>cpf</t>
  </si>
  <si>
    <t>creoles and pidgins, French-based</t>
  </si>
  <si>
    <t>cpp</t>
  </si>
  <si>
    <t>creoles and pidgins, Portuguese-based</t>
  </si>
  <si>
    <t>cre</t>
  </si>
  <si>
    <t>Cree</t>
  </si>
  <si>
    <t>crh</t>
  </si>
  <si>
    <t>Crimean Tatar, Crimean Turkish</t>
  </si>
  <si>
    <t>crp</t>
  </si>
  <si>
    <t>creoles and pidgins</t>
  </si>
  <si>
    <t>csb</t>
  </si>
  <si>
    <t>Kashubian</t>
  </si>
  <si>
    <t>cus</t>
  </si>
  <si>
    <t>Cushitic languages</t>
  </si>
  <si>
    <t>cze</t>
  </si>
  <si>
    <t>Czech</t>
  </si>
  <si>
    <t>dak</t>
  </si>
  <si>
    <t>Dakota</t>
  </si>
  <si>
    <t>dan</t>
  </si>
  <si>
    <t>Danish</t>
  </si>
  <si>
    <t>dar</t>
  </si>
  <si>
    <t>Dargwa</t>
  </si>
  <si>
    <t>day</t>
  </si>
  <si>
    <t>Land Dayak languages</t>
  </si>
  <si>
    <t>del</t>
  </si>
  <si>
    <t>Delaware</t>
  </si>
  <si>
    <t>den</t>
  </si>
  <si>
    <t>Slave (Athapascan)</t>
  </si>
  <si>
    <t>dgr</t>
  </si>
  <si>
    <t>Dogrib</t>
  </si>
  <si>
    <t>din</t>
  </si>
  <si>
    <t>Dinka</t>
  </si>
  <si>
    <t>div</t>
  </si>
  <si>
    <t>Divehi, Dhivehi, Maldivian</t>
  </si>
  <si>
    <t>doi</t>
  </si>
  <si>
    <t>Dogri</t>
  </si>
  <si>
    <t>dra</t>
  </si>
  <si>
    <t>Dravidian languages</t>
  </si>
  <si>
    <t>dsb</t>
  </si>
  <si>
    <t>Lower Sorbian</t>
  </si>
  <si>
    <t>dua</t>
  </si>
  <si>
    <t>Duala</t>
  </si>
  <si>
    <t>dum</t>
  </si>
  <si>
    <t>Dutch, Middle (ca. 1050–1350)</t>
  </si>
  <si>
    <t>dut</t>
  </si>
  <si>
    <t>Dutch, Flemish</t>
  </si>
  <si>
    <t>dyu</t>
  </si>
  <si>
    <t>Dyula</t>
  </si>
  <si>
    <t>dzo</t>
  </si>
  <si>
    <t>Dzongkha</t>
  </si>
  <si>
    <t>efi</t>
  </si>
  <si>
    <t>Efik</t>
  </si>
  <si>
    <t>egy</t>
  </si>
  <si>
    <t>Egyptian (Ancient)</t>
  </si>
  <si>
    <t>eka</t>
  </si>
  <si>
    <t>Ekajuk</t>
  </si>
  <si>
    <t>elx</t>
  </si>
  <si>
    <t>Elamite</t>
  </si>
  <si>
    <t>eng</t>
  </si>
  <si>
    <t>English</t>
  </si>
  <si>
    <t>enm</t>
  </si>
  <si>
    <t>Middle English (1100–1500)</t>
  </si>
  <si>
    <t>epo</t>
  </si>
  <si>
    <t>Esperanto</t>
  </si>
  <si>
    <t>est</t>
  </si>
  <si>
    <t>Estonian</t>
  </si>
  <si>
    <t>ewe</t>
  </si>
  <si>
    <t>Ewe</t>
  </si>
  <si>
    <t>ewo</t>
  </si>
  <si>
    <t>Ewondo</t>
  </si>
  <si>
    <t>fan</t>
  </si>
  <si>
    <t>Fang</t>
  </si>
  <si>
    <t>fao</t>
  </si>
  <si>
    <t>Faroese</t>
  </si>
  <si>
    <t>fat</t>
  </si>
  <si>
    <t>Fanti</t>
  </si>
  <si>
    <t>fij</t>
  </si>
  <si>
    <t>Fijian</t>
  </si>
  <si>
    <t>fil</t>
  </si>
  <si>
    <t>Filipino, Pilipino</t>
  </si>
  <si>
    <t>fin</t>
  </si>
  <si>
    <t>Finnish</t>
  </si>
  <si>
    <t>fiu</t>
  </si>
  <si>
    <t>Finno-Ugric languages</t>
  </si>
  <si>
    <t>fon</t>
  </si>
  <si>
    <t>Fon</t>
  </si>
  <si>
    <t>fre</t>
  </si>
  <si>
    <t>French</t>
  </si>
  <si>
    <t>frm</t>
  </si>
  <si>
    <t>Middle French (ca. 1400—1600)</t>
  </si>
  <si>
    <t>fro</t>
  </si>
  <si>
    <t>Old French (842—ca. 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</si>
  <si>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</si>
  <si>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</si>
  <si>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</si>
  <si>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</si>
  <si>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</si>
  <si>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</si>
  <si>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</si>
  <si>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</si>
  <si>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</si>
  <si>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</si>
  <si>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</si>
  <si>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</si>
  <si>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</si>
  <si>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</si>
  <si>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</si>
  <si>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</si>
  <si>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</si>
  <si>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</si>
  <si>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</si>
  <si>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</si>
  <si>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ger</t>
  </si>
  <si>
    <t>German</t>
  </si>
  <si>
    <t>gez</t>
  </si>
  <si>
    <t>Ge'ez</t>
  </si>
  <si>
    <t>gil</t>
  </si>
  <si>
    <t>Gilbertese, Kiribati</t>
  </si>
  <si>
    <t>gla</t>
  </si>
  <si>
    <t>Scottish Gaelic, Gaelic</t>
  </si>
  <si>
    <t>gle</t>
  </si>
  <si>
    <t>Irish</t>
  </si>
  <si>
    <t>glg</t>
  </si>
  <si>
    <t>Galician</t>
  </si>
  <si>
    <t>glv</t>
  </si>
  <si>
    <t>Manx</t>
  </si>
  <si>
    <t>gmh</t>
  </si>
  <si>
    <t>German, Middle High (ca 1050-1500)</t>
  </si>
  <si>
    <t>goh</t>
  </si>
  <si>
    <t>Old High German (ca. 750–1050)</t>
  </si>
  <si>
    <t>gon</t>
  </si>
  <si>
    <t>Gondi</t>
  </si>
  <si>
    <t>gor</t>
  </si>
  <si>
    <t>Gorontalo</t>
  </si>
  <si>
    <t>got</t>
  </si>
  <si>
    <t>Gothic</t>
  </si>
  <si>
    <t>grb</t>
  </si>
  <si>
    <t>Grebo</t>
  </si>
  <si>
    <t>grc</t>
  </si>
  <si>
    <t>Ancient Greek (–1453)</t>
  </si>
  <si>
    <t>gre</t>
  </si>
  <si>
    <t>Modern Greek (1453–)</t>
  </si>
  <si>
    <t>grn</t>
  </si>
  <si>
    <t>Guarani</t>
  </si>
  <si>
    <t>gsw</t>
  </si>
  <si>
    <t>Swiss German, Alemannic</t>
  </si>
  <si>
    <t>guj</t>
  </si>
  <si>
    <t>Gujarati</t>
  </si>
  <si>
    <t>gwi</t>
  </si>
  <si>
    <t>Gwich'in</t>
  </si>
  <si>
    <t>hai</t>
  </si>
  <si>
    <t>Haida</t>
  </si>
  <si>
    <t>hat</t>
  </si>
  <si>
    <t>Haitian Creole, Haitian</t>
  </si>
  <si>
    <t>hau</t>
  </si>
  <si>
    <t>Hausa</t>
  </si>
  <si>
    <t>haw</t>
  </si>
  <si>
    <t>Hawaiian</t>
  </si>
  <si>
    <t>heb</t>
  </si>
  <si>
    <t>Hebrew</t>
  </si>
  <si>
    <t>her</t>
  </si>
  <si>
    <t>Herero</t>
  </si>
  <si>
    <t>hil</t>
  </si>
  <si>
    <t>Hiligaynon</t>
  </si>
  <si>
    <t>him</t>
  </si>
  <si>
    <t>Himachali</t>
  </si>
  <si>
    <t>hin</t>
  </si>
  <si>
    <t>Hindi</t>
  </si>
  <si>
    <t>hit</t>
  </si>
  <si>
    <t>Hittite</t>
  </si>
  <si>
    <t>hmn</t>
  </si>
  <si>
    <t>Hmong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</si>
  <si>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</si>
  <si>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</si>
  <si>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</si>
  <si>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</si>
  <si>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</si>
  <si>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</si>
  <si>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</si>
  <si>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</si>
  <si>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</si>
  <si>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</si>
  <si>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</si>
  <si>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</si>
  <si>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</si>
  <si>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</si>
  <si>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</si>
  <si>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</si>
  <si>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</si>
  <si>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</si>
  <si>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</si>
  <si>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 Nuosu</t>
  </si>
  <si>
    <t>ijo</t>
  </si>
  <si>
    <t>Ijo languages</t>
  </si>
  <si>
    <t>iku</t>
  </si>
  <si>
    <t>Inuktitut</t>
  </si>
  <si>
    <t>ile</t>
  </si>
  <si>
    <t>Interlingue, Occidental</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</si>
  <si>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</si>
  <si>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</si>
  <si>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</si>
  <si>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</si>
  <si>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</si>
  <si>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</si>
  <si>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</si>
  <si>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</si>
  <si>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</si>
  <si>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</si>
  <si>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</si>
  <si>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</si>
  <si>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</si>
  <si>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</si>
  <si>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</si>
  <si>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</si>
  <si>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</si>
  <si>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</si>
  <si>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</si>
  <si>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</si>
  <si>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</si>
  <si>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</si>
  <si>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</si>
  <si>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</si>
  <si>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</si>
  <si>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</si>
  <si>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</si>
  <si>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Judæo-Persian</t>
  </si>
  <si>
    <t>jrb</t>
  </si>
  <si>
    <t>Judeo-Arabic</t>
  </si>
  <si>
    <t>kaa</t>
  </si>
  <si>
    <t>Kara-Kalpak</t>
  </si>
  <si>
    <t>kab</t>
  </si>
  <si>
    <t>Kabyle</t>
  </si>
  <si>
    <t>kac</t>
  </si>
  <si>
    <t>Kachin, Jingpho</t>
  </si>
  <si>
    <t>kal</t>
  </si>
  <si>
    <t>Greenlandic, Kalaallisut</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</si>
  <si>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</si>
  <si>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</si>
  <si>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</si>
  <si>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</si>
  <si>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</si>
  <si>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</si>
  <si>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</si>
  <si>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</si>
  <si>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</si>
  <si>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</si>
  <si>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</si>
  <si>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</si>
  <si>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</si>
  <si>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</si>
  <si>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</si>
  <si>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</si>
  <si>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</si>
  <si>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</si>
  <si>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</si>
  <si>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</si>
  <si>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</si>
  <si>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</si>
  <si>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</si>
  <si>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 Sakan</t>
  </si>
  <si>
    <t>kik</t>
  </si>
  <si>
    <t>Kikuyu, Gikuyu</t>
  </si>
  <si>
    <t>kin</t>
  </si>
  <si>
    <t>Kinyarwanda</t>
  </si>
  <si>
    <t>kir</t>
  </si>
  <si>
    <t>Kirghiz, Kyrgyz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</si>
  <si>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</si>
  <si>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</si>
  <si>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</si>
  <si>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</si>
  <si>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</si>
  <si>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</si>
  <si>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</si>
  <si>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</si>
  <si>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</si>
  <si>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</si>
  <si>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</si>
  <si>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</si>
  <si>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</si>
  <si>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</si>
  <si>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</si>
  <si>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</si>
  <si>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</si>
  <si>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</si>
  <si>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</si>
  <si>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</si>
  <si>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</si>
  <si>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</si>
  <si>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</si>
  <si>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 Kwanyama</t>
  </si>
  <si>
    <t>kum</t>
  </si>
  <si>
    <t>Kumyk</t>
  </si>
  <si>
    <t>kur</t>
  </si>
  <si>
    <t>Kurdish</t>
  </si>
  <si>
    <t>kut</t>
  </si>
  <si>
    <t>Kutenai</t>
  </si>
  <si>
    <t>lad</t>
  </si>
  <si>
    <t>Ladino</t>
  </si>
  <si>
    <t>lah</t>
  </si>
  <si>
    <t>Lahnda</t>
  </si>
  <si>
    <t>lam</t>
  </si>
  <si>
    <t>Lamba</t>
  </si>
  <si>
    <t>lao</t>
  </si>
  <si>
    <t>Lao</t>
  </si>
  <si>
    <t>lat</t>
  </si>
  <si>
    <t>Latin</t>
  </si>
  <si>
    <t>lav</t>
  </si>
  <si>
    <t>Latvian</t>
  </si>
  <si>
    <t>lez</t>
  </si>
  <si>
    <t>Lezghian</t>
  </si>
  <si>
    <t>lim</t>
  </si>
  <si>
    <t>Limburgish, Limburger, Limburgan</t>
  </si>
  <si>
    <t>lin</t>
  </si>
  <si>
    <t>Lingala</t>
  </si>
  <si>
    <t>lit</t>
  </si>
  <si>
    <t>Lithuanian</t>
  </si>
  <si>
    <t>lol</t>
  </si>
  <si>
    <t>Mongo</t>
  </si>
  <si>
    <t>loz</t>
  </si>
  <si>
    <t>Lozi</t>
  </si>
  <si>
    <t>ltz</t>
  </si>
  <si>
    <t>Luxembourgish, Letzeburgesch</t>
  </si>
  <si>
    <t>lua</t>
  </si>
  <si>
    <t>Luba-Lulua</t>
  </si>
  <si>
    <t>lub</t>
  </si>
  <si>
    <t>Luba-Katanga</t>
  </si>
  <si>
    <t>lug</t>
  </si>
  <si>
    <t>Ganda</t>
  </si>
  <si>
    <t>lui</t>
  </si>
  <si>
    <t>Luiseño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</si>
  <si>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</si>
  <si>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</si>
  <si>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</si>
  <si>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</si>
  <si>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</si>
  <si>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</si>
  <si>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</si>
  <si>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</si>
  <si>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</si>
  <si>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</si>
  <si>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</si>
  <si>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</si>
  <si>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</si>
  <si>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</si>
  <si>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</si>
  <si>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</si>
  <si>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</si>
  <si>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</si>
  <si>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</si>
  <si>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</si>
  <si>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</si>
  <si>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</si>
  <si>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</si>
  <si>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</si>
  <si>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</si>
  <si>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</si>
  <si>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</si>
  <si>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</si>
  <si>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</si>
  <si>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Maasai</t>
  </si>
  <si>
    <t>may</t>
  </si>
  <si>
    <t>Malay</t>
  </si>
  <si>
    <t>mdf</t>
  </si>
  <si>
    <t>Moksha</t>
  </si>
  <si>
    <t>mdr</t>
  </si>
  <si>
    <t>Mandar</t>
  </si>
  <si>
    <t>men</t>
  </si>
  <si>
    <t>Mende</t>
  </si>
  <si>
    <t>mga</t>
  </si>
  <si>
    <t>Middle Irish (900–1200)</t>
  </si>
  <si>
    <t>mic</t>
  </si>
  <si>
    <t>Mi'kmaq, Micmac</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</si>
  <si>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</si>
  <si>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</si>
  <si>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</si>
  <si>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</si>
  <si>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</si>
  <si>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</si>
  <si>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</si>
  <si>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</si>
  <si>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</si>
  <si>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</si>
  <si>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</si>
  <si>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</si>
  <si>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</si>
  <si>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</si>
  <si>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</si>
  <si>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</si>
  <si>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</si>
  <si>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</si>
  <si>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</si>
  <si>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</si>
  <si>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</si>
  <si>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</si>
  <si>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</si>
  <si>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</si>
  <si>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</si>
  <si>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</si>
  <si>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</si>
  <si>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</si>
  <si>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</si>
  <si>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</si>
  <si>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</si>
  <si>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</si>
  <si>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</si>
  <si>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</si>
  <si>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</si>
  <si>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</si>
  <si>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</si>
  <si>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t>
  </si>
  <si>
    <t>nai</t>
  </si>
  <si>
    <t>North American Indian languages</t>
  </si>
  <si>
    <t>nap</t>
  </si>
  <si>
    <t>Neapolitan</t>
  </si>
  <si>
    <t>nau</t>
  </si>
  <si>
    <t>Nauruan</t>
  </si>
  <si>
    <t>nav</t>
  </si>
  <si>
    <t>Navajo, Navaho</t>
  </si>
  <si>
    <t>nbl</t>
  </si>
  <si>
    <t>Southern Ndebele</t>
  </si>
  <si>
    <t>nde</t>
  </si>
  <si>
    <t>Northern Ndebele</t>
  </si>
  <si>
    <t>ndo</t>
  </si>
  <si>
    <t>Ndonga</t>
  </si>
  <si>
    <t>nds</t>
  </si>
  <si>
    <t>Low German, Low Saxon</t>
  </si>
  <si>
    <t>nep</t>
  </si>
  <si>
    <t>Nepali</t>
  </si>
  <si>
    <t>new</t>
  </si>
  <si>
    <t>Nepal Bhasa, Newari</t>
  </si>
  <si>
    <t>nia</t>
  </si>
  <si>
    <t>Nias</t>
  </si>
  <si>
    <t>nic</t>
  </si>
  <si>
    <t>Niger-Kordofanian languages</t>
  </si>
  <si>
    <t>niu</t>
  </si>
  <si>
    <t>Niuean</t>
  </si>
  <si>
    <t>nno</t>
  </si>
  <si>
    <t>Norwegian Nynorsk</t>
  </si>
  <si>
    <t>nob</t>
  </si>
  <si>
    <t>Norwegian Bokmål</t>
  </si>
  <si>
    <t>nog</t>
  </si>
  <si>
    <t>Nogai</t>
  </si>
  <si>
    <t>non</t>
  </si>
  <si>
    <t>Old Norse</t>
  </si>
  <si>
    <t>nor</t>
  </si>
  <si>
    <t>Norwegian</t>
  </si>
  <si>
    <t>nqo</t>
  </si>
  <si>
    <t>N'Ko</t>
  </si>
  <si>
    <t>nso</t>
  </si>
  <si>
    <t>Northern Sotho, Pedi, Sepedi</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</si>
  <si>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</si>
  <si>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</si>
  <si>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</si>
  <si>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</si>
  <si>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</si>
  <si>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</si>
  <si>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</si>
  <si>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</si>
  <si>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</si>
  <si>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</si>
  <si>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</si>
  <si>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</si>
  <si>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</si>
  <si>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</si>
  <si>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</si>
  <si>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Provençal (1500–)</t>
  </si>
  <si>
    <t>oji</t>
  </si>
  <si>
    <t>Ojibwa</t>
  </si>
  <si>
    <t>ori</t>
  </si>
  <si>
    <t>Oriya</t>
  </si>
  <si>
    <t>orm</t>
  </si>
  <si>
    <t>Oromo</t>
  </si>
  <si>
    <t>osa</t>
  </si>
  <si>
    <t>Osage</t>
  </si>
  <si>
    <t>oss</t>
  </si>
  <si>
    <t>Ossetian, Ossetic</t>
  </si>
  <si>
    <t>ota</t>
  </si>
  <si>
    <t>Turkish, Ottoman (1500–1928)</t>
  </si>
  <si>
    <t>oto</t>
  </si>
  <si>
    <t>Otomian languages</t>
  </si>
  <si>
    <t>paa</t>
  </si>
  <si>
    <t>Papuan languages</t>
  </si>
  <si>
    <t>pag</t>
  </si>
  <si>
    <t>Pangasinan</t>
  </si>
  <si>
    <t>pal</t>
  </si>
  <si>
    <t>Pahlavi, (Middle Persian)</t>
  </si>
  <si>
    <t>pam</t>
  </si>
  <si>
    <t>Pampanga, Kapampangan</t>
  </si>
  <si>
    <t>pan</t>
  </si>
  <si>
    <t>Punjabi, Panjabi</t>
  </si>
  <si>
    <t>pap</t>
  </si>
  <si>
    <t>Papiamento</t>
  </si>
  <si>
    <t>pau</t>
  </si>
  <si>
    <t>Palauan</t>
  </si>
  <si>
    <t>peo</t>
  </si>
  <si>
    <t>Old Persian (ca. 600–400 BC)</t>
  </si>
  <si>
    <t>per</t>
  </si>
  <si>
    <t>Persian</t>
  </si>
  <si>
    <t>phi</t>
  </si>
  <si>
    <t>Philippine languages</t>
  </si>
  <si>
    <t>phn</t>
  </si>
  <si>
    <t>Phoenician</t>
  </si>
  <si>
    <t>pli</t>
  </si>
  <si>
    <t>Pali</t>
  </si>
  <si>
    <t>pol</t>
  </si>
  <si>
    <t>Polish</t>
  </si>
  <si>
    <t>pon</t>
  </si>
  <si>
    <t>Pohnpeian</t>
  </si>
  <si>
    <t>por</t>
  </si>
  <si>
    <t>Portuguese</t>
  </si>
  <si>
    <t>pra</t>
  </si>
  <si>
    <t>Prakrit</t>
  </si>
  <si>
    <t>pro</t>
  </si>
  <si>
    <t>Old Provençal, Old Occitan (–1500)</t>
  </si>
  <si>
    <t>pus</t>
  </si>
  <si>
    <t>Pashto language, Pashto</t>
  </si>
  <si>
    <t>qaa-qtz</t>
  </si>
  <si>
    <t>Reserved for local use</t>
  </si>
  <si>
    <t>que</t>
  </si>
  <si>
    <t>Quechua</t>
  </si>
  <si>
    <t>raj</t>
  </si>
  <si>
    <t>Rajasthani</t>
  </si>
  <si>
    <t>rap</t>
  </si>
  <si>
    <t>Rapanui</t>
  </si>
  <si>
    <t>rar</t>
  </si>
  <si>
    <t>Rarotongan, Cook Islands Maori</t>
  </si>
  <si>
    <t>roa</t>
  </si>
  <si>
    <t>Romance languages</t>
  </si>
  <si>
    <t>roh</t>
  </si>
  <si>
    <t>Romansh</t>
  </si>
  <si>
    <t>rom</t>
  </si>
  <si>
    <t>Romany</t>
  </si>
  <si>
    <t>rum</t>
  </si>
  <si>
    <t>Romanian</t>
  </si>
  <si>
    <t>run</t>
  </si>
  <si>
    <t>Rundi</t>
  </si>
  <si>
    <t>rup</t>
  </si>
  <si>
    <t>Aromanian, Arumanian, Macedo-Romanian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</si>
  <si>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</si>
  <si>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</si>
  <si>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</si>
  <si>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</si>
  <si>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</si>
  <si>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</si>
  <si>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</si>
  <si>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</si>
  <si>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</si>
  <si>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</si>
  <si>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</si>
  <si>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</si>
  <si>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</si>
  <si>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</si>
  <si>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</si>
  <si>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</si>
  <si>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</si>
  <si>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</si>
  <si>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</si>
  <si>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</si>
  <si>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</si>
  <si>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</si>
  <si>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</si>
  <si>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</si>
  <si>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</si>
  <si>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</si>
  <si>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</si>
  <si>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</si>
  <si>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</si>
  <si>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Old Irish (to 900)</t>
  </si>
  <si>
    <t>sgn</t>
  </si>
  <si>
    <t>Sign languages</t>
  </si>
  <si>
    <t>shn</t>
  </si>
  <si>
    <t>Shan</t>
  </si>
  <si>
    <t>sid</t>
  </si>
  <si>
    <t>Sidamo</t>
  </si>
  <si>
    <t>sin</t>
  </si>
  <si>
    <t>Sinhalese, Sinhala</t>
  </si>
  <si>
    <t>sio</t>
  </si>
  <si>
    <t>Siouan languages</t>
  </si>
  <si>
    <t>sit</t>
  </si>
  <si>
    <t>Sino-Tibetan languages</t>
  </si>
  <si>
    <t>sla</t>
  </si>
  <si>
    <t>Slavic languages</t>
  </si>
  <si>
    <t>slk</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</si>
  <si>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</si>
  <si>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</si>
  <si>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</si>
  <si>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</si>
  <si>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</si>
  <si>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</si>
  <si>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</si>
  <si>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</si>
  <si>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</si>
  <si>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</si>
  <si>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</si>
  <si>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</si>
  <si>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</si>
  <si>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</si>
  <si>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</si>
  <si>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</si>
  <si>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</si>
  <si>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</si>
  <si>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</si>
  <si>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</si>
  <si>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</si>
  <si>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</si>
  <si>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</si>
  <si>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</si>
  <si>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</si>
  <si>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</si>
  <si>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</si>
  <si>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</si>
  <si>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Songhay languages</t>
  </si>
  <si>
    <t>sot</t>
  </si>
  <si>
    <t>Southern Sotho</t>
  </si>
  <si>
    <t>spa</t>
  </si>
  <si>
    <t>Spanish</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</si>
  <si>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</si>
  <si>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</si>
  <si>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</si>
  <si>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</si>
  <si>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</si>
  <si>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</si>
  <si>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</si>
  <si>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</si>
  <si>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</si>
  <si>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</si>
  <si>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</si>
  <si>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</si>
  <si>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</si>
  <si>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</si>
  <si>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</si>
  <si>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</si>
  <si>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</si>
  <si>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</si>
  <si>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</si>
  <si>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</si>
  <si>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</si>
  <si>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</si>
  <si>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</si>
  <si>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</si>
  <si>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</si>
  <si>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</si>
  <si>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</si>
  <si>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 (Northeastern Neo-Aramaic)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</si>
  <si>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</si>
  <si>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</si>
  <si>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</si>
  <si>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</si>
  <si>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</si>
  <si>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</si>
  <si>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</si>
  <si>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</si>
  <si>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</si>
  <si>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</si>
  <si>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</si>
  <si>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</si>
  <si>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</si>
  <si>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</si>
  <si>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</si>
  <si>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</si>
  <si>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</si>
  <si>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</si>
  <si>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</si>
  <si>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</si>
  <si>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</si>
  <si>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</si>
  <si>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tib</t>
  </si>
  <si>
    <t>Tibetan</t>
  </si>
  <si>
    <t>tig</t>
  </si>
  <si>
    <t>Tigre</t>
  </si>
  <si>
    <t>tir</t>
  </si>
  <si>
    <t>Tigrinya</t>
  </si>
  <si>
    <t>tiv</t>
  </si>
  <si>
    <t>Tiv</t>
  </si>
  <si>
    <t>tkl</t>
  </si>
  <si>
    <t>tlh</t>
  </si>
  <si>
    <t>Klingon, tlhIngan-Hol</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</si>
  <si>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</si>
  <si>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</si>
  <si>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</si>
  <si>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</si>
  <si>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</si>
  <si>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</si>
  <si>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</si>
  <si>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</si>
  <si>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</si>
  <si>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</si>
  <si>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</si>
  <si>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</si>
  <si>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</si>
  <si>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</si>
  <si>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</si>
  <si>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</si>
  <si>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</si>
  <si>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</si>
  <si>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</si>
  <si>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</si>
  <si>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</si>
  <si>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Tupian languages</t>
  </si>
  <si>
    <t>tur</t>
  </si>
  <si>
    <t>Turkish</t>
  </si>
  <si>
    <t>tut</t>
  </si>
  <si>
    <t>Altaic languages</t>
  </si>
  <si>
    <t>tvl</t>
  </si>
  <si>
    <t>twi</t>
  </si>
  <si>
    <t>Twi</t>
  </si>
  <si>
    <t>tyv</t>
  </si>
  <si>
    <t>Tuvinian</t>
  </si>
  <si>
    <t>udm</t>
  </si>
  <si>
    <t>Udmurt</t>
  </si>
  <si>
    <t>uga</t>
  </si>
  <si>
    <t>Ugaritic</t>
  </si>
  <si>
    <t>uig</t>
  </si>
  <si>
    <t>Uighur, Uyghur</t>
  </si>
  <si>
    <t>ukr</t>
  </si>
  <si>
    <t>Ukrainian</t>
  </si>
  <si>
    <t>umb</t>
  </si>
  <si>
    <t>Umbundu</t>
  </si>
  <si>
    <t>und</t>
  </si>
  <si>
    <t xml:space="preserve">Undetermined </t>
  </si>
  <si>
    <t>urd</t>
  </si>
  <si>
    <t>Urdu</t>
  </si>
  <si>
    <t>uzb</t>
  </si>
  <si>
    <t>Uzbek</t>
  </si>
  <si>
    <t>vai</t>
  </si>
  <si>
    <t>Vai</t>
  </si>
  <si>
    <t>ven</t>
  </si>
  <si>
    <t>Venda</t>
  </si>
  <si>
    <t>vie</t>
  </si>
  <si>
    <t>Vietnamese</t>
  </si>
  <si>
    <t>vol</t>
  </si>
  <si>
    <t>Volapük</t>
  </si>
  <si>
    <t>vot</t>
  </si>
  <si>
    <t>Votic</t>
  </si>
  <si>
    <t>wak</t>
  </si>
  <si>
    <t>Wakashan languages</t>
  </si>
  <si>
    <t>wal</t>
  </si>
  <si>
    <t>Wolaytta, Wolaitta</t>
  </si>
  <si>
    <t>war</t>
  </si>
  <si>
    <t>Waray-Waray</t>
  </si>
  <si>
    <t>was</t>
  </si>
  <si>
    <t>Washo</t>
  </si>
  <si>
    <t>wel</t>
  </si>
  <si>
    <t>Welsh</t>
  </si>
  <si>
    <t>wen</t>
  </si>
  <si>
    <t>Sorbian languages</t>
  </si>
  <si>
    <t>wln</t>
  </si>
  <si>
    <t>Walloon</t>
  </si>
  <si>
    <t>wol</t>
  </si>
  <si>
    <t>Wolof</t>
  </si>
  <si>
    <t>xal</t>
  </si>
  <si>
    <t>Kalmyk, Oirat</t>
  </si>
  <si>
    <t>xho</t>
  </si>
  <si>
    <t>Xhosa</t>
  </si>
  <si>
    <t>yao</t>
  </si>
  <si>
    <t>Yao</t>
  </si>
  <si>
    <t>yap</t>
  </si>
  <si>
    <t>Yapese</t>
  </si>
  <si>
    <t>yid</t>
  </si>
  <si>
    <t>Yiddish</t>
  </si>
  <si>
    <t>yor</t>
  </si>
  <si>
    <t>Yoruba</t>
  </si>
  <si>
    <t>ypk</t>
  </si>
  <si>
    <t>Yupik languages</t>
  </si>
  <si>
    <t>zap</t>
  </si>
  <si>
    <t>Zapotec</t>
  </si>
  <si>
    <t>zbl</t>
  </si>
  <si>
    <t>Blissymbols, Blissymbolics, Bliss</t>
  </si>
  <si>
    <t>zen</t>
  </si>
  <si>
    <t>Zenaga</t>
  </si>
  <si>
    <t>zgh</t>
  </si>
  <si>
    <t>Standard Moroccan Tamazight</t>
  </si>
  <si>
    <t>zha</t>
  </si>
  <si>
    <t>Zhuang, Chuang</t>
  </si>
  <si>
    <t>znd</t>
  </si>
  <si>
    <t>Zande languages</t>
  </si>
  <si>
    <t>zul</t>
  </si>
  <si>
    <t>Zulu</t>
  </si>
  <si>
    <t>zun</t>
  </si>
  <si>
    <t>Zuni</t>
  </si>
  <si>
    <t>zza</t>
  </si>
  <si>
    <t>Zaza, Dimili, Dimli, Kirdki, Kirmanjki, Zazaki</t>
  </si>
  <si>
    <t>to SHOW/HIDE this list.</t>
  </si>
  <si>
    <t>Active Duty Armed Forces</t>
  </si>
  <si>
    <t>It is known that the student is a dependent of a member of the Active Duty Forces (full-time) Army, Navy, Air Force, Marine Corps, or Coast Guard.</t>
  </si>
  <si>
    <t>Active Duty National Guard/Reserve</t>
  </si>
  <si>
    <t>It is known that the student is a dependent of a member of the Active Duty National Guard or Active Duty Reserve Forces (Army, Navy, Air Force, Marine Corps, or Coast Guard).</t>
  </si>
  <si>
    <t>Unable to provide</t>
  </si>
  <si>
    <t>It is unknown whether or not the student is military-connected or parent declines to provide information.</t>
  </si>
  <si>
    <t>Not Military Connected</t>
  </si>
  <si>
    <t>It is known that the student is not military-connected.</t>
  </si>
  <si>
    <t>No Difference</t>
  </si>
  <si>
    <t>Term Modified by District</t>
  </si>
  <si>
    <t>Term Modified by Court Order</t>
  </si>
  <si>
    <t>Term Modified by Mutual Agreement</t>
  </si>
  <si>
    <t>Student Completed Term Requirements Sooner Than Expected</t>
  </si>
  <si>
    <t>Student Incarcerated</t>
  </si>
  <si>
    <t>Term Decreased due to Extenuating Health Related Circumstances</t>
  </si>
  <si>
    <t>Student Withdrew from School</t>
  </si>
  <si>
    <t>School Year Ended</t>
  </si>
  <si>
    <t>Continuation of Previous Year's Disciplinary Action Assignment</t>
  </si>
  <si>
    <t>Term Modified by Placement Program Due to Student Behavior While in the Placement</t>
  </si>
  <si>
    <t>Salaries</t>
  </si>
  <si>
    <t>200</t>
  </si>
  <si>
    <t>Benefits</t>
  </si>
  <si>
    <t>Purchased Services</t>
  </si>
  <si>
    <t>Supplies/Materials</t>
  </si>
  <si>
    <t>Capital Objects</t>
  </si>
  <si>
    <t>Debt Retirement</t>
  </si>
  <si>
    <t>Insurance - Judgment</t>
  </si>
  <si>
    <t>800</t>
  </si>
  <si>
    <t>Transfers</t>
  </si>
  <si>
    <t>Regular Paraprofessional</t>
  </si>
  <si>
    <t>Title Paraprofessional</t>
  </si>
  <si>
    <t>Not Paraprofessional</t>
  </si>
  <si>
    <t>Regular High School Diploma</t>
  </si>
  <si>
    <t>GED or Equivalent</t>
  </si>
  <si>
    <t>No Diploma or Something Else</t>
  </si>
  <si>
    <t>Administrative Assistant</t>
  </si>
  <si>
    <t>Cell or Mobile</t>
  </si>
  <si>
    <t>Direct Line</t>
  </si>
  <si>
    <t>H</t>
  </si>
  <si>
    <t>Home</t>
  </si>
  <si>
    <t>Main Business</t>
  </si>
  <si>
    <t>Home Schooled</t>
  </si>
  <si>
    <t>Student receives majority of educational instruction using the curriculum adopted by the parent/guardian.</t>
  </si>
  <si>
    <t>Private Schooled</t>
  </si>
  <si>
    <t>Student receives majority of educational instruction using the curriculum adopted by the private (or non-public) entity.</t>
  </si>
  <si>
    <t>Not PH Schooled</t>
  </si>
  <si>
    <t>Student receives majority of educational instruction using the curriculum adopted by the district or charter school.</t>
  </si>
  <si>
    <t>CLC</t>
  </si>
  <si>
    <t>21st Century Community Learning Center Coordinator</t>
  </si>
  <si>
    <t>21st Century Community Learning Program</t>
  </si>
  <si>
    <t>AOC</t>
  </si>
  <si>
    <t>Advanced Opportunity Coordinator</t>
  </si>
  <si>
    <t>Advanced Opportunity Program</t>
  </si>
  <si>
    <t>APC</t>
  </si>
  <si>
    <t>Advanced Placement (AP) Coordinator</t>
  </si>
  <si>
    <t>Advanced Placement (AP) Program</t>
  </si>
  <si>
    <t>APR</t>
  </si>
  <si>
    <t>Assistant Principal</t>
  </si>
  <si>
    <t>BSN</t>
  </si>
  <si>
    <t>Business Manager</t>
  </si>
  <si>
    <t>CTE</t>
  </si>
  <si>
    <t>Career and Technical Education Coordinator</t>
  </si>
  <si>
    <t xml:space="preserve">Career and Technical Education </t>
  </si>
  <si>
    <t>CSA</t>
  </si>
  <si>
    <t>Charter School Administrator</t>
  </si>
  <si>
    <t>COB</t>
  </si>
  <si>
    <t>Clerk of the Board</t>
  </si>
  <si>
    <t>CEEC</t>
  </si>
  <si>
    <t>College Entrance Exam Coordinator</t>
  </si>
  <si>
    <t>College Entrance Exam</t>
  </si>
  <si>
    <t>CTC</t>
  </si>
  <si>
    <t>Computer Technology Coordinator</t>
  </si>
  <si>
    <t>Computer Technology</t>
  </si>
  <si>
    <t>CGM</t>
  </si>
  <si>
    <t>Consolidated Grants Manager</t>
  </si>
  <si>
    <t>Consolidated Grants</t>
  </si>
  <si>
    <t>CUR</t>
  </si>
  <si>
    <t>Curriculum/Instruction Coordinator</t>
  </si>
  <si>
    <t xml:space="preserve">Curriculum/Instruction </t>
  </si>
  <si>
    <t>DTC</t>
  </si>
  <si>
    <t>District Test Coordinator</t>
  </si>
  <si>
    <t>District Testing</t>
  </si>
  <si>
    <t>DEC</t>
  </si>
  <si>
    <t>Drivers Ed Coordinator</t>
  </si>
  <si>
    <t>Drivers Education</t>
  </si>
  <si>
    <t>IELA</t>
  </si>
  <si>
    <t>English Language Proficiency Assessment Coordinator</t>
  </si>
  <si>
    <t>English Language Proficiency Assessment</t>
  </si>
  <si>
    <t>FSD</t>
  </si>
  <si>
    <t>Food Service Director</t>
  </si>
  <si>
    <t>GUP</t>
  </si>
  <si>
    <t>GEARUP Coordinator</t>
  </si>
  <si>
    <t>GNT</t>
  </si>
  <si>
    <t>Gifted and Talented Coordinator</t>
  </si>
  <si>
    <t>Gifted and Talented</t>
  </si>
  <si>
    <t>Human Resources/Personnel</t>
  </si>
  <si>
    <t>IRIC</t>
  </si>
  <si>
    <t>Idaho Reading Indicator</t>
  </si>
  <si>
    <t>ISAT</t>
  </si>
  <si>
    <t>Idaho Standards Achievement Test</t>
  </si>
  <si>
    <t>ISE</t>
  </si>
  <si>
    <t>ISEE Personnel</t>
  </si>
  <si>
    <t>ISEE Data Reporting</t>
  </si>
  <si>
    <t>MAC</t>
  </si>
  <si>
    <t>Mathematics Coordinator</t>
  </si>
  <si>
    <t>NAEP</t>
  </si>
  <si>
    <t>National Assessment of Educational Progress Coordinator</t>
  </si>
  <si>
    <t>National Assessment of Educational Progress</t>
  </si>
  <si>
    <t>Operations and Maintenance Supervisor</t>
  </si>
  <si>
    <t>Operations and Maintenance</t>
  </si>
  <si>
    <t>OTH</t>
  </si>
  <si>
    <t>PRI</t>
  </si>
  <si>
    <t>Principal</t>
  </si>
  <si>
    <t>PIR</t>
  </si>
  <si>
    <t>Public Information/Community Relations Coordinator</t>
  </si>
  <si>
    <t>Public Information/Community Relations</t>
  </si>
  <si>
    <t>RTI</t>
  </si>
  <si>
    <t>Response to Intervention Coordinator</t>
  </si>
  <si>
    <t>Response to Intervention</t>
  </si>
  <si>
    <t>SFS</t>
  </si>
  <si>
    <t>Safe &amp; Drug Free Schools Coordinator</t>
  </si>
  <si>
    <t>Safe &amp; Drug Free Schools</t>
  </si>
  <si>
    <t>SCL</t>
  </si>
  <si>
    <t>Scholarship Coordinator</t>
  </si>
  <si>
    <t>Scholarships</t>
  </si>
  <si>
    <t>SCOU</t>
  </si>
  <si>
    <t>School Counselor</t>
  </si>
  <si>
    <t>SNUR</t>
  </si>
  <si>
    <t>School Nurse</t>
  </si>
  <si>
    <t>SED</t>
  </si>
  <si>
    <t>Special Education Director or Designee</t>
  </si>
  <si>
    <t xml:space="preserve">Special Education </t>
  </si>
  <si>
    <t>SPDC</t>
  </si>
  <si>
    <t>Staff Professional Development Coordinator</t>
  </si>
  <si>
    <t>Staff Professional Development</t>
  </si>
  <si>
    <t>SUP</t>
  </si>
  <si>
    <t>Superintendent</t>
  </si>
  <si>
    <t>SUD</t>
  </si>
  <si>
    <t>Superintendent Deputy (Assistant)</t>
  </si>
  <si>
    <t>TEC</t>
  </si>
  <si>
    <t>Technology Director</t>
  </si>
  <si>
    <t>Technology</t>
  </si>
  <si>
    <t>BEC</t>
  </si>
  <si>
    <t>Title I-A Improving Basic Programs Coordinator</t>
  </si>
  <si>
    <t>Title I-A Improving Basic Programs</t>
  </si>
  <si>
    <t>MED</t>
  </si>
  <si>
    <t>Title I-C Migrant Education Coordinator</t>
  </si>
  <si>
    <t>Title I-C Migrant Education</t>
  </si>
  <si>
    <t>MEFR</t>
  </si>
  <si>
    <t>Title I-C Migrant Education Family Liaison/Recruiter</t>
  </si>
  <si>
    <t>MEGS</t>
  </si>
  <si>
    <t>Title I-C Migrant Education Graduation Specialist</t>
  </si>
  <si>
    <t>Title I-C Migrant Education Graduation</t>
  </si>
  <si>
    <t>NDE</t>
  </si>
  <si>
    <t>Title I-D Neglected/Delinquent Education Coordinator</t>
  </si>
  <si>
    <t>Title I-D Neglected/Delinquent Education</t>
  </si>
  <si>
    <t>TPQ</t>
  </si>
  <si>
    <t>Title II-A Supporting Effective Instruction Coordinator</t>
  </si>
  <si>
    <t>Title II-A Supporting Effective Instruction</t>
  </si>
  <si>
    <t>LEP</t>
  </si>
  <si>
    <t>State EL &amp; Title III Language Instruction for English Learners</t>
  </si>
  <si>
    <t>SSC</t>
  </si>
  <si>
    <t>Title IV-A Student Support and Academic Enrichment Coordinator</t>
  </si>
  <si>
    <t>Title IV-A Student Support and Academic Enrichment</t>
  </si>
  <si>
    <t>RLS</t>
  </si>
  <si>
    <t>Title V-B Rural Education Program Coordinator</t>
  </si>
  <si>
    <t>Title V-B Rural Education Program</t>
  </si>
  <si>
    <t>Title IX - 504 Coordinator</t>
  </si>
  <si>
    <t>Title IX - 504</t>
  </si>
  <si>
    <t>NSE</t>
  </si>
  <si>
    <t>Title IX Personnel</t>
  </si>
  <si>
    <t>Title IX</t>
  </si>
  <si>
    <t>HED</t>
  </si>
  <si>
    <t>MVL</t>
  </si>
  <si>
    <t>TRN</t>
  </si>
  <si>
    <t>Transportation Supervisor</t>
  </si>
  <si>
    <t>Graduated by completing all necessary high school credit/content graduation requirements, with or without accommodations, and have met any additional graduation requirements. 08.02.03.105</t>
  </si>
  <si>
    <t>Students who have graduated with a regular high school diploma which is fully aligned with Idaho State High School Graduation Requirements. 08.02.03.105 
Students who graduate with 4A should be exited from special education and are no longer entitled to Free Appropriate Public Education (FAPE)</t>
  </si>
  <si>
    <t>Students that did NOT meet Idaho State High School Graduation Requirements outlined in 08.02.03.105 but whose program of study addressed adapted (modified or differentiated) coursework as outlined in an IEP.</t>
  </si>
  <si>
    <t xml:space="preserve">Students with disabilities who have satisfied an IEP but NOT regular Idaho State High School Graduation Requirements; 
** Students who qualify for special education are entitled to FAPE until the semester in which the student turns 21 - IDAPA 08.02.03.109.07  
** Students with this exit code are counted and reported as non graduates.
</t>
  </si>
  <si>
    <t>Reached Maximum Age - 21 years of age. Idaho Code 33-201</t>
  </si>
  <si>
    <t>Students who have completed the semester in which they turned 21, without receiving a regular high school diploma which is fully aligned with Idaho State High School Graduation Requirements. 08.02.03.105</t>
  </si>
  <si>
    <t>Dropped out</t>
  </si>
  <si>
    <t>Student exiting current enrollment, and does not meet the definition for any other inactive reason. 
Include:
  • confirmed dropouts
  • runaways
  • expelled students (not receiving district gifted and talented services) Does not include special education services.
  • students whose status is unknown
  • students leaving school and to receive a GED</t>
  </si>
  <si>
    <t>Transferred, Moved Known to be Continuing</t>
  </si>
  <si>
    <t xml:space="preserve">Student transferred to another district or education agency and is known to be continuing in a general or special education program. Include students receiving education in:
  • Residential treatment centers
  • Juvenile detention centers
  • Correctional facilities
  • Private schools
  • Job Corps
  • Virtual Charter Schools
  • Home School
To use this code, there must be verification that the student is continuing in some education program in the form of a request for records. Hearsay is not adequate verification that the student is known to continue. </t>
  </si>
  <si>
    <t>No Longer Eligible for Program</t>
  </si>
  <si>
    <t>No Longer Eligible/Returned to General Education</t>
  </si>
  <si>
    <t xml:space="preserve">Students who are determined no longer eligible to participate in the program through eligibility determination. Students who no longer have an active IEP and are no longer receiving special education services or are no longer participating in a Gifted and Talented program and are now receiving all educational services from a regular education program. </t>
  </si>
  <si>
    <t>Student passed away.</t>
  </si>
  <si>
    <t xml:space="preserve">Students who have passed away during the school year or who have passed away during the summer </t>
  </si>
  <si>
    <t>Revoked Consent</t>
  </si>
  <si>
    <t>Parent/Adult Student Revokes Consent</t>
  </si>
  <si>
    <t>Students for whom parent/adult student revokes consent for special education services.</t>
  </si>
  <si>
    <t>Extended School Year</t>
  </si>
  <si>
    <t>Extended School Year (ESY)</t>
  </si>
  <si>
    <t xml:space="preserve">A program to provide special education and related services to an eligible student with a disability beyond the conventional number of instructional days in a school year and at no cost to the parents. An ESY program must be based on an IEP team decision and meet Idaho standards. </t>
  </si>
  <si>
    <t>Summer break from program services; expected to resume the following school year.</t>
  </si>
  <si>
    <t>Students with active IEP, temporarily exiting from sped services for the summer, expected to resume services in the following school year. 
Students in Gifted/Talented program, temporarily exiting from services for Summer break, expected to resume the program the following school year.</t>
  </si>
  <si>
    <t>Tested-Ineligible (SEStatus Only)</t>
  </si>
  <si>
    <t>Tested for initial eligibility and determined not eligible for special education and related services. (Did Not Qualify)</t>
  </si>
  <si>
    <t>See Districts and Schools Tab</t>
  </si>
  <si>
    <t>Balance Sheet</t>
  </si>
  <si>
    <t>Expenditures</t>
  </si>
  <si>
    <t>Revenues</t>
  </si>
  <si>
    <t>Additional Assessment(s) needed</t>
  </si>
  <si>
    <t>Idaho Special Education Manual - Chapter 4</t>
  </si>
  <si>
    <t>EM</t>
  </si>
  <si>
    <t>Extended Medical Issues</t>
  </si>
  <si>
    <t>Student has significant medical issues preventing all processes to be completed on time</t>
  </si>
  <si>
    <t>Scheduling Difficulties</t>
  </si>
  <si>
    <t>Inability to coordinate with all concerned (external) stakeholders.</t>
  </si>
  <si>
    <t>Provide additional information in "Notes". (Required)</t>
  </si>
  <si>
    <t>School  closure of five or more consecutive school days - MUST PROVIDE THE ACTUAL STATE EXCEPTION RULE REASON IF CHOOSING "SE" Idaho Code 08.02.03.109.03</t>
  </si>
  <si>
    <t>Idaho Code 08.02.03.109.03</t>
  </si>
  <si>
    <t>Student moved into district with written extension request</t>
  </si>
  <si>
    <t xml:space="preserve">Student joined district with an initial eligibility in process and an existing extension request is in place. </t>
  </si>
  <si>
    <t>Staffing Issues</t>
  </si>
  <si>
    <t>Inability to coordinate due to staffing resources.</t>
  </si>
  <si>
    <t>Reasonable Efforts</t>
  </si>
  <si>
    <t>The parent repeatedly fails or refuses to produce the student for an evaluation after the district has made reasonable efforts to schedule an evaluation.</t>
  </si>
  <si>
    <t>WE</t>
  </si>
  <si>
    <t>Written Extension</t>
  </si>
  <si>
    <t>In unusual circumstances, all parties may agree in writing to an extension of the sixty (60) day period for the purpose of initial assessment.</t>
  </si>
  <si>
    <t>Idaho Special Education Manual - Chapter 4.F</t>
  </si>
  <si>
    <t>Special Education eligibility determination: not eligible.</t>
  </si>
  <si>
    <t>Student did not meet Idaho eligibility criteria or was exited from special education and related services with one of the following program exit reasons.
  • 01 - Graduated – Met State Standards
  • 04 - Reached Maximum Age
  • 07 - No Longer Eligible for Program
  • 08 - Deceased
  • 09 - Revoked Consent</t>
  </si>
  <si>
    <t>U</t>
  </si>
  <si>
    <t>Undetermined</t>
  </si>
  <si>
    <t>Eligible</t>
  </si>
  <si>
    <t>Special Education eligibility determination: eligible.</t>
  </si>
  <si>
    <t>General ed class 80% or more</t>
  </si>
  <si>
    <t xml:space="preserve">GRADE K - 21-YEAR-OLDS: The student is inside the general education classroom 80% or more of the day. For example, in a 6 hour school day, the student is inside the regular class for at least 4 hours and 48 minutes. </t>
  </si>
  <si>
    <t>General ed class 40 - 80%</t>
  </si>
  <si>
    <t>GRADE K - 21-YEAR-OLDS: The student is inside the general education classroom 40% but not more than 79% of the school day. For example, in a 6 hour school day, the student is inside the regular class for at least 2 hours, 25 minutes but not more than 4 hours, 47 minutes.</t>
  </si>
  <si>
    <t>General ed class less than 40%</t>
  </si>
  <si>
    <t>GRADE K - 21-YEAR-OLDS: The student is inside the general education classroom less than 40% of the school day. In a 6 hour school day, the student is inside the regular class for 2 hours, 24 minutes or less.</t>
  </si>
  <si>
    <t>Public separate day school</t>
  </si>
  <si>
    <t>GRADE K - 21-YEAR-OLDS: The student is in a district self-contained classroom in a separate special education school for more than 50% of the school day. For example, more than 3 hours in a 6 hour day.</t>
  </si>
  <si>
    <t>Private separate day school</t>
  </si>
  <si>
    <t>GRADE K - 21-YEAR-OLDS: The student is placed in a private special education day school/facility at public expense for more than 50% of the school day. For example, more than 3 hours in a 6 hour school day.</t>
  </si>
  <si>
    <t>Public residential facility</t>
  </si>
  <si>
    <t>GRADE K - 21-YEAR-OLDS: The student receives education services in a public residential facility for more than 50% of the school day and resides in that facility during the school week.</t>
  </si>
  <si>
    <t>Private residential facility</t>
  </si>
  <si>
    <t>GRADE K - 21-YEAR-OLDS: The student receives education services in a private residential facility at public expense for more than 50% of the school day and resides in that facility during the school week.</t>
  </si>
  <si>
    <t>Homebound/Hospital</t>
  </si>
  <si>
    <t>GRADE K - 21-YEAR-OLDS: The student receives special education services in a hospital or homebound setting (do not include home-schooled students or virtual charter school students.)</t>
  </si>
  <si>
    <t>Correctional facility</t>
  </si>
  <si>
    <t>GRADE K - 21-YEAR-OLDS: The student receives special education services in a detention center or correctional facility.</t>
  </si>
  <si>
    <t>Enrolled private by parents</t>
  </si>
  <si>
    <t>Separate Class</t>
  </si>
  <si>
    <t>GRADE PK: The student DOES NOT attend a Regular Early Childhood Program but DOES attend a public or private Special Education Program. Separate Class: Student attends a special education program in a class with less than 50% non-disabled children.</t>
  </si>
  <si>
    <t>Separate School</t>
  </si>
  <si>
    <t>GRADE PK: The student DOES NOT attend a Regular Early Childhood Program but DOES attend a public or private Special Education Program. Separate School: Student receives education programs in public or private day schools designed specifically for children with disabilities.</t>
  </si>
  <si>
    <t>Residential Facility</t>
  </si>
  <si>
    <t>GRADE PK: The student DOES NOT attend a Regular Early Childhood Program but DOES attend a public or private Special Education Program. Residential Facility: Student receives all special education and related services in a public or private residential facility.</t>
  </si>
  <si>
    <t>Service Provider Location</t>
  </si>
  <si>
    <t>GRADE PK: The student DOES NOT attend a Regular Early Childhood Program and DOES NOT attend a Special Education Program. Service Provider Location: Student receives all special education and related services from a service provider.</t>
  </si>
  <si>
    <t>Student receives all special education and related services at a service provider location.</t>
  </si>
  <si>
    <t>For example, a student receives developmental services at home and receives speech-language therapy at the service providers location.</t>
  </si>
  <si>
    <t>&gt;10 hours Regular EC Program provides majority of services</t>
  </si>
  <si>
    <t>GRADE PK: Attends a Regular Early Childhood Program at least 10 hours per week and receives the majority of Special Education and Related Services in the Regular Early Childhood Program.</t>
  </si>
  <si>
    <t>&gt;10 hours Regular EC Program; majority of services provided elsewhere</t>
  </si>
  <si>
    <t>GRADE PK: Attends a Regular Early Childhood Program more than 10 hours per week, but the student receives the majority of Special Education and related services in another location.</t>
  </si>
  <si>
    <t>&lt;10 hours Regular EC Program provides majority of services</t>
  </si>
  <si>
    <t>GRADE PK: Attends a Regular Early Childhood program less than 10 hours per week and receives the majority of Special Education and Related Services in the Regular Early Childhood Program.</t>
  </si>
  <si>
    <t>GRADE PK: Attends a Regular Early Childhood Program less than 10 hours per week and receives Special Education and Related Services from another location.</t>
  </si>
  <si>
    <t>To work for another educational institution inside Idaho</t>
  </si>
  <si>
    <t>To work for another educational institution outside Idaho</t>
  </si>
  <si>
    <t>Leaving education profession</t>
  </si>
  <si>
    <t>Returning to school</t>
  </si>
  <si>
    <t>Spouse transferred</t>
  </si>
  <si>
    <t>Retirement</t>
  </si>
  <si>
    <t>Death</t>
  </si>
  <si>
    <t>Reduction in force</t>
  </si>
  <si>
    <t>Personal reasons</t>
  </si>
  <si>
    <t>Involuntary termination</t>
  </si>
  <si>
    <t>Leave of absence</t>
  </si>
  <si>
    <t>Parental/family obligation</t>
  </si>
  <si>
    <t>Service in foreign country</t>
  </si>
  <si>
    <t>Military</t>
  </si>
  <si>
    <t>Non-certified staff no longer on district payroll</t>
  </si>
  <si>
    <t>Early retirement incentive program participant (I.C. 33-1004G only)</t>
  </si>
  <si>
    <t>Certificated to non-certificated</t>
  </si>
  <si>
    <t>The staff member changed from a certificated to a non-certificated position within the district.  Still employed</t>
  </si>
  <si>
    <t>Non-certificated to Certificated</t>
  </si>
  <si>
    <t>The staff member changed from a non-certificated to a certificated position within the district.  Still employed</t>
  </si>
  <si>
    <t>Acts of Nature</t>
  </si>
  <si>
    <t>HB</t>
  </si>
  <si>
    <t>Holiday Break</t>
  </si>
  <si>
    <t>Thanksgiving, Winter Break</t>
  </si>
  <si>
    <t>OB</t>
  </si>
  <si>
    <t>Other School Break</t>
  </si>
  <si>
    <t>A break such as harvest break, hunting, etc.</t>
  </si>
  <si>
    <t>Spring Break</t>
  </si>
  <si>
    <t>Spring Break period</t>
  </si>
  <si>
    <t>Summer Break period</t>
  </si>
  <si>
    <t>AB</t>
  </si>
  <si>
    <t>Alberta</t>
  </si>
  <si>
    <t>AK</t>
  </si>
  <si>
    <t>Alaska</t>
  </si>
  <si>
    <t>Alabama</t>
  </si>
  <si>
    <t>Arkansas</t>
  </si>
  <si>
    <t>Arizona</t>
  </si>
  <si>
    <t>BC</t>
  </si>
  <si>
    <t>British Columbia</t>
  </si>
  <si>
    <t>California</t>
  </si>
  <si>
    <t>Colorado</t>
  </si>
  <si>
    <t>Connecticut</t>
  </si>
  <si>
    <t>DC</t>
  </si>
  <si>
    <t>District of Columbia</t>
  </si>
  <si>
    <t>FL</t>
  </si>
  <si>
    <t>Florida</t>
  </si>
  <si>
    <t>HI</t>
  </si>
  <si>
    <t>Hawaii</t>
  </si>
  <si>
    <t>IA</t>
  </si>
  <si>
    <t>Iowa</t>
  </si>
  <si>
    <t>Illinois</t>
  </si>
  <si>
    <t>Indiana</t>
  </si>
  <si>
    <t>KS</t>
  </si>
  <si>
    <t>Kansas</t>
  </si>
  <si>
    <t>Kentucky</t>
  </si>
  <si>
    <t>Louisiana</t>
  </si>
  <si>
    <t>Massachusetts</t>
  </si>
  <si>
    <t>MB</t>
  </si>
  <si>
    <t>Manitoba</t>
  </si>
  <si>
    <t>Maryland</t>
  </si>
  <si>
    <t>Maine</t>
  </si>
  <si>
    <t>MI</t>
  </si>
  <si>
    <t>Michigan</t>
  </si>
  <si>
    <t>Minnesota</t>
  </si>
  <si>
    <t>Missouri</t>
  </si>
  <si>
    <t>Mississippi</t>
  </si>
  <si>
    <t>Montana</t>
  </si>
  <si>
    <t>NB</t>
  </si>
  <si>
    <t>New Brunswick</t>
  </si>
  <si>
    <t>North Carolina</t>
  </si>
  <si>
    <t>ND</t>
  </si>
  <si>
    <t>North Dakota</t>
  </si>
  <si>
    <t>Nebraska</t>
  </si>
  <si>
    <t>NH</t>
  </si>
  <si>
    <t>New Hampshire</t>
  </si>
  <si>
    <t>NJ</t>
  </si>
  <si>
    <t>New Jersey</t>
  </si>
  <si>
    <t>Newfoundland</t>
  </si>
  <si>
    <t>NM</t>
  </si>
  <si>
    <t>New Mexico</t>
  </si>
  <si>
    <t>NS</t>
  </si>
  <si>
    <t>Nova Scotia</t>
  </si>
  <si>
    <t>NV</t>
  </si>
  <si>
    <t>Nevada</t>
  </si>
  <si>
    <t>NY</t>
  </si>
  <si>
    <t>New York</t>
  </si>
  <si>
    <t>OH</t>
  </si>
  <si>
    <t>Ohio</t>
  </si>
  <si>
    <t>OK</t>
  </si>
  <si>
    <t>Oklahoma</t>
  </si>
  <si>
    <t>ON</t>
  </si>
  <si>
    <t>Ontario</t>
  </si>
  <si>
    <t>OR</t>
  </si>
  <si>
    <t>Oregon</t>
  </si>
  <si>
    <t>OT</t>
  </si>
  <si>
    <t>Pennsylvania</t>
  </si>
  <si>
    <t>Prince Edward Island</t>
  </si>
  <si>
    <t>PQ</t>
  </si>
  <si>
    <t>Quebec</t>
  </si>
  <si>
    <t>RI</t>
  </si>
  <si>
    <t>Rhode Island</t>
  </si>
  <si>
    <t>South Carolina</t>
  </si>
  <si>
    <t>South Dakota</t>
  </si>
  <si>
    <t>Saskatchewan</t>
  </si>
  <si>
    <t>Tennessee</t>
  </si>
  <si>
    <t>TX</t>
  </si>
  <si>
    <t>Texas</t>
  </si>
  <si>
    <t>UT</t>
  </si>
  <si>
    <t>Utah</t>
  </si>
  <si>
    <t>Virginia</t>
  </si>
  <si>
    <t>Virgin Islands</t>
  </si>
  <si>
    <t>VT</t>
  </si>
  <si>
    <t>Vermont</t>
  </si>
  <si>
    <t>WA</t>
  </si>
  <si>
    <t>WI</t>
  </si>
  <si>
    <t>Wisconsin</t>
  </si>
  <si>
    <t>WV</t>
  </si>
  <si>
    <t>West Virginia</t>
  </si>
  <si>
    <t>WY</t>
  </si>
  <si>
    <t>Wyoming</t>
  </si>
  <si>
    <t>Lead Team Teacher</t>
  </si>
  <si>
    <t>A certified (TOR) educator who is the primary teacher of record and works with a non-primary, certified "assisting teacher". 
Note: Teacher of Record (TOR) is defined as the person who is primarily responsible for planning instruction, delivering instruction, assessing students formatively and summatively, and designating the final grade.</t>
  </si>
  <si>
    <t>Both teachers (lead and assisting) must have a record with matching assignment code, period, sectionId and schoolId. Students’ course records must link to those matching assignments records. Requires proper certification and a valid Idaho endorsement for this assignment.</t>
  </si>
  <si>
    <t>Assisting Teacher</t>
  </si>
  <si>
    <t>Co-Teacher</t>
  </si>
  <si>
    <t>A certified (TOR) instructor who shares an assignment equally with another certified (TOR) instructor.
Note: Teacher of Record (TOR) is defined as the person who is primarily responsible for planning instruction, delivering instruction, assessing students formatively and summatively, and designating the final grade.</t>
  </si>
  <si>
    <t>Both co-teachers have a record with matching assignment code, period, sectionId and schoolId. Students’ course records must link to those matching assignments records. Requires proper certification and a valid Idaho endorsement for this assignment, for both teachers.</t>
  </si>
  <si>
    <t>Long Term Substitute</t>
  </si>
  <si>
    <t xml:space="preserve">A qualified individual who temporarily acts on behalf of a contracted certified (TOR) instructor for 10 or more consecutive days during the school year. </t>
  </si>
  <si>
    <t>There should be another Staff Assignment record with teachingRole T, C, or 1 (with matching assignment code, period, sectionId and schoolId). If there is no T,C, or 1 and the LTS is not properly certificated/endorsed with the applicable authorization/provisional application, the LEA is in violation of Idaho Code 33-1201.</t>
  </si>
  <si>
    <t>Proctor</t>
  </si>
  <si>
    <t xml:space="preserve">An individual who monitors students taking a virtual course. </t>
  </si>
  <si>
    <t>There must be a "provider instructor" identification in the Master Course Schedule. (i.e. for regular classroom setting - virtual course types). Record must match students' course records on courseCode, period, sectionId and schoolId.</t>
  </si>
  <si>
    <t>Teacher of Record</t>
  </si>
  <si>
    <t xml:space="preserve">The Teacher  of Record (TOR) is defined as the certified educator who is primarily responsible for planning instruction, delivering instruction, assessing students formatively and summatively, and designating the final grade. </t>
  </si>
  <si>
    <t xml:space="preserve">Record must match students' course records on courseCode, period, sectionId and schoolId. Requires proper certification and a valid Idaho endorsement for this assignment. </t>
  </si>
  <si>
    <t>Short Term Substitute</t>
  </si>
  <si>
    <t xml:space="preserve">An individual who temporarily replaces a contracted certified instructor for less than 10 consecutive days. </t>
  </si>
  <si>
    <t>If reported, there must be another Staff Assignment record with teachingRole T, C, or 1 (with matching schoolId, period, sectionId, and assignment).</t>
  </si>
  <si>
    <t>Moved out of district</t>
  </si>
  <si>
    <t>Student moved out of the district prior to a determination being made</t>
  </si>
  <si>
    <t>Student is deceased</t>
  </si>
  <si>
    <t>Student died prior to a determination being made</t>
  </si>
  <si>
    <t>Consent Not Received</t>
  </si>
  <si>
    <t>Parent did not provide consent for initial assessment. For ECRefDhW = Yes only.</t>
  </si>
  <si>
    <t>This undetermined reason is only applicable for students referred as potentially eligible for Part B services from the Infant Toddler Program. The date indicated in the consent date field is the date the LEA received a parental denial of consent or made contact with the family and provide notice of procedural safeguards and written information about the Part B and early childhood special education services. See Chapter 5 Section 5 of the Idaho Special Education Manual for additional information on LEA responsibilities.</t>
  </si>
  <si>
    <t>WD</t>
  </si>
  <si>
    <t>Withdrawn by Parent</t>
  </si>
  <si>
    <t>Parent withdrew permission</t>
  </si>
  <si>
    <t>HG</t>
  </si>
  <si>
    <t>Handgun</t>
  </si>
  <si>
    <t>The term “handgun” means— (A) a firearm which has a short stock and is designed to be held and fired by the use of a single hand; and (B)any combination of parts from which a firearm described in subparagraph (A) can be assembled.
18 USC § 921(a)(29)</t>
  </si>
  <si>
    <t>Shotgun/Rifle</t>
  </si>
  <si>
    <t>The term “shotgun” means a weapon designed or redesigned, made or remade, and intended to be fired from the shoulder and designed or redesigned and made or remade to use the energy of an explosive to fire through a smooth bore either a number of ball shot or a single projectile for each single pull of the trigger. 18 USC § 921(a)(5)
The term “short-barreled shotgun” means a shotgun having one or more barrels less than eighteen inches in length and any weapon made from a shotgun (whether by alteration, modification or otherwise) if such a weapon as modified has an overall length of less than twenty-six inches.
The term “rifle” means a weapon designed or redesigned, made or remade, and intended to be fired from the shoulder and designed or redesigned and made or remade to use the energy of an explosive to fire only a single projectile through a rifled bore for each single pull of the trigger. 18 USC § 921(a)(7)
The term “short-barreled rifle” means a rifle having one or more barrels less than sixteen inches in length and any weapon made from a rifle (whether by alteration, modification, or otherwise) if such weapon, as modified, has an overall length of less than twenty-six inches.</t>
  </si>
  <si>
    <t>Shotgun, short-barreled shotgun, rifle, or short-barreled rifle.</t>
  </si>
  <si>
    <t>Multiple Firearms</t>
  </si>
  <si>
    <t>Use of more than one of handguns, rifles/shotguns, or other type of firearms.</t>
  </si>
  <si>
    <t>ED</t>
  </si>
  <si>
    <t>Explosive Device</t>
  </si>
  <si>
    <t>Destructive device. The term “destructive device” used in part (D) of the definition of “firearm” means 
A.      any explosive, incendiary, or poison gas— 
   i.   bomb, 
   ii.  grenade, 
   iii. rocket having a propellant charge of more than four ounces, 
   iv. missile having an explosive or incendiary charge of more than one-quarter ounce, 
   v.   mine,</t>
  </si>
  <si>
    <t>OF</t>
  </si>
  <si>
    <t>Other Type of Firearm</t>
  </si>
  <si>
    <t>A firearm is defined in Title 18 USC §921 as follows:
   A. any weapon (including a starter gun) which will or is designed to or may readily be converted to expel a projectile by the action of an explosive; 
   B. the frame or receiver of any such weapon; 
   C. any firearm muffler or firearm silencer; or 
   D. any destructive device. Such term does not include an antique firearm.</t>
  </si>
  <si>
    <t>Any firearm that is not a handgun, a rifle, or a shotgun.</t>
  </si>
  <si>
    <t>Knife (blade less than 2.5 inches)</t>
  </si>
  <si>
    <t>Knife (blade longer than 2.5 inches)</t>
  </si>
  <si>
    <t>Other Sharp Object</t>
  </si>
  <si>
    <t>SW</t>
  </si>
  <si>
    <t>Substance Used as a Weapon</t>
  </si>
  <si>
    <t>OO</t>
  </si>
  <si>
    <t>Other Object</t>
  </si>
  <si>
    <t>UN</t>
  </si>
  <si>
    <t>Unknown Weapon</t>
  </si>
  <si>
    <t>None</t>
  </si>
  <si>
    <t>No</t>
  </si>
  <si>
    <t>Yes</t>
  </si>
  <si>
    <t>Not Applicable</t>
  </si>
  <si>
    <t>2022-2023 IDCTE APPROVED INDUSTRY CERTIFICATIONS</t>
  </si>
  <si>
    <t>American Association of Family &amp; Consumer Sciences (AAFCS) Pre-Professional Assessments
&amp; Certifications (PAC)</t>
  </si>
  <si>
    <t>American Culinary Federation (ACF) Culinary Arts Certifications</t>
  </si>
  <si>
    <t>Adobe: Graphic Design &amp; Illustration Using Illustrator</t>
  </si>
  <si>
    <t>Adobe: Interactive Media Using Flash Professional</t>
  </si>
  <si>
    <t>Adobe: Print &amp; Digital Media Publication Using InDesign</t>
  </si>
  <si>
    <t>Adobe: Video Communication Using Premiere</t>
  </si>
  <si>
    <t>Adobe: Visual Communication Using  Photoshop</t>
  </si>
  <si>
    <t>Adobe: Web Authoring Using Dreamweaver</t>
  </si>
  <si>
    <t>Advanced Emergency Medical Technician</t>
  </si>
  <si>
    <t>Apple Application Development with Swift Certification Level 1</t>
  </si>
  <si>
    <t>Autodesk Auto Computer Aided Design (CAD) Certified User</t>
  </si>
  <si>
    <t>Autodesk Inventor Certified User</t>
  </si>
  <si>
    <t>Autodesk Revit Architecture Certified User</t>
  </si>
  <si>
    <t>Automotive Service Excellence (ASE) National Automotive Student Skills Standards Assessment (NA3SA) Student Certification</t>
  </si>
  <si>
    <t>American Welding Society (AWS) Flux Core Arc Welding (FCAW) 1G</t>
  </si>
  <si>
    <t>AWS Flux Core Arc Welding (FCAW) 2G</t>
  </si>
  <si>
    <t>AWS Flux Core Arc Welding (FCAW) 4G</t>
  </si>
  <si>
    <t>AWS Flux Core Arc Welding (FCAW) 3G</t>
  </si>
  <si>
    <t>AWS Flux Core Arc Welding (FCAW) Unlimited</t>
  </si>
  <si>
    <t>AWS Certified Welder</t>
  </si>
  <si>
    <t>AWS Gas Metal Arc Welding (GMAW) 1G</t>
  </si>
  <si>
    <t>AWS Gas Metal Arc Welding (GMAW) 1F</t>
  </si>
  <si>
    <t>AWS Gas Metal Arc Welding (GMAW) 2F</t>
  </si>
  <si>
    <t>AWS Gas Metal Arc Welding (GMAW) 3F Down</t>
  </si>
  <si>
    <t>AWS Gas Metal Arc Welding (GMAW) 3F Up</t>
  </si>
  <si>
    <t>AWS Gas Metal Arc Welding (GMAW) 3G Up</t>
  </si>
  <si>
    <t>AWS Gas Metal Arc Welding (GMAW) 4F</t>
  </si>
  <si>
    <t>AWS Gas Metal Arc Welding (GMAW) 4G</t>
  </si>
  <si>
    <t>AWS Gas Tungsten Arc Welding (GTAW) 1G</t>
  </si>
  <si>
    <t>AWS Gas Tungsten Arc Welding (GTAW) Carbon or Stainless Steel 1G</t>
  </si>
  <si>
    <t>AWS Gas Tungsten Arc Welding (GTAW) Carbon or Stainless Steel 2G</t>
  </si>
  <si>
    <t>AWS Gas Tungsten Arc Welding (GTAW) Carbon or Stainless Steel 3G Down</t>
  </si>
  <si>
    <t>AWS Gas Tungsten Arc Welding (GTAW) Carbon or Stainless Steel 3G Up</t>
  </si>
  <si>
    <t>AWS Gas Tungsten Arc Welding (GTAW) Carbon or Stainless Steel 4G</t>
  </si>
  <si>
    <t>AWS Gas Tungsten Arc Welding (GTAW) 3G up</t>
  </si>
  <si>
    <t>AWS Gas Tungsten Arc Welding (GTAW) 4G</t>
  </si>
  <si>
    <t>AWS Shielded Metal Arc Welding (SMAW) 1G</t>
  </si>
  <si>
    <t>AWS Shielded Metal Arc Welding (SMAW) 2G</t>
  </si>
  <si>
    <t>AWS Shielded Metal Arc Welding (SMAW) 3G up</t>
  </si>
  <si>
    <t>AWS Shielded Metal Arc Welding (SMAW) Unlimited</t>
  </si>
  <si>
    <t>AWS Shielded Metal Arc Welding (SMAW) 4G up</t>
  </si>
  <si>
    <t>Cardiopulmonary Resuscitation (CPR)</t>
  </si>
  <si>
    <t>Certified Internet Web (CIW) Internet Business Associate</t>
  </si>
  <si>
    <t>Certification of Pharmacy Technicians (ExCPT)</t>
  </si>
  <si>
    <t>Child Development Associate (CDA) Credential Online Exam</t>
  </si>
  <si>
    <t>Child Development Associate (CDA) Credential paper/pencil Exam</t>
  </si>
  <si>
    <t>Cisco Certified Entry Networking Technician (CCENT) Interconnecting Cisco Networking
Devices 1 (100-101 ICND1)</t>
  </si>
  <si>
    <t>Cisco Certified Network Associate (CCNA) 200-125</t>
  </si>
  <si>
    <t>Cisco Certified Network Associate (CCNA) Interconnecting Cisco Networking Devices:
Accelerated  (200-120 CCNA)</t>
  </si>
  <si>
    <t>Cisco: Interconnecting Cisco Networking Devices - Part 1</t>
  </si>
  <si>
    <t>Cisco: Interconnecting Cisco Networking Devices - Part 2</t>
  </si>
  <si>
    <t>CIW Internet Business Associate</t>
  </si>
  <si>
    <t>CIW Network Technology Associate</t>
  </si>
  <si>
    <t>CIW Site Development Associate</t>
  </si>
  <si>
    <t>CIW Web Foundations Associate</t>
  </si>
  <si>
    <t>Computing Technology Industry Association (CompTIA) A+ (220-901)</t>
  </si>
  <si>
    <t>CompTIA A+ (220-902)</t>
  </si>
  <si>
    <t>CompTIA IT Fundamentals (FC0-US1)</t>
  </si>
  <si>
    <t>CompTIA Linux+ (LXO101)</t>
  </si>
  <si>
    <t>CompTIA Linux+ (LXO102)</t>
  </si>
  <si>
    <t>CompTIA Linux+ (LXO103)</t>
  </si>
  <si>
    <t>CompTIA Linux+ (LXO104)</t>
  </si>
  <si>
    <t>CompTIA Network+ (N10-006)</t>
  </si>
  <si>
    <t>CompTIA Security+ (SY0-401)</t>
  </si>
  <si>
    <t>CompTIA Server+ (SK0-004)</t>
  </si>
  <si>
    <t>Dental Assisting National Board (DANB) Infection Control Exam</t>
  </si>
  <si>
    <t>Equipment &amp; Engine Technician Certification (EETC) Compact Diesel Engine Certification Test</t>
  </si>
  <si>
    <t>EETC Components Plus Certification Test</t>
  </si>
  <si>
    <t>EETC Driveline/Hydraulics Certification Test</t>
  </si>
  <si>
    <t>EETC Four-Stroke Engine Certification Test</t>
  </si>
  <si>
    <t>EETC General Certification Test</t>
  </si>
  <si>
    <t>EETC Outdoor Power Equipment (OPE) Electrical Certification Test</t>
  </si>
  <si>
    <t>EETC Reel Technology Certification Test</t>
  </si>
  <si>
    <t>EETC Two-Stroke Engine Certification Test</t>
  </si>
  <si>
    <t>Electronics Technicians Association (ETA) Electronics Direct Current (DC) Electronics Module
1 (EM1)</t>
  </si>
  <si>
    <t>ETA Electronics Alternating Current (AC) (EM2)</t>
  </si>
  <si>
    <t>ETA Analog (EM3)</t>
  </si>
  <si>
    <t>ETA Digital (EM4)</t>
  </si>
  <si>
    <t>ETA Comprehensive (EM5)</t>
  </si>
  <si>
    <t>ETA Associate Certified Electronics Technician (CETa)</t>
  </si>
  <si>
    <t>Educational Testing Service (ETS)-Praxis ParaPro  Assessment</t>
  </si>
  <si>
    <t>Entrepreneurship &amp; Small Business (ESB) Small Business Management</t>
  </si>
  <si>
    <t>Federal Aviation Administration (FAA) Part 107 Unmanned Drone Pilot License</t>
  </si>
  <si>
    <t>Inter-Industry Conference on Auto Collision Repair (I-CAR) Pro-Level 1</t>
  </si>
  <si>
    <t>I-CAR Steel Gas Metal Arc (GMA) Metal Inert Gas (MIG) Welding WCS03</t>
  </si>
  <si>
    <t>I-CAR  Aluminum GMA (MIG) Welding WCA03</t>
  </si>
  <si>
    <t>I-CAR Pro-Level 1</t>
  </si>
  <si>
    <t>Idaho Certified Nursing Assistant Manual Skills Exam</t>
  </si>
  <si>
    <t>Idaho Certified Nursing Assistant Prometric Exam</t>
  </si>
  <si>
    <t>Idaho Court Interpreter</t>
  </si>
  <si>
    <t>Idaho Department of Agriculture Animal Artificial Insemination License</t>
  </si>
  <si>
    <t>Idaho Department of Agriculture Animal Care Worker Certification</t>
  </si>
  <si>
    <t>Idaho Department of Agriculture Assistant Laboratory Animal Technician</t>
  </si>
  <si>
    <t>Idaho Department of Agriculture Pesticide Applicator</t>
  </si>
  <si>
    <t>Idaho Department of Agriculture Private Pesticide Applicator License</t>
  </si>
  <si>
    <t>Idaho Emergency Medical Responder Psychomotor</t>
  </si>
  <si>
    <t>Idaho Emergency Medical Responder-Written</t>
  </si>
  <si>
    <t>Idaho Emergency Medical Technician Psychomotor</t>
  </si>
  <si>
    <t>Idaho Emergency Medical Technician-Written Exam</t>
  </si>
  <si>
    <t>Idaho Nursery &amp; Landscape Associationn (INLA) Horticultural Pre-Technical Certificate</t>
  </si>
  <si>
    <t>Infection Control Exam - Dental</t>
  </si>
  <si>
    <t>Internet &amp; Computing Core Certification (IC3)</t>
  </si>
  <si>
    <t>Intuit QuickBooks Certified User</t>
  </si>
  <si>
    <t>Microsoft Office Specialist (MOS): Microsoft Office 365 (Core)</t>
  </si>
  <si>
    <t>MOS: Microsoft Office Access</t>
  </si>
  <si>
    <t>MOS: Microsoft Office Excel</t>
  </si>
  <si>
    <t>MOS: Microsoft Office OneNote</t>
  </si>
  <si>
    <t>MOS: Microsoft Office Outlook</t>
  </si>
  <si>
    <t>MOS: Microsoft Office Powerpoint</t>
  </si>
  <si>
    <t>MOS: Microsoft Office SharePoint</t>
  </si>
  <si>
    <t>MOS: Microsoft Office Word</t>
  </si>
  <si>
    <t>Microsoft: Administering Windows Server 2012 or 2016</t>
  </si>
  <si>
    <t>Microsoft: Configuring Advanced Windows Server 2012 or 2016 Services</t>
  </si>
  <si>
    <t>Microsoft: Installing and Configuring Windows Server 2012 or 2016</t>
  </si>
  <si>
    <t>Microsoft Technology Associate (MTA): .Net Fundamentals</t>
  </si>
  <si>
    <t>MTA: Database Administration Fundamentals</t>
  </si>
  <si>
    <t>MTA: Gaming Development Fundamentals</t>
  </si>
  <si>
    <t>MTA: Hypertext Markup Language (HTML) 5 Application Development Fundamentals</t>
  </si>
  <si>
    <t>MTA: Mobile Applications Development Fundamentals</t>
  </si>
  <si>
    <t>MTA: Networking Fundamentals</t>
  </si>
  <si>
    <t>MTA: Security Fundamentals</t>
  </si>
  <si>
    <t>MTA: Server Administration Fundamentals</t>
  </si>
  <si>
    <t>MTA: Software Development Fundamentals</t>
  </si>
  <si>
    <t>MTA: Software Testing Fundamentals</t>
  </si>
  <si>
    <t>MTA: Web Development Fundamentals</t>
  </si>
  <si>
    <t>MTA: Windows Operating System Fundamentals</t>
  </si>
  <si>
    <t>National Entry Level Dental Assistant</t>
  </si>
  <si>
    <t>National Institute for Metalworking Skills (NIMS) Level 1 Credentials</t>
  </si>
  <si>
    <t>National Center for Construction Education &amp; Research (NCCER) Academic Carpentry Level 1</t>
  </si>
  <si>
    <t>NCCER Academic Construction Technology</t>
  </si>
  <si>
    <t>NCCER Academic Core: Introductory Craft Skills</t>
  </si>
  <si>
    <t>NCCER Academic Electrical Level 1</t>
  </si>
  <si>
    <t>NCCER Academic Heavy Equipment Operations Level 1</t>
  </si>
  <si>
    <t>NCCER Academic Heating Ventilation &amp; Air Conditioning (HVAC)</t>
  </si>
  <si>
    <t>NCCER Academic Masonry Level 1</t>
  </si>
  <si>
    <t>NCCER Academic Welding</t>
  </si>
  <si>
    <t>National Healthcare Association (NHA) Certified Medical Administrative Assistant (CMAA)</t>
  </si>
  <si>
    <t>NHA Certified Phelbotomy Technician (CPT) Exam</t>
  </si>
  <si>
    <t>Oracle Java Associate</t>
  </si>
  <si>
    <t>Oracle Structured Query Language (SQL) Fundamentals</t>
  </si>
  <si>
    <t>Occupational Safety &amp; Health Administration (OSHA) General Forklift Driver</t>
  </si>
  <si>
    <t>OSHA Ten Hour (exam only)</t>
  </si>
  <si>
    <t>Pharmacy Technician Certification Board (PTCB) Certification</t>
  </si>
  <si>
    <t>ServSafe Food Handler Certification</t>
  </si>
  <si>
    <t>ServSafe Manager Certification (Online Exam)</t>
  </si>
  <si>
    <t>ServSafe Manager Certification (Paper Exam)</t>
  </si>
  <si>
    <t>SOLIDWORKS Certified Associate</t>
  </si>
  <si>
    <t>TestOut IT Fundamentals Pro </t>
  </si>
  <si>
    <t>TestOut PC Pro</t>
  </si>
  <si>
    <t>TestOut Network Pro</t>
  </si>
  <si>
    <t>TestOut Security Pro</t>
  </si>
  <si>
    <t>TestOut Linux Pro</t>
  </si>
  <si>
    <t>TestOut Client Pro </t>
  </si>
  <si>
    <t>TestOut Ethical Hacker</t>
  </si>
  <si>
    <t>Zend Certified Hypertext Preprocessor (PHP) Engineer</t>
  </si>
  <si>
    <t>Agency</t>
  </si>
  <si>
    <t>Assignment Titles</t>
  </si>
  <si>
    <t>SDE</t>
  </si>
  <si>
    <t>00005</t>
  </si>
  <si>
    <t>Elementary - Miscellaneous/Exploratory (K-8) (Restricted)</t>
  </si>
  <si>
    <t>00018</t>
  </si>
  <si>
    <t>Literacy (K-12)</t>
  </si>
  <si>
    <t>00027</t>
  </si>
  <si>
    <t>American Indian Language (K-12)</t>
  </si>
  <si>
    <t>00029</t>
  </si>
  <si>
    <t>World Language (K-12)</t>
  </si>
  <si>
    <t>00031</t>
  </si>
  <si>
    <t>Music (K-12)</t>
  </si>
  <si>
    <t>00035</t>
  </si>
  <si>
    <t>Visual Arts (K-12)</t>
  </si>
  <si>
    <t>00051</t>
  </si>
  <si>
    <t>Physical Education (K-12)</t>
  </si>
  <si>
    <t>00052</t>
  </si>
  <si>
    <t>Health Education (K-12)</t>
  </si>
  <si>
    <t>00070</t>
  </si>
  <si>
    <t>00074</t>
  </si>
  <si>
    <t xml:space="preserve">Gifted and Talented - Support
</t>
  </si>
  <si>
    <t>00080</t>
  </si>
  <si>
    <t>Special Education (K-8)</t>
  </si>
  <si>
    <t>00082</t>
  </si>
  <si>
    <t>Special Education (4-6)</t>
  </si>
  <si>
    <t>00083</t>
  </si>
  <si>
    <t>Early Childhood - Special Education (Pre-K)</t>
  </si>
  <si>
    <t>00084</t>
  </si>
  <si>
    <t>Early Childhood - Special Education (K-3)</t>
  </si>
  <si>
    <t>00150</t>
  </si>
  <si>
    <t>01001</t>
  </si>
  <si>
    <t xml:space="preserve">English/Language Arts I (9th grade content level) </t>
  </si>
  <si>
    <t>01002</t>
  </si>
  <si>
    <t xml:space="preserve">English/Language Arts II (10th grade content level) </t>
  </si>
  <si>
    <t>01003</t>
  </si>
  <si>
    <t>English/Language Arts III (11th grade content level)</t>
  </si>
  <si>
    <t>01004</t>
  </si>
  <si>
    <t>English/Language Arts IV (12th grade content level)</t>
  </si>
  <si>
    <t>01005</t>
  </si>
  <si>
    <t>AP English Language and Composition</t>
  </si>
  <si>
    <t>01006</t>
  </si>
  <si>
    <t>AP English Literature and Composition</t>
  </si>
  <si>
    <t>01007</t>
  </si>
  <si>
    <t>IB Language A: Literature—English</t>
  </si>
  <si>
    <t>01008</t>
  </si>
  <si>
    <t>English as a Second Language (K-12)</t>
  </si>
  <si>
    <t>01009</t>
  </si>
  <si>
    <t>English as a Second Language - Support (K-12)</t>
  </si>
  <si>
    <t>01019</t>
  </si>
  <si>
    <t>Bilingual Education (K-12)</t>
  </si>
  <si>
    <t>01020</t>
  </si>
  <si>
    <t>Bilingual Education - Support (K-12)</t>
  </si>
  <si>
    <t>01053</t>
  </si>
  <si>
    <t>Literature (5-12)</t>
  </si>
  <si>
    <t>01103</t>
  </si>
  <si>
    <t>Composition/Writing (5-12)</t>
  </si>
  <si>
    <t>01151</t>
  </si>
  <si>
    <t>Public Speaking/Speech/Communications (5-12)</t>
  </si>
  <si>
    <t>01153</t>
  </si>
  <si>
    <t>Debate (5-12)</t>
  </si>
  <si>
    <t>02002</t>
  </si>
  <si>
    <t>General Mathematics (5-8 Content)</t>
  </si>
  <si>
    <t>02052</t>
  </si>
  <si>
    <t>Algebra I</t>
  </si>
  <si>
    <t>02056</t>
  </si>
  <si>
    <t xml:space="preserve">Algebra II </t>
  </si>
  <si>
    <t>02062</t>
  </si>
  <si>
    <t>Integrated Mathematics I</t>
  </si>
  <si>
    <t>02063</t>
  </si>
  <si>
    <t>Integrated Mathematics II</t>
  </si>
  <si>
    <t>02064</t>
  </si>
  <si>
    <t>Integrated Mathematics III</t>
  </si>
  <si>
    <t>02072</t>
  </si>
  <si>
    <t xml:space="preserve">Geometry </t>
  </si>
  <si>
    <t>02102</t>
  </si>
  <si>
    <t xml:space="preserve">Discrete Mathematics </t>
  </si>
  <si>
    <t>02103</t>
  </si>
  <si>
    <t xml:space="preserve">Trigonometry </t>
  </si>
  <si>
    <t>02110</t>
  </si>
  <si>
    <t xml:space="preserve">Pre-Calculus </t>
  </si>
  <si>
    <t>02121</t>
  </si>
  <si>
    <t xml:space="preserve">Calculus </t>
  </si>
  <si>
    <t>02124</t>
  </si>
  <si>
    <t xml:space="preserve">AP Calculus AB </t>
  </si>
  <si>
    <t>02125</t>
  </si>
  <si>
    <t xml:space="preserve">AP Calculus BC </t>
  </si>
  <si>
    <t>02131</t>
  </si>
  <si>
    <t xml:space="preserve">IB Mathematical Studies </t>
  </si>
  <si>
    <t>02132</t>
  </si>
  <si>
    <t xml:space="preserve">IB Mathematics </t>
  </si>
  <si>
    <t>02134</t>
  </si>
  <si>
    <t xml:space="preserve">IB Further Mathematics—HL </t>
  </si>
  <si>
    <t>02151</t>
  </si>
  <si>
    <t>Applied Mathematics (5-12)</t>
  </si>
  <si>
    <t>02201</t>
  </si>
  <si>
    <t xml:space="preserve">Probability and Statistics </t>
  </si>
  <si>
    <t>02203</t>
  </si>
  <si>
    <t xml:space="preserve">AP Statistics </t>
  </si>
  <si>
    <t>02204</t>
  </si>
  <si>
    <t>AP/Dual Credit Computer Science - Mathematics (11-12 grade content)</t>
  </si>
  <si>
    <t>02205</t>
  </si>
  <si>
    <t>AP/Dual Credit Engineering - Mathematics (11-12 grade content)</t>
  </si>
  <si>
    <t>03002</t>
  </si>
  <si>
    <t>Geology (5-12)</t>
  </si>
  <si>
    <t>03008</t>
  </si>
  <si>
    <t>Earth and Space Science (5-12)</t>
  </si>
  <si>
    <t>03051</t>
  </si>
  <si>
    <t>Biology (5-12)</t>
  </si>
  <si>
    <t>03056</t>
  </si>
  <si>
    <t xml:space="preserve">AP Biology </t>
  </si>
  <si>
    <t>03057</t>
  </si>
  <si>
    <t xml:space="preserve">IB Biology </t>
  </si>
  <si>
    <t>03101</t>
  </si>
  <si>
    <t>Chemistry (5-12)</t>
  </si>
  <si>
    <t>03106</t>
  </si>
  <si>
    <t xml:space="preserve">AP Chemistry </t>
  </si>
  <si>
    <t>03107</t>
  </si>
  <si>
    <t xml:space="preserve">IB Chemistry </t>
  </si>
  <si>
    <t>03151</t>
  </si>
  <si>
    <t>Physics (5-12)</t>
  </si>
  <si>
    <t>03157</t>
  </si>
  <si>
    <t xml:space="preserve">IB Physics </t>
  </si>
  <si>
    <t>03159</t>
  </si>
  <si>
    <t>Physical Science (5-12)</t>
  </si>
  <si>
    <t>03165</t>
  </si>
  <si>
    <t>AP Physics 1</t>
  </si>
  <si>
    <t>03166</t>
  </si>
  <si>
    <t>AP Physics 2</t>
  </si>
  <si>
    <t>03206</t>
  </si>
  <si>
    <t xml:space="preserve">IB Design Technology </t>
  </si>
  <si>
    <t>03207</t>
  </si>
  <si>
    <t xml:space="preserve">AP Environmental Science </t>
  </si>
  <si>
    <t>03208</t>
  </si>
  <si>
    <t>AP/Dual Credit Computer Science – Science (11th-12th grade content)</t>
  </si>
  <si>
    <t>03209</t>
  </si>
  <si>
    <t>AP/Dual Credit Engineering – Science (11th-12th grade content)</t>
  </si>
  <si>
    <t>04001</t>
  </si>
  <si>
    <t>Geography (5-12)</t>
  </si>
  <si>
    <t>04003</t>
  </si>
  <si>
    <t xml:space="preserve">IB Geography </t>
  </si>
  <si>
    <t>04004</t>
  </si>
  <si>
    <t xml:space="preserve">AP Human Geography </t>
  </si>
  <si>
    <t>04051</t>
  </si>
  <si>
    <t>World History (5-12)</t>
  </si>
  <si>
    <t>04054</t>
  </si>
  <si>
    <t xml:space="preserve">IB History </t>
  </si>
  <si>
    <t>04057</t>
  </si>
  <si>
    <t xml:space="preserve">AP World History </t>
  </si>
  <si>
    <t>04101</t>
  </si>
  <si>
    <t>U.S. History (5-12)</t>
  </si>
  <si>
    <t>04104</t>
  </si>
  <si>
    <t xml:space="preserve">AP U.S. History </t>
  </si>
  <si>
    <t>04151</t>
  </si>
  <si>
    <t>American Government/Political Science (5-12)</t>
  </si>
  <si>
    <t>04157</t>
  </si>
  <si>
    <t xml:space="preserve">AP U.S. Government and Politics </t>
  </si>
  <si>
    <t>04159</t>
  </si>
  <si>
    <t xml:space="preserve">AP Government </t>
  </si>
  <si>
    <t>04201</t>
  </si>
  <si>
    <t>Economics (5-12)</t>
  </si>
  <si>
    <t>04203</t>
  </si>
  <si>
    <t xml:space="preserve">AP Microeconomics </t>
  </si>
  <si>
    <t>04204</t>
  </si>
  <si>
    <t xml:space="preserve">AP Macroeconomics </t>
  </si>
  <si>
    <t>04205</t>
  </si>
  <si>
    <t xml:space="preserve">AP Economics </t>
  </si>
  <si>
    <t>04206</t>
  </si>
  <si>
    <t xml:space="preserve">IB Economics </t>
  </si>
  <si>
    <t>04251</t>
  </si>
  <si>
    <t>Anthropology (5-12)</t>
  </si>
  <si>
    <t>04253</t>
  </si>
  <si>
    <t xml:space="preserve">IB Social and Cultural Anthropology </t>
  </si>
  <si>
    <t>04254</t>
  </si>
  <si>
    <t>Psychology (5-12)</t>
  </si>
  <si>
    <t>04256</t>
  </si>
  <si>
    <t xml:space="preserve">AP Psychology </t>
  </si>
  <si>
    <t>04257</t>
  </si>
  <si>
    <t xml:space="preserve">IB Psychology </t>
  </si>
  <si>
    <t>04258</t>
  </si>
  <si>
    <t>Sociology (5-12)</t>
  </si>
  <si>
    <t>04302</t>
  </si>
  <si>
    <t>Interdisciplinary Humanities (5-12)</t>
  </si>
  <si>
    <t>05052</t>
  </si>
  <si>
    <t>Theater Arts (5-12)</t>
  </si>
  <si>
    <t>05114</t>
  </si>
  <si>
    <t xml:space="preserve">AP Music Theory </t>
  </si>
  <si>
    <t>05115</t>
  </si>
  <si>
    <t xml:space="preserve">IB Music </t>
  </si>
  <si>
    <t>05149</t>
  </si>
  <si>
    <t>Music (5-12)</t>
  </si>
  <si>
    <t>05153</t>
  </si>
  <si>
    <t>AP Art History</t>
  </si>
  <si>
    <t>05173</t>
  </si>
  <si>
    <t>IB Visual Arts</t>
  </si>
  <si>
    <t>05199</t>
  </si>
  <si>
    <t>Visual Arts (5-12)</t>
  </si>
  <si>
    <t>08001</t>
  </si>
  <si>
    <t>Physical Education (5-12)</t>
  </si>
  <si>
    <t>08051</t>
  </si>
  <si>
    <t>Health Education (5-12)</t>
  </si>
  <si>
    <t>09002</t>
  </si>
  <si>
    <t>Military Jr. ROTC</t>
  </si>
  <si>
    <t>10001</t>
  </si>
  <si>
    <t>Introduction to Computer Technology (5-12)</t>
  </si>
  <si>
    <t>10049</t>
  </si>
  <si>
    <t>Computer Science and Information Technology (5-12)</t>
  </si>
  <si>
    <t>10157</t>
  </si>
  <si>
    <t xml:space="preserve">AP Computer Science A </t>
  </si>
  <si>
    <t>11101</t>
  </si>
  <si>
    <t>Journalism (5-12)</t>
  </si>
  <si>
    <t>11103</t>
  </si>
  <si>
    <t>Broadcasting Technology (5-12)</t>
  </si>
  <si>
    <t>12005</t>
  </si>
  <si>
    <t>Keyboarding (K-12)</t>
  </si>
  <si>
    <t>20005</t>
  </si>
  <si>
    <t>21005</t>
  </si>
  <si>
    <t>Engineering (5-12)</t>
  </si>
  <si>
    <t>22001</t>
  </si>
  <si>
    <t>National Standardized Test Preparation</t>
  </si>
  <si>
    <t>22002</t>
  </si>
  <si>
    <t xml:space="preserve">Idaho State Test Preparation </t>
  </si>
  <si>
    <t>22050</t>
  </si>
  <si>
    <t>Work Training/Career Training Opportunity</t>
  </si>
  <si>
    <t>22051</t>
  </si>
  <si>
    <t>Office/Library/Classroom Aide</t>
  </si>
  <si>
    <t>22150</t>
  </si>
  <si>
    <t>23001</t>
  </si>
  <si>
    <t>23002</t>
  </si>
  <si>
    <t>23003</t>
  </si>
  <si>
    <t>23004</t>
  </si>
  <si>
    <t>23005</t>
  </si>
  <si>
    <t>23006</t>
  </si>
  <si>
    <t>23007</t>
  </si>
  <si>
    <t>23008</t>
  </si>
  <si>
    <t>23009</t>
  </si>
  <si>
    <t>24052</t>
  </si>
  <si>
    <t>Spanish (K-12)</t>
  </si>
  <si>
    <t>24053</t>
  </si>
  <si>
    <t>Spanish (5-12)</t>
  </si>
  <si>
    <t>24062</t>
  </si>
  <si>
    <t>IB Language A: Literature—Spanish</t>
  </si>
  <si>
    <t>24063</t>
  </si>
  <si>
    <t xml:space="preserve">IB Language B—Spanish </t>
  </si>
  <si>
    <t>24064</t>
  </si>
  <si>
    <t xml:space="preserve">AP Spanish Language and Culture </t>
  </si>
  <si>
    <t>24102</t>
  </si>
  <si>
    <t>French (K-12)</t>
  </si>
  <si>
    <t>24103</t>
  </si>
  <si>
    <t>French (5-12)</t>
  </si>
  <si>
    <t>24112</t>
  </si>
  <si>
    <t>IB Language A: Literature—French</t>
  </si>
  <si>
    <t>24113</t>
  </si>
  <si>
    <t xml:space="preserve">IB Language B—French </t>
  </si>
  <si>
    <t>24114</t>
  </si>
  <si>
    <t>AP French Language and Culture</t>
  </si>
  <si>
    <t>24252</t>
  </si>
  <si>
    <t>German (K-12)</t>
  </si>
  <si>
    <t>24253</t>
  </si>
  <si>
    <t>German (5-12)</t>
  </si>
  <si>
    <t>24264</t>
  </si>
  <si>
    <t xml:space="preserve">AP German Language and Culture </t>
  </si>
  <si>
    <t>24342</t>
  </si>
  <si>
    <t>Latin (K-12)</t>
  </si>
  <si>
    <t>24343</t>
  </si>
  <si>
    <t>Latin (5-12)</t>
  </si>
  <si>
    <t>24852</t>
  </si>
  <si>
    <t>American Sign Language (K-12)</t>
  </si>
  <si>
    <t>24853</t>
  </si>
  <si>
    <t>American Sign Language (5-12)</t>
  </si>
  <si>
    <t>24989</t>
  </si>
  <si>
    <t>World Language (5-12)</t>
  </si>
  <si>
    <t>31000</t>
  </si>
  <si>
    <t>College and Career Ready Advisor</t>
  </si>
  <si>
    <t>31049</t>
  </si>
  <si>
    <t>Athletic Facilitator</t>
  </si>
  <si>
    <t>31300</t>
  </si>
  <si>
    <t>Coordinator</t>
  </si>
  <si>
    <t>31430</t>
  </si>
  <si>
    <t>Technology Assistance Specialist</t>
  </si>
  <si>
    <t>31460</t>
  </si>
  <si>
    <t>Mentor Specialist</t>
  </si>
  <si>
    <t>31540</t>
  </si>
  <si>
    <t>Gifted/Talented Specialist</t>
  </si>
  <si>
    <t>31610</t>
  </si>
  <si>
    <t>Teacher Leader – Special Education</t>
  </si>
  <si>
    <t>31611</t>
  </si>
  <si>
    <t>Teacher Leader - Mathematics</t>
  </si>
  <si>
    <t>31612</t>
  </si>
  <si>
    <t>Teacher Leader - Instructional Specialist</t>
  </si>
  <si>
    <t>31613</t>
  </si>
  <si>
    <t>Teacher Leader - Literacy</t>
  </si>
  <si>
    <t>31990</t>
  </si>
  <si>
    <t>32010</t>
  </si>
  <si>
    <t>Audiologist</t>
  </si>
  <si>
    <t>32050</t>
  </si>
  <si>
    <t>Speech/Language Pathologist</t>
  </si>
  <si>
    <t>32070</t>
  </si>
  <si>
    <t>32080</t>
  </si>
  <si>
    <t>School Psychologist</t>
  </si>
  <si>
    <t>32090</t>
  </si>
  <si>
    <t>School Social Worker</t>
  </si>
  <si>
    <t>32110</t>
  </si>
  <si>
    <t>32111</t>
  </si>
  <si>
    <t>32120</t>
  </si>
  <si>
    <t>Occupational Therapist</t>
  </si>
  <si>
    <t>32130</t>
  </si>
  <si>
    <t>Physical Therapist</t>
  </si>
  <si>
    <t>32150</t>
  </si>
  <si>
    <t>33001</t>
  </si>
  <si>
    <t>Teacher Librarian (K-12)</t>
  </si>
  <si>
    <t>41010</t>
  </si>
  <si>
    <t>41020</t>
  </si>
  <si>
    <t>Assistant Superintendent</t>
  </si>
  <si>
    <t>41050</t>
  </si>
  <si>
    <t>Charter Administrator</t>
  </si>
  <si>
    <t>42100</t>
  </si>
  <si>
    <t>42110</t>
  </si>
  <si>
    <t>42300</t>
  </si>
  <si>
    <t>43040</t>
  </si>
  <si>
    <t>Special Education Director</t>
  </si>
  <si>
    <t>46020</t>
  </si>
  <si>
    <t>51001</t>
  </si>
  <si>
    <t>General English/Language Arts (5-8 Content)</t>
  </si>
  <si>
    <t>53000</t>
  </si>
  <si>
    <t xml:space="preserve">General Science (5-8 content) </t>
  </si>
  <si>
    <t>54305</t>
  </si>
  <si>
    <t>General Social Studies (5-8 content)</t>
  </si>
  <si>
    <t>73006</t>
  </si>
  <si>
    <t>Special Education -Support (5-12)</t>
  </si>
  <si>
    <t>73007</t>
  </si>
  <si>
    <t>Special Education - Content Teacher/Self-Contained (5-12)</t>
  </si>
  <si>
    <t>73008</t>
  </si>
  <si>
    <t>Visual Impaired Instruction – Special Education (Pre-K-12)</t>
  </si>
  <si>
    <t>73009</t>
  </si>
  <si>
    <t>Deaf/Hard of Hearing – Special Education (Pre-K-12)</t>
  </si>
  <si>
    <t>86000</t>
  </si>
  <si>
    <t>Early graduation after 1st semester of Sr. Year</t>
  </si>
  <si>
    <t>97101</t>
  </si>
  <si>
    <t xml:space="preserve">Business Manager/District Clerk </t>
  </si>
  <si>
    <t>97105</t>
  </si>
  <si>
    <t xml:space="preserve">Clerk – Board Of Trustees  </t>
  </si>
  <si>
    <t>97110</t>
  </si>
  <si>
    <t>Office Support Personnel – District</t>
  </si>
  <si>
    <t>97112</t>
  </si>
  <si>
    <t>Purchasing/Warehouse Personnel</t>
  </si>
  <si>
    <t>97115</t>
  </si>
  <si>
    <t>Office Support Personnel – Building</t>
  </si>
  <si>
    <t>97125</t>
  </si>
  <si>
    <t>Human Resources</t>
  </si>
  <si>
    <t>97130</t>
  </si>
  <si>
    <t>Public Information</t>
  </si>
  <si>
    <t>97201</t>
  </si>
  <si>
    <t>Custodian Supervisor</t>
  </si>
  <si>
    <t>97205</t>
  </si>
  <si>
    <t xml:space="preserve">Custodial Personnel </t>
  </si>
  <si>
    <t>97301</t>
  </si>
  <si>
    <t xml:space="preserve">Child Nutrition – Supervisor   </t>
  </si>
  <si>
    <t>97305</t>
  </si>
  <si>
    <t>Child Nutrition – Manager</t>
  </si>
  <si>
    <t>97310</t>
  </si>
  <si>
    <t xml:space="preserve">Child Nutrition – Food Preparation and Service </t>
  </si>
  <si>
    <t>97315</t>
  </si>
  <si>
    <t xml:space="preserve">Child Nutrition – Other   </t>
  </si>
  <si>
    <t>97401</t>
  </si>
  <si>
    <t>Building/Grounds Maintenance Supervisor</t>
  </si>
  <si>
    <t>97405</t>
  </si>
  <si>
    <t xml:space="preserve">Building/Grounds Maintenance Personnel </t>
  </si>
  <si>
    <t>97500</t>
  </si>
  <si>
    <t xml:space="preserve">Classroom Assistant </t>
  </si>
  <si>
    <t>97501</t>
  </si>
  <si>
    <t>Paraprofessional – General Education</t>
  </si>
  <si>
    <t>97502</t>
  </si>
  <si>
    <t>Paraprofessional – Special Education</t>
  </si>
  <si>
    <t>97503</t>
  </si>
  <si>
    <t>Paraprofessional – PK Special Education</t>
  </si>
  <si>
    <t>97504</t>
  </si>
  <si>
    <t>Paraprofessional – PK General Education</t>
  </si>
  <si>
    <t>97506</t>
  </si>
  <si>
    <t>Paraprofessional – Title I</t>
  </si>
  <si>
    <t>97507</t>
  </si>
  <si>
    <t>Paraprofessional – ESL/LEP</t>
  </si>
  <si>
    <t>97508</t>
  </si>
  <si>
    <t>Paraprofessional – Technology</t>
  </si>
  <si>
    <t>97509</t>
  </si>
  <si>
    <t xml:space="preserve">Paraprofessional – Migrant </t>
  </si>
  <si>
    <t>97520</t>
  </si>
  <si>
    <t>Related Services Assistant – Special Education</t>
  </si>
  <si>
    <t>97521</t>
  </si>
  <si>
    <t>Interpreter – Hearing Impaired</t>
  </si>
  <si>
    <t>97522</t>
  </si>
  <si>
    <t>Personal Care Assistant</t>
  </si>
  <si>
    <t>97530</t>
  </si>
  <si>
    <t>Library Assistant</t>
  </si>
  <si>
    <t>97601</t>
  </si>
  <si>
    <t xml:space="preserve">Pupil Transportation Supervisor </t>
  </si>
  <si>
    <t>97602</t>
  </si>
  <si>
    <t>Pupil Transportation Dispatcher/Secretary</t>
  </si>
  <si>
    <t>97603</t>
  </si>
  <si>
    <t>Pupil Transportation – School Bus Mechanic</t>
  </si>
  <si>
    <t>97604</t>
  </si>
  <si>
    <t xml:space="preserve">Pupil Transportation – School Bus Assistant </t>
  </si>
  <si>
    <t>97605</t>
  </si>
  <si>
    <t xml:space="preserve">Pupil Transportation – School Bus Drivers </t>
  </si>
  <si>
    <t>97606</t>
  </si>
  <si>
    <t>Pupil Transportation – School Bus Monitors</t>
  </si>
  <si>
    <t>97607</t>
  </si>
  <si>
    <t>Pupil Transportation – School Bus Driver Trainer</t>
  </si>
  <si>
    <t>97701</t>
  </si>
  <si>
    <t>Safe Environment – Security Personnel</t>
  </si>
  <si>
    <t>97702</t>
  </si>
  <si>
    <t>Safe Environment – Crossing Guard Personnel</t>
  </si>
  <si>
    <t>97703</t>
  </si>
  <si>
    <t xml:space="preserve">Safe Environment – Playground/Noon Duty/Hall Personnel </t>
  </si>
  <si>
    <t>97704</t>
  </si>
  <si>
    <t>Safe Environment – Before/After School Programs Personnel</t>
  </si>
  <si>
    <t>97705</t>
  </si>
  <si>
    <t>Safe Environment – Community Education</t>
  </si>
  <si>
    <t>97706</t>
  </si>
  <si>
    <t>Safe Environment – Attendance Officers</t>
  </si>
  <si>
    <t>97710</t>
  </si>
  <si>
    <t xml:space="preserve">Athletic/Physical Education/Coaching Assistant </t>
  </si>
  <si>
    <t>97711</t>
  </si>
  <si>
    <t>Health Care Assistant</t>
  </si>
  <si>
    <t>97712</t>
  </si>
  <si>
    <t>97713</t>
  </si>
  <si>
    <t>97714</t>
  </si>
  <si>
    <t>Community Resource Worker</t>
  </si>
  <si>
    <t>97715</t>
  </si>
  <si>
    <t>97716</t>
  </si>
  <si>
    <t>Grant Writer – Special Project Personnel</t>
  </si>
  <si>
    <t>97724</t>
  </si>
  <si>
    <t>Drivers’ Education</t>
  </si>
  <si>
    <t>97725</t>
  </si>
  <si>
    <t>97727</t>
  </si>
  <si>
    <t xml:space="preserve">IT (Technology)/Data Analysis Services </t>
  </si>
  <si>
    <t>97730</t>
  </si>
  <si>
    <t>Computer Technology Technician</t>
  </si>
  <si>
    <t>97735</t>
  </si>
  <si>
    <t>97740</t>
  </si>
  <si>
    <t>Migrant Family Liaison</t>
  </si>
  <si>
    <t>97745</t>
  </si>
  <si>
    <t>Migrant Graduation Specialist</t>
  </si>
  <si>
    <t>100010</t>
  </si>
  <si>
    <t>Computer Technology I</t>
  </si>
  <si>
    <t>100011</t>
  </si>
  <si>
    <t>Computer Technology II</t>
  </si>
  <si>
    <t>100030</t>
  </si>
  <si>
    <t xml:space="preserve">Fundamentals of Information Systems Technology </t>
  </si>
  <si>
    <t>100050</t>
  </si>
  <si>
    <t>Business Computer Applications I</t>
  </si>
  <si>
    <t>100051</t>
  </si>
  <si>
    <t>Business Computer Applications  II</t>
  </si>
  <si>
    <t>100052</t>
  </si>
  <si>
    <t>Business Computer Applications III</t>
  </si>
  <si>
    <t>100130</t>
  </si>
  <si>
    <t>PLTW Computer Science Essentials</t>
  </si>
  <si>
    <t>100140</t>
  </si>
  <si>
    <t>PLTW Computer Science A</t>
  </si>
  <si>
    <t>100150</t>
  </si>
  <si>
    <t>PLTW Computer Science Principles</t>
  </si>
  <si>
    <t>100160</t>
  </si>
  <si>
    <t>PLTW Cybersecurity</t>
  </si>
  <si>
    <t>100190</t>
  </si>
  <si>
    <t>Computer Science I</t>
  </si>
  <si>
    <t>100191</t>
  </si>
  <si>
    <t>Computer Science II</t>
  </si>
  <si>
    <t>100192</t>
  </si>
  <si>
    <t>Computer Science III</t>
  </si>
  <si>
    <t>100210</t>
  </si>
  <si>
    <t>Cloud Computing I</t>
  </si>
  <si>
    <t>100211</t>
  </si>
  <si>
    <t>Cloud Computing II</t>
  </si>
  <si>
    <t>100470</t>
  </si>
  <si>
    <t>Computer Science Advanced Studies</t>
  </si>
  <si>
    <t>100480</t>
  </si>
  <si>
    <t>Work-Based Learning - Computer Support</t>
  </si>
  <si>
    <t>100510</t>
  </si>
  <si>
    <t>Information Technology</t>
  </si>
  <si>
    <t>100520</t>
  </si>
  <si>
    <t>Computer Science-Database Design &amp; Programming</t>
  </si>
  <si>
    <t>101010</t>
  </si>
  <si>
    <t>Networking Support I</t>
  </si>
  <si>
    <t>101030</t>
  </si>
  <si>
    <t>Networking Support II</t>
  </si>
  <si>
    <t>101480</t>
  </si>
  <si>
    <t>Advanced Networking</t>
  </si>
  <si>
    <t>101481</t>
  </si>
  <si>
    <t>Work-Based Learning - Network Support</t>
  </si>
  <si>
    <t>101520</t>
  </si>
  <si>
    <t>Computer Programming &amp; Software Development I</t>
  </si>
  <si>
    <t>101521</t>
  </si>
  <si>
    <t>Computer Programming &amp; Software Development II</t>
  </si>
  <si>
    <t>101522</t>
  </si>
  <si>
    <t>Programming &amp; Software Development I</t>
  </si>
  <si>
    <t>101523</t>
  </si>
  <si>
    <t>Programming &amp; Software Development II</t>
  </si>
  <si>
    <t>101524</t>
  </si>
  <si>
    <t>Programming &amp; Software Development III</t>
  </si>
  <si>
    <t>101980</t>
  </si>
  <si>
    <t>Work-Based Learning - Programming &amp; Software Development</t>
  </si>
  <si>
    <t>102010</t>
  </si>
  <si>
    <t>Web Design I - Introduction to XHTML &amp; XML</t>
  </si>
  <si>
    <t>102011</t>
  </si>
  <si>
    <t>Web Design II - Web Site Authoring Tools</t>
  </si>
  <si>
    <t>102012</t>
  </si>
  <si>
    <t>Web Design &amp; Development I</t>
  </si>
  <si>
    <t>102013</t>
  </si>
  <si>
    <t>Web Design &amp; Development II</t>
  </si>
  <si>
    <t>102014</t>
  </si>
  <si>
    <t>Business Digital Communications</t>
  </si>
  <si>
    <t>102015</t>
  </si>
  <si>
    <t>Web Design &amp; Development III</t>
  </si>
  <si>
    <t>102030</t>
  </si>
  <si>
    <t>Introduction to Interactive Media</t>
  </si>
  <si>
    <t>102480</t>
  </si>
  <si>
    <t>Work-Based Learning - Business Digital Communications</t>
  </si>
  <si>
    <t>102481</t>
  </si>
  <si>
    <t>Work-Based Learning - Web Design &amp; Development</t>
  </si>
  <si>
    <t>102530</t>
  </si>
  <si>
    <t>Desktop Support I</t>
  </si>
  <si>
    <t>102531</t>
  </si>
  <si>
    <t>Desktop Support II</t>
  </si>
  <si>
    <t>102532</t>
  </si>
  <si>
    <t>Technology Assistant Internship</t>
  </si>
  <si>
    <t>102540</t>
  </si>
  <si>
    <t>Computer Support Essentials</t>
  </si>
  <si>
    <t>102560</t>
  </si>
  <si>
    <t>Computer Design &amp; Networking</t>
  </si>
  <si>
    <t>103020</t>
  </si>
  <si>
    <t>Introduction to Cybersecurity and Digital Citizenship</t>
  </si>
  <si>
    <t>103021</t>
  </si>
  <si>
    <t>Cybersecurity I</t>
  </si>
  <si>
    <t>103022</t>
  </si>
  <si>
    <t>Cybersecurity II</t>
  </si>
  <si>
    <t>103023</t>
  </si>
  <si>
    <t>Cybersecurity III</t>
  </si>
  <si>
    <t>109981</t>
  </si>
  <si>
    <t>Work-Based Learning - Cybersecurity</t>
  </si>
  <si>
    <t>110010</t>
  </si>
  <si>
    <t>Communication Systems I</t>
  </si>
  <si>
    <t>110020</t>
  </si>
  <si>
    <t>Communication Systems II</t>
  </si>
  <si>
    <t>110520</t>
  </si>
  <si>
    <t>Photography Level I</t>
  </si>
  <si>
    <t>110521</t>
  </si>
  <si>
    <t>Photography Level II</t>
  </si>
  <si>
    <t>110522</t>
  </si>
  <si>
    <t>Photography Level III</t>
  </si>
  <si>
    <t>110550</t>
  </si>
  <si>
    <t>Interactive Media - Video I</t>
  </si>
  <si>
    <t>110551</t>
  </si>
  <si>
    <t>Interactive Media - Video II</t>
  </si>
  <si>
    <t>110552</t>
  </si>
  <si>
    <t>Video Editing Technology</t>
  </si>
  <si>
    <t>111010</t>
  </si>
  <si>
    <t>Journalism Level I</t>
  </si>
  <si>
    <t>111011</t>
  </si>
  <si>
    <t>Journalism Level II</t>
  </si>
  <si>
    <t>111012</t>
  </si>
  <si>
    <t>Journalism Level III</t>
  </si>
  <si>
    <t>111030</t>
  </si>
  <si>
    <t>Broadcast/Video Technologies Level I</t>
  </si>
  <si>
    <t>111031</t>
  </si>
  <si>
    <t>Broadcast/Video Technologies Level II</t>
  </si>
  <si>
    <t>111032</t>
  </si>
  <si>
    <t>Broadcast/Video Technologies Level III</t>
  </si>
  <si>
    <t>111040</t>
  </si>
  <si>
    <t>Publishing I</t>
  </si>
  <si>
    <t>111041</t>
  </si>
  <si>
    <t>Publishing II</t>
  </si>
  <si>
    <t>111480</t>
  </si>
  <si>
    <t>Work-Based Learning - Digital Media Technology - Journalism</t>
  </si>
  <si>
    <t>111530</t>
  </si>
  <si>
    <t>Interactive Media - Graphics I</t>
  </si>
  <si>
    <t>111533</t>
  </si>
  <si>
    <t>Media Technologies Fundamentals</t>
  </si>
  <si>
    <t>111534</t>
  </si>
  <si>
    <t>Interactive Media - Graphics II</t>
  </si>
  <si>
    <t>111535</t>
  </si>
  <si>
    <t>Digital Imaging Technology</t>
  </si>
  <si>
    <t>111540</t>
  </si>
  <si>
    <t>Graphic Communications Level I</t>
  </si>
  <si>
    <t>111541</t>
  </si>
  <si>
    <t>Graphic Communications Level II</t>
  </si>
  <si>
    <t>111542</t>
  </si>
  <si>
    <t>Graphic Communications Level III</t>
  </si>
  <si>
    <t>111980</t>
  </si>
  <si>
    <t>Work-Based Learning - Graphic Design</t>
  </si>
  <si>
    <t>111981</t>
  </si>
  <si>
    <t>Work-Based Learning - Digital Media Technology | Broadcasting</t>
  </si>
  <si>
    <t>111982</t>
  </si>
  <si>
    <t>Work-Based Learning - Digital Media Technology | Commercial Photography</t>
  </si>
  <si>
    <t>120010</t>
  </si>
  <si>
    <t>Business Essentials</t>
  </si>
  <si>
    <t>120021</t>
  </si>
  <si>
    <t>Office Technologies</t>
  </si>
  <si>
    <t>120030</t>
  </si>
  <si>
    <t>Business Administration</t>
  </si>
  <si>
    <t>120090</t>
  </si>
  <si>
    <t>Business Communications</t>
  </si>
  <si>
    <t>120480</t>
  </si>
  <si>
    <t>Work-Based Learning - Administrative Services</t>
  </si>
  <si>
    <t>120530</t>
  </si>
  <si>
    <t>Business Ownership/Entrepreneurship</t>
  </si>
  <si>
    <t>120540</t>
  </si>
  <si>
    <t>Business Law/Ethics Applications</t>
  </si>
  <si>
    <t>120552</t>
  </si>
  <si>
    <t>Business Management</t>
  </si>
  <si>
    <t>120560</t>
  </si>
  <si>
    <t>International Business/Marketing</t>
  </si>
  <si>
    <t>120561</t>
  </si>
  <si>
    <t>Business Marketing</t>
  </si>
  <si>
    <t>120980</t>
  </si>
  <si>
    <t>Work-Based Learning - Business Management</t>
  </si>
  <si>
    <t>120990</t>
  </si>
  <si>
    <t>Leadership in Business and Marketing</t>
  </si>
  <si>
    <t>Supply Chain Logistics</t>
  </si>
  <si>
    <t>121011</t>
  </si>
  <si>
    <t>Financial Services</t>
  </si>
  <si>
    <t>121012</t>
  </si>
  <si>
    <t>Banking &amp; Finance Services</t>
  </si>
  <si>
    <t>121013</t>
  </si>
  <si>
    <t>Personal Business Finance</t>
  </si>
  <si>
    <t>121020</t>
  </si>
  <si>
    <t>Banking &amp; Credit</t>
  </si>
  <si>
    <t>121030</t>
  </si>
  <si>
    <t>Financial Planning/Financial Operations</t>
  </si>
  <si>
    <t>121040</t>
  </si>
  <si>
    <t>Accounting I</t>
  </si>
  <si>
    <t>121041</t>
  </si>
  <si>
    <t>Accounting II</t>
  </si>
  <si>
    <t>121042</t>
  </si>
  <si>
    <t>Computerized Accounting</t>
  </si>
  <si>
    <t>121043</t>
  </si>
  <si>
    <t>Excel for Accounting</t>
  </si>
  <si>
    <t>121050</t>
  </si>
  <si>
    <t>Economics &amp; the World of Finance</t>
  </si>
  <si>
    <t>121060</t>
  </si>
  <si>
    <t>Principles of Insurance</t>
  </si>
  <si>
    <t>121070</t>
  </si>
  <si>
    <t>Securities</t>
  </si>
  <si>
    <t>121110</t>
  </si>
  <si>
    <t>Forensic Accounting &amp; Fraud Investigation</t>
  </si>
  <si>
    <t>121480</t>
  </si>
  <si>
    <t>Work-Based Learning - Applied Accounting</t>
  </si>
  <si>
    <t>121490</t>
  </si>
  <si>
    <t>International Finance</t>
  </si>
  <si>
    <t>121491</t>
  </si>
  <si>
    <t>Principles of World Finance</t>
  </si>
  <si>
    <t>121530</t>
  </si>
  <si>
    <t>Fashion Merchandising &amp; Marketing</t>
  </si>
  <si>
    <t>121610</t>
  </si>
  <si>
    <t>Retail Merchandising</t>
  </si>
  <si>
    <t>121620</t>
  </si>
  <si>
    <t>E-Commerce</t>
  </si>
  <si>
    <t>121630</t>
  </si>
  <si>
    <t>Sports &amp; Entertainment Marketing</t>
  </si>
  <si>
    <t>121640</t>
  </si>
  <si>
    <t>Principles of Marketing</t>
  </si>
  <si>
    <t>121650</t>
  </si>
  <si>
    <t>Principles of Promotion</t>
  </si>
  <si>
    <t>121660</t>
  </si>
  <si>
    <t>Principles of Management</t>
  </si>
  <si>
    <t>121670</t>
  </si>
  <si>
    <t>Marketing Economics (Applied Economics)</t>
  </si>
  <si>
    <t>121671</t>
  </si>
  <si>
    <t>Digital Marketing</t>
  </si>
  <si>
    <t>121980</t>
  </si>
  <si>
    <t>Work-Based Learning - Marketing</t>
  </si>
  <si>
    <t>121981</t>
  </si>
  <si>
    <t>Marketing School-Based Enterprise</t>
  </si>
  <si>
    <t>129985</t>
  </si>
  <si>
    <t>Marketing Research</t>
  </si>
  <si>
    <t>129990</t>
  </si>
  <si>
    <t>HSB Leadership</t>
  </si>
  <si>
    <t>129991</t>
  </si>
  <si>
    <t>HSB Wealth Management</t>
  </si>
  <si>
    <t>129992</t>
  </si>
  <si>
    <t>HSB Principles of Business</t>
  </si>
  <si>
    <t>129993</t>
  </si>
  <si>
    <t>HSB Business Economics</t>
  </si>
  <si>
    <t>129994</t>
  </si>
  <si>
    <t>HSB Principles of Marketing</t>
  </si>
  <si>
    <t>129995</t>
  </si>
  <si>
    <t>HSB Principles of Finance</t>
  </si>
  <si>
    <t>129996</t>
  </si>
  <si>
    <t>HSB Principles of Management</t>
  </si>
  <si>
    <t>129997</t>
  </si>
  <si>
    <t>HSB Business Strategies</t>
  </si>
  <si>
    <t>129998</t>
  </si>
  <si>
    <t>Business Math</t>
  </si>
  <si>
    <t>130020</t>
  </si>
  <si>
    <t>Manufacturing Systems I</t>
  </si>
  <si>
    <t>130021</t>
  </si>
  <si>
    <t>Manufacturing Systems II</t>
  </si>
  <si>
    <t>130022</t>
  </si>
  <si>
    <t>Industrial Maintenance Mechanics Level I</t>
  </si>
  <si>
    <t>130023</t>
  </si>
  <si>
    <t>Industrial Maintenance Mechanics Level II</t>
  </si>
  <si>
    <t>130024</t>
  </si>
  <si>
    <t>Industrial Maintenance Mechanics Level III</t>
  </si>
  <si>
    <t>130025</t>
  </si>
  <si>
    <t>Automated Manufacturing Level I</t>
  </si>
  <si>
    <t>130026</t>
  </si>
  <si>
    <t>Automated Manufacturing Level II</t>
  </si>
  <si>
    <t>130027</t>
  </si>
  <si>
    <t>Automated Manufacturing Level III</t>
  </si>
  <si>
    <t>130980</t>
  </si>
  <si>
    <t>Work-Based Learning - Automated Manufacturing</t>
  </si>
  <si>
    <t>130981</t>
  </si>
  <si>
    <t>Work-Based Learning - Industrial Mechanics</t>
  </si>
  <si>
    <t>130982</t>
  </si>
  <si>
    <t>Work-Based Learning - Precision Machining</t>
  </si>
  <si>
    <t>132030</t>
  </si>
  <si>
    <t>Precision Machining Level I</t>
  </si>
  <si>
    <t>132031</t>
  </si>
  <si>
    <t>Precision Machining Level II</t>
  </si>
  <si>
    <t>132032</t>
  </si>
  <si>
    <t>Precision Machining Level III</t>
  </si>
  <si>
    <t>132070</t>
  </si>
  <si>
    <t>Welding Level I</t>
  </si>
  <si>
    <t>132071</t>
  </si>
  <si>
    <t>Welding Level II</t>
  </si>
  <si>
    <t>132072</t>
  </si>
  <si>
    <t>Welding Level III</t>
  </si>
  <si>
    <t>132480</t>
  </si>
  <si>
    <t>Work-Based Learning - Certified Welding</t>
  </si>
  <si>
    <t>140010</t>
  </si>
  <si>
    <t>Fundamentals of Health Professions</t>
  </si>
  <si>
    <t>140510</t>
  </si>
  <si>
    <t>Nursing Assistant</t>
  </si>
  <si>
    <t>140540</t>
  </si>
  <si>
    <t>Fundamentals of Dental Assisting</t>
  </si>
  <si>
    <t>140550</t>
  </si>
  <si>
    <t>Emergency Medical Technician</t>
  </si>
  <si>
    <t>140551</t>
  </si>
  <si>
    <t xml:space="preserve">Emergency Medical Responder </t>
  </si>
  <si>
    <t>140552</t>
  </si>
  <si>
    <t>Emergency Medical Technician II</t>
  </si>
  <si>
    <t>140620</t>
  </si>
  <si>
    <t>Sports Medicine/Athletic Training</t>
  </si>
  <si>
    <t>140622</t>
  </si>
  <si>
    <t>Rehabilitation Services</t>
  </si>
  <si>
    <t>140980</t>
  </si>
  <si>
    <t>Work-Based Learning - Dental Assisting</t>
  </si>
  <si>
    <t>140981</t>
  </si>
  <si>
    <t>Work-Based Learning - Emergency Medical Technician</t>
  </si>
  <si>
    <t>140982</t>
  </si>
  <si>
    <t>Work-Based Learning - Nursing Assistant</t>
  </si>
  <si>
    <t>140983</t>
  </si>
  <si>
    <t>Work-Based Learning - Rehabilitation Services</t>
  </si>
  <si>
    <t>140990</t>
  </si>
  <si>
    <t>Mental Health Assistant</t>
  </si>
  <si>
    <t>141514</t>
  </si>
  <si>
    <t>Fundamentals of Medical Assisting</t>
  </si>
  <si>
    <t>141515</t>
  </si>
  <si>
    <t>Advanced Medical Assisting</t>
  </si>
  <si>
    <t>141520</t>
  </si>
  <si>
    <t>Pharmacy Technician</t>
  </si>
  <si>
    <t>141540</t>
  </si>
  <si>
    <t>Medical Terminology</t>
  </si>
  <si>
    <t>141551</t>
  </si>
  <si>
    <t>Anatomy and Physiology for Health Professions</t>
  </si>
  <si>
    <t>141980</t>
  </si>
  <si>
    <t>Work-Based Learning - Medical Assisting</t>
  </si>
  <si>
    <t>141981</t>
  </si>
  <si>
    <t>Work-Based Learning - Pharmacy Technician</t>
  </si>
  <si>
    <t>150010</t>
  </si>
  <si>
    <t>Orientation to Police, Fire, and Emergency Services</t>
  </si>
  <si>
    <t>150540</t>
  </si>
  <si>
    <t>Law Enforcement, Detention, and Corrections I</t>
  </si>
  <si>
    <t>150541</t>
  </si>
  <si>
    <t>Law Enforcement, Detention, and Corrections II</t>
  </si>
  <si>
    <t>150980</t>
  </si>
  <si>
    <t>Work-Based Learning - Law Enforcement</t>
  </si>
  <si>
    <t>151520</t>
  </si>
  <si>
    <t>Essentials of Firefighting</t>
  </si>
  <si>
    <t>151521</t>
  </si>
  <si>
    <t>Firefighting II</t>
  </si>
  <si>
    <t>151980</t>
  </si>
  <si>
    <t>Work-Based Learning - Firefighting</t>
  </si>
  <si>
    <t>160523</t>
  </si>
  <si>
    <t>Introduction to Culinary Arts</t>
  </si>
  <si>
    <t>160524</t>
  </si>
  <si>
    <t>Advanced Culinary Arts</t>
  </si>
  <si>
    <t>160530</t>
  </si>
  <si>
    <t>Foundational Foods</t>
  </si>
  <si>
    <t>160550</t>
  </si>
  <si>
    <t>Hospitality Management I</t>
  </si>
  <si>
    <t>160551</t>
  </si>
  <si>
    <t>Hospitality Management II</t>
  </si>
  <si>
    <t>160560</t>
  </si>
  <si>
    <t>International Cuisine</t>
  </si>
  <si>
    <t>160980</t>
  </si>
  <si>
    <t>Work-Based Learning - Hospitality Services</t>
  </si>
  <si>
    <t>160981</t>
  </si>
  <si>
    <t>Work-Based Learning - Hospitality Management</t>
  </si>
  <si>
    <t>160982</t>
  </si>
  <si>
    <t>Work-Based Learning - Culinary Arts</t>
  </si>
  <si>
    <t>161510</t>
  </si>
  <si>
    <t>Hospitality Services</t>
  </si>
  <si>
    <t>161511</t>
  </si>
  <si>
    <t>Travel &amp; Tourism</t>
  </si>
  <si>
    <t>161512</t>
  </si>
  <si>
    <t>Introduction to Hospitality Essentials</t>
  </si>
  <si>
    <t>161513</t>
  </si>
  <si>
    <t>Explore Hospitality &amp; Tourism</t>
  </si>
  <si>
    <t>161520</t>
  </si>
  <si>
    <t>English for Travel &amp; Tourism</t>
  </si>
  <si>
    <t>161521</t>
  </si>
  <si>
    <t>Promoting Hospitality and Tourism</t>
  </si>
  <si>
    <t>161522</t>
  </si>
  <si>
    <t>Travel &amp; Tourism II: Travel as a Business</t>
  </si>
  <si>
    <t>161530</t>
  </si>
  <si>
    <t>Geography for Travel &amp; Tourism</t>
  </si>
  <si>
    <t>161550</t>
  </si>
  <si>
    <t>Tour Idaho</t>
  </si>
  <si>
    <t>170010</t>
  </si>
  <si>
    <t>Construction Careers Exploration</t>
  </si>
  <si>
    <t>170020</t>
  </si>
  <si>
    <t>Construction Systems I</t>
  </si>
  <si>
    <t>170021</t>
  </si>
  <si>
    <t>Construction Systems II</t>
  </si>
  <si>
    <t>170030</t>
  </si>
  <si>
    <t>Residential Carpentry/Building Construction Level I</t>
  </si>
  <si>
    <t>170031</t>
  </si>
  <si>
    <t>Residential Carpentry/Building Construction Level II</t>
  </si>
  <si>
    <t>170032</t>
  </si>
  <si>
    <t>Residential Carpentry/Building Construction Level III</t>
  </si>
  <si>
    <t>170070</t>
  </si>
  <si>
    <t>Introduction to Cabinetry</t>
  </si>
  <si>
    <t>170071</t>
  </si>
  <si>
    <t>Cabinetry and Millwork Level I</t>
  </si>
  <si>
    <t>170072</t>
  </si>
  <si>
    <t>Cabinetry and Millwork Level II</t>
  </si>
  <si>
    <t>170073</t>
  </si>
  <si>
    <t>Cabinetry and Millwork Level III</t>
  </si>
  <si>
    <t>170074</t>
  </si>
  <si>
    <t xml:space="preserve">Advanced Cabinetry </t>
  </si>
  <si>
    <t>170480</t>
  </si>
  <si>
    <t>Work-Based Learning - Construction Trades</t>
  </si>
  <si>
    <t>170481</t>
  </si>
  <si>
    <t>Work-Based Learning - Cabinetmaking &amp; Bench Carpentry</t>
  </si>
  <si>
    <t>170560</t>
  </si>
  <si>
    <t>HVAC Level II</t>
  </si>
  <si>
    <t>170562</t>
  </si>
  <si>
    <t>HVAC Level I</t>
  </si>
  <si>
    <t>170565</t>
  </si>
  <si>
    <t>HVAC Level III</t>
  </si>
  <si>
    <t>170580</t>
  </si>
  <si>
    <t>Plumbing Level II</t>
  </si>
  <si>
    <t>170582</t>
  </si>
  <si>
    <t>Plumbing Level I</t>
  </si>
  <si>
    <t>170585</t>
  </si>
  <si>
    <t>Plumbing Level III</t>
  </si>
  <si>
    <t>170980</t>
  </si>
  <si>
    <t>Work-Based Learning - HVAC</t>
  </si>
  <si>
    <t>170981</t>
  </si>
  <si>
    <t>Work-Based Learning - Plumbing</t>
  </si>
  <si>
    <t>171020</t>
  </si>
  <si>
    <t>Electrical Level II</t>
  </si>
  <si>
    <t>171022</t>
  </si>
  <si>
    <t>Electrical Level I</t>
  </si>
  <si>
    <t>171025</t>
  </si>
  <si>
    <t>Electrical Level III</t>
  </si>
  <si>
    <t>171060</t>
  </si>
  <si>
    <t>Introduction to Electronics Technology</t>
  </si>
  <si>
    <t>171061</t>
  </si>
  <si>
    <t>Electronics Applications</t>
  </si>
  <si>
    <t>171062</t>
  </si>
  <si>
    <t>Electronics Technology Level I</t>
  </si>
  <si>
    <t>171063</t>
  </si>
  <si>
    <t>Electronics Technology Level II</t>
  </si>
  <si>
    <t>171064</t>
  </si>
  <si>
    <t>Electronics Technology Level III</t>
  </si>
  <si>
    <t>171480</t>
  </si>
  <si>
    <t>Work-Based Learning - Electronics Technology</t>
  </si>
  <si>
    <t>171481</t>
  </si>
  <si>
    <t>Work-Based Learning - Electrical</t>
  </si>
  <si>
    <t>180010</t>
  </si>
  <si>
    <t>Introduction to Agriculture Education</t>
  </si>
  <si>
    <t>180015</t>
  </si>
  <si>
    <t>Introduction to Natural Resources and Ecosystem Services</t>
  </si>
  <si>
    <t>180020</t>
  </si>
  <si>
    <t>Introduction to Agricultural Industry</t>
  </si>
  <si>
    <t>180040</t>
  </si>
  <si>
    <t>Agricultural Biology</t>
  </si>
  <si>
    <t>180050</t>
  </si>
  <si>
    <t>Environmental Science</t>
  </si>
  <si>
    <t>180051</t>
  </si>
  <si>
    <t>Introduction to Environmental Science Technology</t>
  </si>
  <si>
    <t>180052</t>
  </si>
  <si>
    <t>Environmental Sciences Technology Applications</t>
  </si>
  <si>
    <t>180053</t>
  </si>
  <si>
    <t>Advanced Environmental Science Technology Applications</t>
  </si>
  <si>
    <t>180510</t>
  </si>
  <si>
    <t>Introduction to Agricultural Plant Industry</t>
  </si>
  <si>
    <t>180511</t>
  </si>
  <si>
    <t>Science of Plant Growth &amp; Development</t>
  </si>
  <si>
    <t>180512</t>
  </si>
  <si>
    <t>Applied Crop Management</t>
  </si>
  <si>
    <t>180513</t>
  </si>
  <si>
    <t>Plant &amp; Soil Science</t>
  </si>
  <si>
    <t>180514</t>
  </si>
  <si>
    <t>Standards of Agricultural Plant Science</t>
  </si>
  <si>
    <t>180515</t>
  </si>
  <si>
    <t>Horticulture Plant Science</t>
  </si>
  <si>
    <t>180520</t>
  </si>
  <si>
    <t>Landscape Design</t>
  </si>
  <si>
    <t>180521</t>
  </si>
  <si>
    <t>Floral Design and Marketing</t>
  </si>
  <si>
    <t>180522</t>
  </si>
  <si>
    <t>Advanced Floral Design &amp; Marketing</t>
  </si>
  <si>
    <t>180523</t>
  </si>
  <si>
    <t>Applied Greenhouse &amp; Nursery Management</t>
  </si>
  <si>
    <t>180524</t>
  </si>
  <si>
    <t>Standards of Agricultural Ornamental Horticulture</t>
  </si>
  <si>
    <t>180980</t>
  </si>
  <si>
    <t>Work-Based Learning - Ornamental Horticulture</t>
  </si>
  <si>
    <t>180981</t>
  </si>
  <si>
    <t>Work-Based Learning - Plant and Soil</t>
  </si>
  <si>
    <t>181010</t>
  </si>
  <si>
    <t>Introduction to Livestock Industry</t>
  </si>
  <si>
    <t>181011</t>
  </si>
  <si>
    <t>Animal Science</t>
  </si>
  <si>
    <t>181013</t>
  </si>
  <si>
    <t>Applied Livestock Management</t>
  </si>
  <si>
    <t>181017</t>
  </si>
  <si>
    <t>Science of Animal Reproduction</t>
  </si>
  <si>
    <t>181018</t>
  </si>
  <si>
    <t>Standards of Agricultural Animal Science</t>
  </si>
  <si>
    <t>181020</t>
  </si>
  <si>
    <t>Small Animal Care</t>
  </si>
  <si>
    <t>181040</t>
  </si>
  <si>
    <t>Equine Science</t>
  </si>
  <si>
    <t>181041</t>
  </si>
  <si>
    <t>Advanced Equine Science</t>
  </si>
  <si>
    <t>181050</t>
  </si>
  <si>
    <t>Veterinary Science</t>
  </si>
  <si>
    <t>181070</t>
  </si>
  <si>
    <t>Science of Animal Nutrition</t>
  </si>
  <si>
    <t>181480</t>
  </si>
  <si>
    <t>Work-Based Learning - Animal Science</t>
  </si>
  <si>
    <t>182010</t>
  </si>
  <si>
    <t>Agribusiness Management &amp; Marketing</t>
  </si>
  <si>
    <t>182011</t>
  </si>
  <si>
    <t>Agricultural Business &amp; Economics</t>
  </si>
  <si>
    <t>182012</t>
  </si>
  <si>
    <t>Agricultural Sales</t>
  </si>
  <si>
    <t>182020</t>
  </si>
  <si>
    <t>Experiential Learning and SAE Programs</t>
  </si>
  <si>
    <t>182030</t>
  </si>
  <si>
    <t xml:space="preserve">Personal Skill Development </t>
  </si>
  <si>
    <t>182031</t>
  </si>
  <si>
    <t>Advanced Leadership In Agriculture &amp; Marketing</t>
  </si>
  <si>
    <t>182032</t>
  </si>
  <si>
    <t>Principles of Agricultural Communications and Leadership</t>
  </si>
  <si>
    <t>182040</t>
  </si>
  <si>
    <t>Agricultural Economics</t>
  </si>
  <si>
    <t>182480</t>
  </si>
  <si>
    <t>Work-Based Learning - Agribusiness/Economics</t>
  </si>
  <si>
    <t>182481</t>
  </si>
  <si>
    <t>Work-Based Learning - Agriculture Communications &amp; Leadership</t>
  </si>
  <si>
    <t>183050</t>
  </si>
  <si>
    <t>Sanitation in Food Processing</t>
  </si>
  <si>
    <t>183052</t>
  </si>
  <si>
    <t>Introduction to Equipment in Food Processing</t>
  </si>
  <si>
    <t>183056</t>
  </si>
  <si>
    <t>Standards of Food Science &amp; Processing Technology</t>
  </si>
  <si>
    <t>183060</t>
  </si>
  <si>
    <t>Aquaculture Science</t>
  </si>
  <si>
    <t>183080</t>
  </si>
  <si>
    <t>Ag Biotechnology</t>
  </si>
  <si>
    <t>183081</t>
  </si>
  <si>
    <t>Food Science</t>
  </si>
  <si>
    <t>183480</t>
  </si>
  <si>
    <t>Work-Based Learning - Food Science &amp; Processing</t>
  </si>
  <si>
    <t>183490</t>
  </si>
  <si>
    <t>Precision Agriculture</t>
  </si>
  <si>
    <t>184010</t>
  </si>
  <si>
    <t>Introduction to Agricultural Mechanics</t>
  </si>
  <si>
    <t>184011</t>
  </si>
  <si>
    <t>Small Gasoline Engines</t>
  </si>
  <si>
    <t>184012</t>
  </si>
  <si>
    <t>Agricultural Power Technology - Large Engines</t>
  </si>
  <si>
    <t>184013</t>
  </si>
  <si>
    <t>Agricultural Systems/Electricity &amp; Hydraulics</t>
  </si>
  <si>
    <t>184014</t>
  </si>
  <si>
    <t>Agricultural Machinery</t>
  </si>
  <si>
    <t>184015</t>
  </si>
  <si>
    <t>Agricultural Structures</t>
  </si>
  <si>
    <t>184016</t>
  </si>
  <si>
    <t>Advanced Small Gasoline Engines</t>
  </si>
  <si>
    <t>184017</t>
  </si>
  <si>
    <t>Standards of Agricultural Mechanics &amp; Power Systems</t>
  </si>
  <si>
    <t>184040</t>
  </si>
  <si>
    <t>Agricultural Welding</t>
  </si>
  <si>
    <t>184041</t>
  </si>
  <si>
    <t>Advanced Agricultural Welding</t>
  </si>
  <si>
    <t>184042</t>
  </si>
  <si>
    <t>Agricultural Power Technology</t>
  </si>
  <si>
    <t>184043</t>
  </si>
  <si>
    <t>Agricultural Fabrication</t>
  </si>
  <si>
    <t>184480</t>
  </si>
  <si>
    <t>Work-Based Learning - Agriculture Mechanics &amp; Power Systems</t>
  </si>
  <si>
    <t>184481</t>
  </si>
  <si>
    <t>Work-Based Learning - Agriculture Small Engine Repair/Power Sports</t>
  </si>
  <si>
    <t>184482</t>
  </si>
  <si>
    <t>Work-Based Learning - Agriculture Welding</t>
  </si>
  <si>
    <t>185021</t>
  </si>
  <si>
    <t>Forestry Science</t>
  </si>
  <si>
    <t>185040</t>
  </si>
  <si>
    <t>Natural Resource Science</t>
  </si>
  <si>
    <t>185053</t>
  </si>
  <si>
    <t>Forestry and Wildlife Management</t>
  </si>
  <si>
    <t>185054</t>
  </si>
  <si>
    <t>Fish and Wildlife Science</t>
  </si>
  <si>
    <t>185056</t>
  </si>
  <si>
    <t>Advanced Forestry Science</t>
  </si>
  <si>
    <t>185057</t>
  </si>
  <si>
    <t>Range Science</t>
  </si>
  <si>
    <t>185482</t>
  </si>
  <si>
    <t>Work-Based Learning - Ecology and Natural Resource Management</t>
  </si>
  <si>
    <t>190010</t>
  </si>
  <si>
    <t>Human Services</t>
  </si>
  <si>
    <t>190012</t>
  </si>
  <si>
    <t>Advanced Human Services</t>
  </si>
  <si>
    <t>190014</t>
  </si>
  <si>
    <t>Introduction to Family and Consumer Sciences (FCS) &amp; Human Services Careers</t>
  </si>
  <si>
    <t>191010</t>
  </si>
  <si>
    <t>Cosmetology I</t>
  </si>
  <si>
    <t>191011</t>
  </si>
  <si>
    <t>Cosmetology II</t>
  </si>
  <si>
    <t>191012</t>
  </si>
  <si>
    <t>Cosmetology III</t>
  </si>
  <si>
    <t>191480</t>
  </si>
  <si>
    <t>Work-Based Learning - Cosmetology</t>
  </si>
  <si>
    <t>191510</t>
  </si>
  <si>
    <t>Education Assistant</t>
  </si>
  <si>
    <t>191511</t>
  </si>
  <si>
    <t>Advanced Education Assistant</t>
  </si>
  <si>
    <t>191530</t>
  </si>
  <si>
    <t>Early Childhood Professions</t>
  </si>
  <si>
    <t>191531</t>
  </si>
  <si>
    <t>Early Childhood Education</t>
  </si>
  <si>
    <t>191540</t>
  </si>
  <si>
    <t>Explorer Working with Young Children</t>
  </si>
  <si>
    <t>191980</t>
  </si>
  <si>
    <t>Work-Based Learning - Child Development &amp; Services</t>
  </si>
  <si>
    <t>191981</t>
  </si>
  <si>
    <t>Work-Based Learning - Education and Training</t>
  </si>
  <si>
    <t>192010</t>
  </si>
  <si>
    <t>Fashion/Design and Merchandising</t>
  </si>
  <si>
    <t>192011</t>
  </si>
  <si>
    <t>Fashion and Textiles</t>
  </si>
  <si>
    <t>192012</t>
  </si>
  <si>
    <t>Fashion Strategies</t>
  </si>
  <si>
    <t>192030</t>
  </si>
  <si>
    <t>Apparel Construction Fundamentals</t>
  </si>
  <si>
    <t>192050</t>
  </si>
  <si>
    <t>Housing, Interiors, and Furnishings</t>
  </si>
  <si>
    <t>192610</t>
  </si>
  <si>
    <t>Human Growth and Development</t>
  </si>
  <si>
    <t>192982</t>
  </si>
  <si>
    <t>Work-Based Learning - Apparel and Textiles</t>
  </si>
  <si>
    <t>201010</t>
  </si>
  <si>
    <t>Power, Energy, and Transportation Systems</t>
  </si>
  <si>
    <t>201011</t>
  </si>
  <si>
    <t>Power, Energy, and Transportation Systems II</t>
  </si>
  <si>
    <t>201030</t>
  </si>
  <si>
    <t>Automotive Technology Level I</t>
  </si>
  <si>
    <t>201031</t>
  </si>
  <si>
    <t>Automotive Technology Level II</t>
  </si>
  <si>
    <t>201032</t>
  </si>
  <si>
    <t>Automotive Technology Level III</t>
  </si>
  <si>
    <t>201033</t>
  </si>
  <si>
    <t>Transportation Systems Exploration</t>
  </si>
  <si>
    <t>201070</t>
  </si>
  <si>
    <t>Heavy Equipment/Diesel Level I</t>
  </si>
  <si>
    <t>201071</t>
  </si>
  <si>
    <t>Heavy Equipment/Diesel Level II</t>
  </si>
  <si>
    <t>201072</t>
  </si>
  <si>
    <t>Heavy Equipment/Diesel Level III</t>
  </si>
  <si>
    <t>201101</t>
  </si>
  <si>
    <t>Small Engine Repair Level I</t>
  </si>
  <si>
    <t>201102</t>
  </si>
  <si>
    <t>Small Engine Repair Level II</t>
  </si>
  <si>
    <t>201103</t>
  </si>
  <si>
    <t>Small Engine Repair Level III</t>
  </si>
  <si>
    <t>201160</t>
  </si>
  <si>
    <t>Auto Body Collision Repair Level I</t>
  </si>
  <si>
    <t>201161</t>
  </si>
  <si>
    <t>Auto Body Collision Repair Level II</t>
  </si>
  <si>
    <t>201162</t>
  </si>
  <si>
    <t>Auto Body Collision Repair Level III</t>
  </si>
  <si>
    <t>201480</t>
  </si>
  <si>
    <t>Work-Based Learning - Small Engine Repair/Power Sports</t>
  </si>
  <si>
    <t>201481</t>
  </si>
  <si>
    <t>Work-Based Learning - Automotive Collision Repair</t>
  </si>
  <si>
    <t>201482</t>
  </si>
  <si>
    <t>Work-Based Learning - Automotive Maintenance &amp; Light Repair</t>
  </si>
  <si>
    <t>201483</t>
  </si>
  <si>
    <t>Work-Based Learning - Heavy Equipment/Diesel Technology</t>
  </si>
  <si>
    <t>210030</t>
  </si>
  <si>
    <t>Fundamentals of Engineering Technology</t>
  </si>
  <si>
    <t>210050</t>
  </si>
  <si>
    <t>Principles of Engineering</t>
  </si>
  <si>
    <t>210051</t>
  </si>
  <si>
    <t>Technological Design</t>
  </si>
  <si>
    <t>210060</t>
  </si>
  <si>
    <t>Introduction to Engineering Design</t>
  </si>
  <si>
    <t>210061</t>
  </si>
  <si>
    <t>Digital Electronics</t>
  </si>
  <si>
    <t>210062</t>
  </si>
  <si>
    <t>ITEEA Engineering Design</t>
  </si>
  <si>
    <t>210064</t>
  </si>
  <si>
    <t>Engineering Design and Development</t>
  </si>
  <si>
    <t>210090</t>
  </si>
  <si>
    <t>Robotics Engineering</t>
  </si>
  <si>
    <t>210091</t>
  </si>
  <si>
    <t>Robotics Applications</t>
  </si>
  <si>
    <t>210092</t>
  </si>
  <si>
    <t>Introduction to Robotics</t>
  </si>
  <si>
    <t>210093</t>
  </si>
  <si>
    <t>Robotics &amp; Automation</t>
  </si>
  <si>
    <t>210100</t>
  </si>
  <si>
    <t>Computer Integrated Manufacturing</t>
  </si>
  <si>
    <t>210120</t>
  </si>
  <si>
    <t>Civil Engineering &amp; Architecture</t>
  </si>
  <si>
    <t>210130</t>
  </si>
  <si>
    <t>Aerospace Engineering</t>
  </si>
  <si>
    <t>210140</t>
  </si>
  <si>
    <t>Biotechnical Engineering</t>
  </si>
  <si>
    <t>210480</t>
  </si>
  <si>
    <t>Work-Based Learning - Pre-Engineering Technology</t>
  </si>
  <si>
    <t>210520</t>
  </si>
  <si>
    <t>Advanced Design Applications</t>
  </si>
  <si>
    <t>211020</t>
  </si>
  <si>
    <t>Introduction to Drafting/Design Technology</t>
  </si>
  <si>
    <t>211021</t>
  </si>
  <si>
    <t>Drafting I</t>
  </si>
  <si>
    <t>211022</t>
  </si>
  <si>
    <t>Drafting II</t>
  </si>
  <si>
    <t>211023</t>
  </si>
  <si>
    <t>Drafting III</t>
  </si>
  <si>
    <t>211025</t>
  </si>
  <si>
    <t>3D Solid Modeling</t>
  </si>
  <si>
    <t>211030</t>
  </si>
  <si>
    <t>Introduction to Architectural Design</t>
  </si>
  <si>
    <t>211063</t>
  </si>
  <si>
    <t>Introduction to Mechanical Drafting/Design</t>
  </si>
  <si>
    <t>211480</t>
  </si>
  <si>
    <t>Work-Based Learning - Drafting and Design</t>
  </si>
  <si>
    <t>221010</t>
  </si>
  <si>
    <t>Leadership</t>
  </si>
  <si>
    <t>221510</t>
  </si>
  <si>
    <t>First Steps: Understanding the World of Work through Career and Technical Education (CTE)</t>
  </si>
  <si>
    <t>221520</t>
  </si>
  <si>
    <t>Strategies for Success</t>
  </si>
  <si>
    <t>221521</t>
  </si>
  <si>
    <t>Career Exploration and Employment Preparation</t>
  </si>
  <si>
    <t>221522</t>
  </si>
  <si>
    <t>Family and Consumer Sciences (FCS) Professions</t>
  </si>
  <si>
    <t>221523</t>
  </si>
  <si>
    <t>Career and Personal Development</t>
  </si>
  <si>
    <t>222080</t>
  </si>
  <si>
    <t>Family Health and Wellness</t>
  </si>
  <si>
    <t>222510</t>
  </si>
  <si>
    <t>Healthy Living, Healthy World</t>
  </si>
  <si>
    <t>222511</t>
  </si>
  <si>
    <t>Foods and Nutrition</t>
  </si>
  <si>
    <t>222512</t>
  </si>
  <si>
    <t>Food Science and Nutrition</t>
  </si>
  <si>
    <t>222513</t>
  </si>
  <si>
    <t>Teen Parenting</t>
  </si>
  <si>
    <t>222514</t>
  </si>
  <si>
    <t>Parenting and Child Development</t>
  </si>
  <si>
    <t>222515</t>
  </si>
  <si>
    <t>Teen Living</t>
  </si>
  <si>
    <t>222516</t>
  </si>
  <si>
    <t>Adult Living</t>
  </si>
  <si>
    <t>222517</t>
  </si>
  <si>
    <t>Personal and Family Finance/Economics</t>
  </si>
  <si>
    <t>222518</t>
  </si>
  <si>
    <t>Advanced Nutrition and Wellness</t>
  </si>
  <si>
    <t>229980</t>
  </si>
  <si>
    <t>Work-Based Learning Experience I</t>
  </si>
  <si>
    <t>229981</t>
  </si>
  <si>
    <t>Work-Based Learning Experience II</t>
  </si>
  <si>
    <t>229982</t>
  </si>
  <si>
    <t>Work-Based Learning Experience III</t>
  </si>
  <si>
    <t>229983</t>
  </si>
  <si>
    <t>Work-Based Learning Experience IV</t>
  </si>
  <si>
    <t>229984</t>
  </si>
  <si>
    <t>Entrepreneurship Experience</t>
  </si>
  <si>
    <t>313000</t>
  </si>
  <si>
    <t>CTE - Other District Staff</t>
  </si>
  <si>
    <t>460600</t>
  </si>
  <si>
    <t>CTE Administrator</t>
  </si>
  <si>
    <t>800010</t>
  </si>
  <si>
    <t>Grades 6-8 Agriculture, Food, &amp; Natural Resources</t>
  </si>
  <si>
    <t>800020</t>
  </si>
  <si>
    <t>Grades 6-8 Business and Marketing</t>
  </si>
  <si>
    <t>800030</t>
  </si>
  <si>
    <t>Grades 6-8 Engineering &amp; Technology Education</t>
  </si>
  <si>
    <t>800040</t>
  </si>
  <si>
    <t>Grades 6-8 Family and Consumer Sciences &amp; Human Services</t>
  </si>
  <si>
    <t>800050</t>
  </si>
  <si>
    <t>Grades 6-8 Trades &amp; Industry</t>
  </si>
  <si>
    <t>800060</t>
  </si>
  <si>
    <t>Grades 6-8 Health Professions &amp; Public Safety</t>
  </si>
  <si>
    <t>900001</t>
  </si>
  <si>
    <t>Advisory - CTE</t>
  </si>
  <si>
    <t>900002</t>
  </si>
  <si>
    <t>Aide - CTE Classroom</t>
  </si>
  <si>
    <t>900010</t>
  </si>
  <si>
    <t>Grades 9-12 Agriculture, Food &amp; Natural Resources</t>
  </si>
  <si>
    <t>900020</t>
  </si>
  <si>
    <t>Grades 9-12 Business and Marketing</t>
  </si>
  <si>
    <t>900030</t>
  </si>
  <si>
    <t>Grades 9-12 Engineering &amp; Technology Education</t>
  </si>
  <si>
    <t>900040</t>
  </si>
  <si>
    <t>Grades 9-12 Family and Consumer Sciences &amp; Human Services</t>
  </si>
  <si>
    <t>900050</t>
  </si>
  <si>
    <t>Grades 9-12 Trades &amp; Industry</t>
  </si>
  <si>
    <t>900060</t>
  </si>
  <si>
    <t>Grades 9-12 Health Professions &amp; Public Safety</t>
  </si>
  <si>
    <t>Type</t>
  </si>
  <si>
    <t>CODE</t>
  </si>
  <si>
    <t>ASSIGNMENT TITLE</t>
  </si>
  <si>
    <t>Assignment Grade</t>
  </si>
  <si>
    <t>isCOURSE</t>
  </si>
  <si>
    <t>isCAPSTONE</t>
  </si>
  <si>
    <t>ContentGrade</t>
  </si>
  <si>
    <t>Instructional</t>
  </si>
  <si>
    <t>K-8</t>
  </si>
  <si>
    <t>7010</t>
  </si>
  <si>
    <t>All Subjects (K-8)</t>
  </si>
  <si>
    <t>7014</t>
  </si>
  <si>
    <t>Blended Elementary Education/Elementary Special Education (4-6)</t>
  </si>
  <si>
    <t>4-6</t>
  </si>
  <si>
    <t>7083</t>
  </si>
  <si>
    <t>Blended Early Childhood/Early Childhood Special Education (Birth-Grade 3)</t>
  </si>
  <si>
    <t>PK-3</t>
  </si>
  <si>
    <t>K-3</t>
  </si>
  <si>
    <t>K-12</t>
  </si>
  <si>
    <t>7139</t>
  </si>
  <si>
    <t>7770</t>
  </si>
  <si>
    <t>American Indian Language</t>
  </si>
  <si>
    <t>7710</t>
  </si>
  <si>
    <t>7711</t>
  </si>
  <si>
    <t>World Language - Spanish (K-12)</t>
  </si>
  <si>
    <t>7712</t>
  </si>
  <si>
    <t>World Language - French (K-12)</t>
  </si>
  <si>
    <t>7713</t>
  </si>
  <si>
    <t>World Language - German (K-12)</t>
  </si>
  <si>
    <t>7714</t>
  </si>
  <si>
    <t>World Language - Russian (K-12)</t>
  </si>
  <si>
    <t>7715</t>
  </si>
  <si>
    <t>World Language - Chinese (K-12)</t>
  </si>
  <si>
    <t>7750</t>
  </si>
  <si>
    <t>World Language - Latin (K-12)</t>
  </si>
  <si>
    <t>7780</t>
  </si>
  <si>
    <t>World Language - Greek (K-12)</t>
  </si>
  <si>
    <t>7782</t>
  </si>
  <si>
    <t>World Language - Arabic (K-12)</t>
  </si>
  <si>
    <t>7790</t>
  </si>
  <si>
    <t>World Language – Persian (K-12)</t>
  </si>
  <si>
    <t>7791</t>
  </si>
  <si>
    <t>World Language - Portuguese (K-12)</t>
  </si>
  <si>
    <t>7792</t>
  </si>
  <si>
    <t>World Language – Japanese (K-12)</t>
  </si>
  <si>
    <t>7793</t>
  </si>
  <si>
    <t>World Language – Italian (K-12)</t>
  </si>
  <si>
    <t>7794</t>
  </si>
  <si>
    <t>World Language – Hebrew (K-12)</t>
  </si>
  <si>
    <t>7795</t>
  </si>
  <si>
    <t>World Language – Korean (K-12)</t>
  </si>
  <si>
    <t>7797</t>
  </si>
  <si>
    <t>World Language - Slovak (K-12)</t>
  </si>
  <si>
    <t>7798</t>
  </si>
  <si>
    <t>World Language - Czech (K-12)</t>
  </si>
  <si>
    <t>7810</t>
  </si>
  <si>
    <t>7851</t>
  </si>
  <si>
    <t>7511</t>
  </si>
  <si>
    <t>Physical Education (PE) (K-12)</t>
  </si>
  <si>
    <t>7521</t>
  </si>
  <si>
    <t>Health (K-12)</t>
  </si>
  <si>
    <t>7028</t>
  </si>
  <si>
    <t>Gifted and Talented (K-12)</t>
  </si>
  <si>
    <t>7029</t>
  </si>
  <si>
    <t>Exceptional Child Generalist (K-12)</t>
  </si>
  <si>
    <t>7036</t>
  </si>
  <si>
    <t>Exceptional Child Generalist (K-8)</t>
  </si>
  <si>
    <t>7019</t>
  </si>
  <si>
    <t>Early Childhood Special Education (Pre-K-3)</t>
  </si>
  <si>
    <t>7120</t>
  </si>
  <si>
    <t>English (6-12)</t>
  </si>
  <si>
    <t>6-12</t>
  </si>
  <si>
    <t>8120</t>
  </si>
  <si>
    <t>English (5-9)</t>
  </si>
  <si>
    <t>5-9</t>
  </si>
  <si>
    <t>11-12</t>
  </si>
  <si>
    <t>7038</t>
  </si>
  <si>
    <t>7126</t>
  </si>
  <si>
    <t>English as a Second Language (ESL) (K-12)</t>
  </si>
  <si>
    <t>5-12</t>
  </si>
  <si>
    <t>7134</t>
  </si>
  <si>
    <t>Journalism (6-12)</t>
  </si>
  <si>
    <t>7144</t>
  </si>
  <si>
    <t>Communication (6-12)</t>
  </si>
  <si>
    <t>8134</t>
  </si>
  <si>
    <t>Journalism (5-9)</t>
  </si>
  <si>
    <t>8144</t>
  </si>
  <si>
    <t>Communication (5-9)</t>
  </si>
  <si>
    <t>5-8</t>
  </si>
  <si>
    <t>7300</t>
  </si>
  <si>
    <t>Mathematics (6-12)</t>
  </si>
  <si>
    <t>8320</t>
  </si>
  <si>
    <t>Mathematics - Middle Level (5-9)</t>
  </si>
  <si>
    <t>7400</t>
  </si>
  <si>
    <t>Computer Science (6-12)</t>
  </si>
  <si>
    <t xml:space="preserve">AP/Dual Credit Engineering - Mathematics (11-12 grade content)
</t>
  </si>
  <si>
    <t>7990</t>
  </si>
  <si>
    <t>Engineering (6-12)</t>
  </si>
  <si>
    <t>7420</t>
  </si>
  <si>
    <t>Natural Science (6-12)</t>
  </si>
  <si>
    <t>7451</t>
  </si>
  <si>
    <t>Earth and Space Science (6-12)</t>
  </si>
  <si>
    <t>7452</t>
  </si>
  <si>
    <t>Geology (6-12)</t>
  </si>
  <si>
    <t>8451</t>
  </si>
  <si>
    <t>Earth and Space Science (5-9)</t>
  </si>
  <si>
    <t>8452</t>
  </si>
  <si>
    <t>Geology (5-9)</t>
  </si>
  <si>
    <t>8453</t>
  </si>
  <si>
    <t>Science - Middle Level (5-9)</t>
  </si>
  <si>
    <t>7421</t>
  </si>
  <si>
    <t>Biological Science (6-12)</t>
  </si>
  <si>
    <t>8421</t>
  </si>
  <si>
    <t>Biological Science (5-9)</t>
  </si>
  <si>
    <t>7430</t>
  </si>
  <si>
    <t>Physical Science (6-12)</t>
  </si>
  <si>
    <t>7440</t>
  </si>
  <si>
    <t>Chemistry (6-12)</t>
  </si>
  <si>
    <t>8430</t>
  </si>
  <si>
    <t>Physical Science (5-9)</t>
  </si>
  <si>
    <t>8440</t>
  </si>
  <si>
    <t>Chemistry (5-9)</t>
  </si>
  <si>
    <t>7450</t>
  </si>
  <si>
    <t>Physics (6-12)</t>
  </si>
  <si>
    <t>8450</t>
  </si>
  <si>
    <t>Physics (5-9)</t>
  </si>
  <si>
    <t>7200</t>
  </si>
  <si>
    <t>Social Studies (6-12)</t>
  </si>
  <si>
    <t>7226</t>
  </si>
  <si>
    <t>Geography (6-12)</t>
  </si>
  <si>
    <t>8220</t>
  </si>
  <si>
    <t>Social Studies - Middle Level (5-9)</t>
  </si>
  <si>
    <t>8226</t>
  </si>
  <si>
    <t>Geography (5-9)</t>
  </si>
  <si>
    <t>7221</t>
  </si>
  <si>
    <t>History (6-12)</t>
  </si>
  <si>
    <t>8221</t>
  </si>
  <si>
    <t>History (5-9)</t>
  </si>
  <si>
    <t>7222</t>
  </si>
  <si>
    <t>American Government/Political Science (6-12)</t>
  </si>
  <si>
    <t>8222</t>
  </si>
  <si>
    <t>American Government/Political Science (5-9)</t>
  </si>
  <si>
    <t>7228</t>
  </si>
  <si>
    <t>Economics (6-12)</t>
  </si>
  <si>
    <t>8228</t>
  </si>
  <si>
    <t>Economics (5-9)</t>
  </si>
  <si>
    <t>7236</t>
  </si>
  <si>
    <t>Sociology/Anthropology (6-12)</t>
  </si>
  <si>
    <t>8236</t>
  </si>
  <si>
    <t>Sociology/Anthropology (5-9)</t>
  </si>
  <si>
    <t>7231</t>
  </si>
  <si>
    <t>Psychology (6-12)</t>
  </si>
  <si>
    <t>8231</t>
  </si>
  <si>
    <t>Psychology (5-9)</t>
  </si>
  <si>
    <t>7229</t>
  </si>
  <si>
    <t>Sociology (6-12)</t>
  </si>
  <si>
    <t>8229</t>
  </si>
  <si>
    <t>Sociology (5-9)</t>
  </si>
  <si>
    <t>7133</t>
  </si>
  <si>
    <t>Humanities (6-12)</t>
  </si>
  <si>
    <t>7700</t>
  </si>
  <si>
    <t>World Language (6-12)</t>
  </si>
  <si>
    <t>7720</t>
  </si>
  <si>
    <t>World Language - Spanish (6-12)</t>
  </si>
  <si>
    <t>7730</t>
  </si>
  <si>
    <t>World Language - French (6-12)</t>
  </si>
  <si>
    <t>7740</t>
  </si>
  <si>
    <t>World Language - German (6-12)</t>
  </si>
  <si>
    <t>7760</t>
  </si>
  <si>
    <t>World Language - Russian (6-12)</t>
  </si>
  <si>
    <t>7779</t>
  </si>
  <si>
    <t>World Language - Greek (6-12)</t>
  </si>
  <si>
    <t>7781</t>
  </si>
  <si>
    <t>World Language - Arabic (6-12)</t>
  </si>
  <si>
    <t>7789</t>
  </si>
  <si>
    <t>World Language - Persian (6-12)</t>
  </si>
  <si>
    <t>World Language - Persian (K-12)</t>
  </si>
  <si>
    <t>World Language - Japanese (K-12)</t>
  </si>
  <si>
    <t>World Language - Italian (K-12)</t>
  </si>
  <si>
    <t>World Language - Hebrew (K-12)</t>
  </si>
  <si>
    <t>World Language - Korean (K-12)</t>
  </si>
  <si>
    <t>7796</t>
  </si>
  <si>
    <t>World Language - Chinese (6-12)</t>
  </si>
  <si>
    <t>7820</t>
  </si>
  <si>
    <t>Music (6-12)</t>
  </si>
  <si>
    <t>7852</t>
  </si>
  <si>
    <t>Visual Arts (6-12)</t>
  </si>
  <si>
    <t>7137</t>
  </si>
  <si>
    <t>Theater Arts (6-12)</t>
  </si>
  <si>
    <t>8137</t>
  </si>
  <si>
    <t>Theater Arts (5-9)</t>
  </si>
  <si>
    <t>8820</t>
  </si>
  <si>
    <t>Music (5-9)</t>
  </si>
  <si>
    <t>8852</t>
  </si>
  <si>
    <t>Visual Arts (5-9)</t>
  </si>
  <si>
    <t>7512</t>
  </si>
  <si>
    <t>Physical Education (PE) (6-12)</t>
  </si>
  <si>
    <t>8510</t>
  </si>
  <si>
    <t>Physical Education (PE) (5-9)</t>
  </si>
  <si>
    <t>7520</t>
  </si>
  <si>
    <t>Health (6-12)</t>
  </si>
  <si>
    <t>8520</t>
  </si>
  <si>
    <t>Health (5-9)</t>
  </si>
  <si>
    <t>7080</t>
  </si>
  <si>
    <t>Junior ROTC</t>
  </si>
  <si>
    <t>Valid Idaho Standard Instructional Certificate</t>
  </si>
  <si>
    <t>8400</t>
  </si>
  <si>
    <t>Computer Science (5-9)</t>
  </si>
  <si>
    <t>8990</t>
  </si>
  <si>
    <t>Engineering (5-9)</t>
  </si>
  <si>
    <t>9-12</t>
  </si>
  <si>
    <t>Valid Idaho Pupil Services Staff Certificate</t>
  </si>
  <si>
    <t>Valid Idaho Administrator Certificate</t>
  </si>
  <si>
    <t>Pre-kindergarten - Title I-C (Migrant Only)</t>
  </si>
  <si>
    <t>8700</t>
  </si>
  <si>
    <t>World Language (5-9)</t>
  </si>
  <si>
    <t>8720</t>
  </si>
  <si>
    <t>World Language - Spanish (5-9)</t>
  </si>
  <si>
    <t>8830</t>
  </si>
  <si>
    <t>World Language - French (5-9)</t>
  </si>
  <si>
    <t>8740</t>
  </si>
  <si>
    <t>World Language - German (5-9)</t>
  </si>
  <si>
    <t>7030</t>
  </si>
  <si>
    <t>Deaf/Hard of Hearing (Pre-K-12)</t>
  </si>
  <si>
    <t>Pre-K-12</t>
  </si>
  <si>
    <t>7701</t>
  </si>
  <si>
    <t>World Language - American Sign Language (K-12)</t>
  </si>
  <si>
    <t>7702</t>
  </si>
  <si>
    <t>World Language – American Sign Language (6-12)</t>
  </si>
  <si>
    <t>8702</t>
  </si>
  <si>
    <t>World Language - American Sign Language (5-9)</t>
  </si>
  <si>
    <t>8760</t>
  </si>
  <si>
    <t>World Language - Russian (5-9)</t>
  </si>
  <si>
    <t>8781</t>
  </si>
  <si>
    <t>World Language - Arabic (5-9)</t>
  </si>
  <si>
    <t>8790</t>
  </si>
  <si>
    <t>World Language - Persian (5-9)</t>
  </si>
  <si>
    <t>8796</t>
  </si>
  <si>
    <t>World Language - Chinese (5-9)</t>
  </si>
  <si>
    <t>7022</t>
  </si>
  <si>
    <t>School Counselor (K-12)</t>
  </si>
  <si>
    <t>7023</t>
  </si>
  <si>
    <t>School Counselor - Basic (K-12)</t>
  </si>
  <si>
    <t>7026</t>
  </si>
  <si>
    <t xml:space="preserve">Coordinator
</t>
  </si>
  <si>
    <t>7045</t>
  </si>
  <si>
    <t>Teacher Leader - Special Education</t>
  </si>
  <si>
    <t>7299</t>
  </si>
  <si>
    <t>Teacher Leader Mathematics</t>
  </si>
  <si>
    <t>7297</t>
  </si>
  <si>
    <t>7298</t>
  </si>
  <si>
    <t>Pupil Services</t>
  </si>
  <si>
    <t>7018</t>
  </si>
  <si>
    <t>Audiology</t>
  </si>
  <si>
    <t>7025</t>
  </si>
  <si>
    <t>Speech-Language Pathologist</t>
  </si>
  <si>
    <t>7027</t>
  </si>
  <si>
    <t>7024</t>
  </si>
  <si>
    <t>7000</t>
  </si>
  <si>
    <t>7001</t>
  </si>
  <si>
    <t>7020</t>
  </si>
  <si>
    <t>Administrative</t>
  </si>
  <si>
    <t>7050</t>
  </si>
  <si>
    <t>Superintendent (Pre-K-12)</t>
  </si>
  <si>
    <t>PK-12</t>
  </si>
  <si>
    <t>7054</t>
  </si>
  <si>
    <t>7053</t>
  </si>
  <si>
    <t>School Principal (Pre-K-12)</t>
  </si>
  <si>
    <t>7046</t>
  </si>
  <si>
    <t>Director of Special Education (Pre-K-12)</t>
  </si>
  <si>
    <t>7037</t>
  </si>
  <si>
    <t>Exceptional Child Generalist (6-12)</t>
  </si>
  <si>
    <t xml:space="preserve">Visual Impaired Instruction – Special Education (Pre-K-12)
</t>
  </si>
  <si>
    <t>7035</t>
  </si>
  <si>
    <t>Visual Impairment (Pre-K-12)</t>
  </si>
  <si>
    <t xml:space="preserve">Deaf/Hard of Hearing – Special Education (Pre-K-12)
</t>
  </si>
  <si>
    <t>Valid Idaho Certificate</t>
  </si>
  <si>
    <t>Classified</t>
  </si>
  <si>
    <t>N/A</t>
  </si>
  <si>
    <t>Meets paraprofessional requirements</t>
  </si>
  <si>
    <t>Idaho Bureau of Occupational Therapist License</t>
  </si>
  <si>
    <t xml:space="preserve"> Physical Therapist</t>
  </si>
  <si>
    <t>Idaho Bureau of Physical Therapist License</t>
  </si>
  <si>
    <t>State Department of Education Driver's Education Certificate</t>
  </si>
  <si>
    <t>State Department of Education Family Liaison ID&amp;R Certificate</t>
  </si>
  <si>
    <t>4015</t>
  </si>
  <si>
    <t>CTE OS - Business Management/Finance (6-12)</t>
  </si>
  <si>
    <t>4024</t>
  </si>
  <si>
    <t>CTE OS - Information/Communication Tech (6-12)</t>
  </si>
  <si>
    <t>9093</t>
  </si>
  <si>
    <t>CTE - Business Technology Education (6-12)</t>
  </si>
  <si>
    <t>9400</t>
  </si>
  <si>
    <t>CTE - Computer Science (6-12)</t>
  </si>
  <si>
    <t>6151</t>
  </si>
  <si>
    <t>CTE OS - Programming &amp; Web Technologies  (6-12)</t>
  </si>
  <si>
    <t>6153</t>
  </si>
  <si>
    <t>CTE OS - Network &amp; Computer Support (6-12)</t>
  </si>
  <si>
    <t>6154</t>
  </si>
  <si>
    <t>CTE OS - Networking Support (6-12)</t>
  </si>
  <si>
    <t>6156</t>
  </si>
  <si>
    <t>CTE OS - Computer Support (6-12)</t>
  </si>
  <si>
    <t>1087</t>
  </si>
  <si>
    <t>CTE OS - Hospitality Management (6-12)</t>
  </si>
  <si>
    <t>4012</t>
  </si>
  <si>
    <t>CTE OS - Administrative Services (6-12)</t>
  </si>
  <si>
    <t>4017</t>
  </si>
  <si>
    <t>CTE OS - Business Management (6-12)</t>
  </si>
  <si>
    <t>4020</t>
  </si>
  <si>
    <t>CTE OS - Microcomputer Applications (6-12)</t>
  </si>
  <si>
    <t>4022</t>
  </si>
  <si>
    <t>CTE OS - Business Digital Communications (6-12)</t>
  </si>
  <si>
    <t>4077</t>
  </si>
  <si>
    <t>CTE OS - Applied Accounting (6-12)</t>
  </si>
  <si>
    <t>9092</t>
  </si>
  <si>
    <t>CTE - Marketing Technology Education (6-12)</t>
  </si>
  <si>
    <t>6157</t>
  </si>
  <si>
    <t>CTE OS - Computer Science PLTW (6-12)</t>
  </si>
  <si>
    <t>6155</t>
  </si>
  <si>
    <t>CTE OS - Computer Science/Information Technology (6-12)</t>
  </si>
  <si>
    <t>6158</t>
  </si>
  <si>
    <t>CTE OS - Programming &amp; Software Development (6-12)</t>
  </si>
  <si>
    <t>6159</t>
  </si>
  <si>
    <t>0099</t>
  </si>
  <si>
    <t>CTE OS - Work Based Learning Coordinator (6-12)</t>
  </si>
  <si>
    <t>7016</t>
  </si>
  <si>
    <t>CTE - Career Counselor (6-12)</t>
  </si>
  <si>
    <t>CTE OS - Web Design and Development (6-12)</t>
  </si>
  <si>
    <t>9981</t>
  </si>
  <si>
    <t>CTE - Technology Education (6-12)</t>
  </si>
  <si>
    <t>6180</t>
  </si>
  <si>
    <t>CTE OS - Journalism (6-12)</t>
  </si>
  <si>
    <t>6190</t>
  </si>
  <si>
    <t>CTE OS - Graphic Design (6-12)</t>
  </si>
  <si>
    <t>6192</t>
  </si>
  <si>
    <t>CTE OS - Commercial Photography (6-12)</t>
  </si>
  <si>
    <t>6197</t>
  </si>
  <si>
    <t>CTE OS - Digital Media Production (6-12)</t>
  </si>
  <si>
    <t>1010</t>
  </si>
  <si>
    <t>CTE OS - Marketing (6-12)</t>
  </si>
  <si>
    <t>6109</t>
  </si>
  <si>
    <t>CTE OS - Industrial Mechanics (6-12)</t>
  </si>
  <si>
    <t>5022</t>
  </si>
  <si>
    <t>CTE OS - Automated Manufacturing (6-12)</t>
  </si>
  <si>
    <t>6232</t>
  </si>
  <si>
    <t>CTE OS - Precision Machining (6-12)</t>
  </si>
  <si>
    <t>6236</t>
  </si>
  <si>
    <t>CTE OS - Certified Welding (6-12)</t>
  </si>
  <si>
    <t>2000</t>
  </si>
  <si>
    <t>CTE OS - Health Professions Foundations (6-12)</t>
  </si>
  <si>
    <t>2011</t>
  </si>
  <si>
    <t>CTE OS - Dental Assisting (6-12)</t>
  </si>
  <si>
    <t>2030</t>
  </si>
  <si>
    <t>CTE OS - Dietitian (6-12)</t>
  </si>
  <si>
    <t>2033</t>
  </si>
  <si>
    <t>CTE OS - Nursing Assistant (6-12)</t>
  </si>
  <si>
    <t>2055</t>
  </si>
  <si>
    <t>CTE OS - Rehabilitation Services (6-12)</t>
  </si>
  <si>
    <t>2085</t>
  </si>
  <si>
    <t>CTE OS - Emergency Medical Technician (6-12)</t>
  </si>
  <si>
    <t>2087</t>
  </si>
  <si>
    <t>CTE OS - Paramedic (6-12)</t>
  </si>
  <si>
    <t>2094</t>
  </si>
  <si>
    <t>CTE OS - Medical Assisting (6-12)</t>
  </si>
  <si>
    <t>2095</t>
  </si>
  <si>
    <t>CTE OS - Pharmacy Technician (6-12)</t>
  </si>
  <si>
    <t>2098</t>
  </si>
  <si>
    <t>CTE OS - Sports Medicine/Athletic Trng (6-12)</t>
  </si>
  <si>
    <t>6280</t>
  </si>
  <si>
    <t>CTE OS - Firefighting (6-12)</t>
  </si>
  <si>
    <t>6282</t>
  </si>
  <si>
    <t>CTE OS - Law Enforcement (6-12)</t>
  </si>
  <si>
    <t>3023</t>
  </si>
  <si>
    <t>CTE OS - Food Service (6-12)</t>
  </si>
  <si>
    <t>3025</t>
  </si>
  <si>
    <t>CTE OS - Culinary Arts (6-12)</t>
  </si>
  <si>
    <t>3027</t>
  </si>
  <si>
    <t>9971</t>
  </si>
  <si>
    <t>CTE - Family and Consumer Sciences (6-12)</t>
  </si>
  <si>
    <t>1085</t>
  </si>
  <si>
    <t>CTE OS - Hospitality Services (6-12)</t>
  </si>
  <si>
    <t>6105</t>
  </si>
  <si>
    <t>CTE OS - Cabinetmaking &amp; Bench Carpentry (6-12)</t>
  </si>
  <si>
    <t>5030</t>
  </si>
  <si>
    <t>CTE OS - Electrical Technology (9-12)</t>
  </si>
  <si>
    <t>6010</t>
  </si>
  <si>
    <t>CTE OS - HVAC Technology (6-12)</t>
  </si>
  <si>
    <t>6015</t>
  </si>
  <si>
    <t>CTE OS - Plumbing Technology (6-12)</t>
  </si>
  <si>
    <t>6108</t>
  </si>
  <si>
    <t>CTE OS - Construction Trades Technology (6-12)</t>
  </si>
  <si>
    <t>5018</t>
  </si>
  <si>
    <t>CTE OS - Electronics Technology (6-12)</t>
  </si>
  <si>
    <t>0108</t>
  </si>
  <si>
    <t>CTE OS - Animal Health &amp; Veterinary Sci (6-12)</t>
  </si>
  <si>
    <t>0109</t>
  </si>
  <si>
    <t>CTE OS - Ag Business Mgmt (6-12)</t>
  </si>
  <si>
    <t>0110</t>
  </si>
  <si>
    <t>CTE OS - Agricultural Production (6-12)</t>
  </si>
  <si>
    <t>0114</t>
  </si>
  <si>
    <t>CTE OS - Farm &amp; Ranch Management (6-12)</t>
  </si>
  <si>
    <t>0120</t>
  </si>
  <si>
    <t>CTE OS - Agricultural Leadership and Communications (6-12)</t>
  </si>
  <si>
    <t>0130</t>
  </si>
  <si>
    <t>CTE OS - Agricultural Power Machinery (6-12)</t>
  </si>
  <si>
    <t>0150</t>
  </si>
  <si>
    <t>CTE OS - Horticulture (6-12)</t>
  </si>
  <si>
    <t>0152</t>
  </si>
  <si>
    <t>CTE OS - Plant and Soil (6-12)</t>
  </si>
  <si>
    <t>0161</t>
  </si>
  <si>
    <t>CTE OS - Aquaculture (6-12)</t>
  </si>
  <si>
    <t>0170</t>
  </si>
  <si>
    <t>CTE OS - Forestry (6-12)</t>
  </si>
  <si>
    <t>0174</t>
  </si>
  <si>
    <t>CTE OS - Natural Resource Management (6-12)</t>
  </si>
  <si>
    <t>0175</t>
  </si>
  <si>
    <t>CTE OS - Ecology and Natural Resource Management (6-12)</t>
  </si>
  <si>
    <t>9921</t>
  </si>
  <si>
    <t>CTE - Agriculture Science and Technology (6-12)</t>
  </si>
  <si>
    <t>0118</t>
  </si>
  <si>
    <t>CTE OS - Animal Science (6-12)</t>
  </si>
  <si>
    <t>0119</t>
  </si>
  <si>
    <t>CTE OS - Agribusiness (6-12)</t>
  </si>
  <si>
    <t>0131</t>
  </si>
  <si>
    <t>CTE OS - Agriculture Mechanics &amp; Power Systems</t>
  </si>
  <si>
    <t>0140</t>
  </si>
  <si>
    <t>CTE OS - Food Science &amp; Processing Technology (6-12)</t>
  </si>
  <si>
    <t>0151</t>
  </si>
  <si>
    <t>CTE OS - Ornamental Horticulture (6-12)</t>
  </si>
  <si>
    <t>6310</t>
  </si>
  <si>
    <t>CTE OS - Small Engine Repair/Power Sports (6-12)</t>
  </si>
  <si>
    <t>6262</t>
  </si>
  <si>
    <t>CTE OS - Cosmetology (6-12)</t>
  </si>
  <si>
    <t>3020</t>
  </si>
  <si>
    <t>CTE OS - Child Development Care &amp; Guidance (6-12)</t>
  </si>
  <si>
    <t>3022</t>
  </si>
  <si>
    <t>CTE OS - Child Development &amp; Services (6-12)</t>
  </si>
  <si>
    <t>3030</t>
  </si>
  <si>
    <t>CTE OS - Fashion and Interiors (6-12)</t>
  </si>
  <si>
    <t>3035</t>
  </si>
  <si>
    <t>CTE OS - Apparel/Textiles (6-12)</t>
  </si>
  <si>
    <t>6032</t>
  </si>
  <si>
    <t>CTE OS - Automotive Maintenance &amp; Light Repair (6-12)</t>
  </si>
  <si>
    <t>6031</t>
  </si>
  <si>
    <t>CTE OS - Automotive Collision Repair (6-12)</t>
  </si>
  <si>
    <t>6120</t>
  </si>
  <si>
    <t>CTE OS - Heavy Equipment/Diesel Technology (6-12)</t>
  </si>
  <si>
    <t>5015</t>
  </si>
  <si>
    <t>CTE OS - Pre-Engineering (6-12)</t>
  </si>
  <si>
    <t>9401</t>
  </si>
  <si>
    <t>CTE - Engineering (6-12)</t>
  </si>
  <si>
    <t>6130</t>
  </si>
  <si>
    <t>CTE OS - Drafting and Design (6-12)</t>
  </si>
  <si>
    <t>6131</t>
  </si>
  <si>
    <t>CTE OS - Architectural Drafting Technology (6-12)</t>
  </si>
  <si>
    <t>6132</t>
  </si>
  <si>
    <t>CTE OS - Mechanical Drafting Technology (6-12)</t>
  </si>
  <si>
    <t>0074</t>
  </si>
  <si>
    <t>CTE OS - Family &amp; Consumer Sciences (6-12)</t>
  </si>
  <si>
    <t>-0001</t>
  </si>
  <si>
    <t>Any Valid CTE Endorsement Code</t>
  </si>
  <si>
    <t>CTE Administor</t>
  </si>
  <si>
    <t>0055</t>
  </si>
  <si>
    <t>CTE Administrator (6-12)</t>
  </si>
  <si>
    <t>6-8</t>
  </si>
  <si>
    <t>DistrictNumber</t>
  </si>
  <si>
    <t>DistrictName</t>
  </si>
  <si>
    <t>schoolNumber</t>
  </si>
  <si>
    <t>schoolName</t>
  </si>
  <si>
    <t>058</t>
  </si>
  <si>
    <t>ABERDEEN DISTRICT</t>
  </si>
  <si>
    <t>0036</t>
  </si>
  <si>
    <t>ABERDEEN HIGH SCHOOL</t>
  </si>
  <si>
    <t>0298</t>
  </si>
  <si>
    <t>ABERDEEN ELEMENTARY SCHOOL</t>
  </si>
  <si>
    <t>0299</t>
  </si>
  <si>
    <t>ABERDEEN MIDDLE SCHOOL</t>
  </si>
  <si>
    <t>3058</t>
  </si>
  <si>
    <t>ADMINISTRATION BUILDING ABERDEEN DISTRICT</t>
  </si>
  <si>
    <t>495</t>
  </si>
  <si>
    <t>ALTURAS INTERNATIONAL ACADEMY, INC.</t>
  </si>
  <si>
    <t>1385</t>
  </si>
  <si>
    <t>ALTURAS INTERNATIONAL ACADEMY</t>
  </si>
  <si>
    <t>560</t>
  </si>
  <si>
    <t>ALTURAS PREPARATORY ACADEMY, INC</t>
  </si>
  <si>
    <t>1460</t>
  </si>
  <si>
    <t>ALTURAS PREPARATORY ACADEMY</t>
  </si>
  <si>
    <t>381</t>
  </si>
  <si>
    <t>AMERICAN FALLS JOINT DISTRICT</t>
  </si>
  <si>
    <t>0167</t>
  </si>
  <si>
    <t>WILLIAM THOMAS MIDDLE SCHOOL</t>
  </si>
  <si>
    <t>0168</t>
  </si>
  <si>
    <t>AMERICAN FALLS HIGH SCHOOL</t>
  </si>
  <si>
    <t>0261</t>
  </si>
  <si>
    <t>AMERICAN FALLS ACADEMY</t>
  </si>
  <si>
    <t>0808</t>
  </si>
  <si>
    <t>HILLCREST ELEMENTARY SCHOOL</t>
  </si>
  <si>
    <t>0849</t>
  </si>
  <si>
    <t>J.R. SIMPLOT ELEMENTARY SCHOOL</t>
  </si>
  <si>
    <t>1171</t>
  </si>
  <si>
    <t>AMERICAN FALLS ACADEMY (SUMMER)</t>
  </si>
  <si>
    <t>3381</t>
  </si>
  <si>
    <t>ADMINISTRATION BUILDING AMERICAN FALLS JOINT DISTRICT</t>
  </si>
  <si>
    <t>482</t>
  </si>
  <si>
    <t>AMERICAN HERITAGE CHARTER SCHOOL, INC.</t>
  </si>
  <si>
    <t>1346</t>
  </si>
  <si>
    <t>AMERICAN HERITAGE CHARTER SCHOOL</t>
  </si>
  <si>
    <t>492</t>
  </si>
  <si>
    <t>ANSER OF IDAHO, INC.</t>
  </si>
  <si>
    <t>0819</t>
  </si>
  <si>
    <t>ANSER CHARTER SCHOOL</t>
  </si>
  <si>
    <t>383</t>
  </si>
  <si>
    <t>ARBON ELEMENTARY DISTRICT</t>
  </si>
  <si>
    <t>0810</t>
  </si>
  <si>
    <t>ARBON ELEMENTARY SCHOOL</t>
  </si>
  <si>
    <t>3383</t>
  </si>
  <si>
    <t>ADMINISTRATION BUILDING ARBON ELEMENTARY DISTRICT</t>
  </si>
  <si>
    <t>394</t>
  </si>
  <si>
    <t xml:space="preserve">AVERY SCHOOL DISTRICT </t>
  </si>
  <si>
    <t>0820</t>
  </si>
  <si>
    <t>CALDER SCHOOL</t>
  </si>
  <si>
    <t>3394</t>
  </si>
  <si>
    <t>ADMINISTRATION BUILDING AVERY SCHOOL DISTRICT</t>
  </si>
  <si>
    <t>072</t>
  </si>
  <si>
    <t>BASIN SCHOOL DISTRICT</t>
  </si>
  <si>
    <t>0159</t>
  </si>
  <si>
    <t>BASIN ELEMENTARY SCHOOL</t>
  </si>
  <si>
    <t>0183</t>
  </si>
  <si>
    <t>IDAHO CITY HIGH SCHOOL</t>
  </si>
  <si>
    <t>3007</t>
  </si>
  <si>
    <t>ADMINISTRATION BUILDING BASIN SCHOOL DISTRICT</t>
  </si>
  <si>
    <t>033</t>
  </si>
  <si>
    <t>BEAR LAKE COUNTY DISTRICT</t>
  </si>
  <si>
    <t>0026</t>
  </si>
  <si>
    <t>BEAR LAKE MIDDLE SCHOOL</t>
  </si>
  <si>
    <t>0027</t>
  </si>
  <si>
    <t>BEAR LAKE HIGH SCHOOL</t>
  </si>
  <si>
    <t>0370</t>
  </si>
  <si>
    <t>A J WINTERS ELEMENTARY SCHOOL</t>
  </si>
  <si>
    <t>0371</t>
  </si>
  <si>
    <t>GEORGETOWN ELEMENTARY SCHOOL</t>
  </si>
  <si>
    <t>0372</t>
  </si>
  <si>
    <t>PARIS ELEMENTARY SCHOOL</t>
  </si>
  <si>
    <t>0404</t>
  </si>
  <si>
    <t>CLOVER CREEK HIGH SCHOOL ALTERNATIVE</t>
  </si>
  <si>
    <t>1455</t>
  </si>
  <si>
    <t>BEAR LAKE ON-LINE LEARNING</t>
  </si>
  <si>
    <t>3033</t>
  </si>
  <si>
    <t>ADMINISTRATION BUILDING BEAR LAKE COUNTY DISTRICT</t>
  </si>
  <si>
    <t>477</t>
  </si>
  <si>
    <t>BLACKFOOT CHARTER COMMUNITY LEARNING CENTER, INC.</t>
  </si>
  <si>
    <t>1294</t>
  </si>
  <si>
    <t>BLACKFOOT CHARTER COMMUNITY</t>
  </si>
  <si>
    <t>BLACKFOOT DISTRICT</t>
  </si>
  <si>
    <t>0033</t>
  </si>
  <si>
    <t>MOUNTAIN VIEW MIDDLE SCHOOL</t>
  </si>
  <si>
    <t>0034</t>
  </si>
  <si>
    <t>BLACKFOOT HIGH SCHOOL</t>
  </si>
  <si>
    <t>0252</t>
  </si>
  <si>
    <t>VAUGHN HUGIE FAMILY ED CENTER</t>
  </si>
  <si>
    <t>0381</t>
  </si>
  <si>
    <t>BLACKFOOT HERITAGE SIXTH GRADE</t>
  </si>
  <si>
    <t>0382</t>
  </si>
  <si>
    <t>DONALD D. STALKER ELEMENTARY</t>
  </si>
  <si>
    <t>0384</t>
  </si>
  <si>
    <t>RIDGE CREST ELEMENTARY SCHOOL</t>
  </si>
  <si>
    <t>0385</t>
  </si>
  <si>
    <t>WAPELLO ELEMENTARY SCHOOL</t>
  </si>
  <si>
    <t>0386</t>
  </si>
  <si>
    <t>GROVELAND ELEMENTARY SCHOOL</t>
  </si>
  <si>
    <t>0387</t>
  </si>
  <si>
    <t>FORT HALL ELEMENTARY SCHOOL</t>
  </si>
  <si>
    <t>0388</t>
  </si>
  <si>
    <t>I T STODDARD ELEMENTARY SCHOOL</t>
  </si>
  <si>
    <t>1121</t>
  </si>
  <si>
    <t>INDEPENDENCE ALTERNATIVE HIGH SCHOOL SUMMER</t>
  </si>
  <si>
    <t>1164</t>
  </si>
  <si>
    <t>MOUNTAIN VIEW MIDDLE SCHOOL ALTERNATIVE CLASSROOM SUMMER</t>
  </si>
  <si>
    <t>3055</t>
  </si>
  <si>
    <t>ADMINISTRATION BUILDING BLACKFOOT DISTRICT</t>
  </si>
  <si>
    <t>9006</t>
  </si>
  <si>
    <t>INDEPENDENCE ALTERNATIVE HIGH SCHOOL</t>
  </si>
  <si>
    <t>061</t>
  </si>
  <si>
    <t>BLAINE COUNTY DISTRICT</t>
  </si>
  <si>
    <t>0042</t>
  </si>
  <si>
    <t>WOOD RIVER HIGH SCHOOL</t>
  </si>
  <si>
    <t>0197</t>
  </si>
  <si>
    <t>CAREY PUBLIC SCHOOL</t>
  </si>
  <si>
    <t>0394</t>
  </si>
  <si>
    <t>BELLEVUE ELEMENTARY SCHOOL</t>
  </si>
  <si>
    <t>0395</t>
  </si>
  <si>
    <t>ERNEST HEMINGWAY STEAM SCHOOL</t>
  </si>
  <si>
    <t>0396</t>
  </si>
  <si>
    <t>HAILEY ELEMENTARY SCHOOL</t>
  </si>
  <si>
    <t>0636</t>
  </si>
  <si>
    <t>ALTURAS ELEMENTARY SCHOOL</t>
  </si>
  <si>
    <t>0984</t>
  </si>
  <si>
    <t>WOOD RIVER MIDDLE SCHOOL</t>
  </si>
  <si>
    <t>1102</t>
  </si>
  <si>
    <t>SILVER CREEK HIGH SCHOOL ALTERNATIVE</t>
  </si>
  <si>
    <t>3061</t>
  </si>
  <si>
    <t>ADMINISTRATION BUILDING BLAINE COUNTY DISTRICT</t>
  </si>
  <si>
    <t>BLISS JOINT DISTRICT</t>
  </si>
  <si>
    <t>0714</t>
  </si>
  <si>
    <t>BLISS SCHOOL</t>
  </si>
  <si>
    <t>3018</t>
  </si>
  <si>
    <t>ADMINISTRATION BUILDING BLISS JOINT DISTRICT</t>
  </si>
  <si>
    <t>001</t>
  </si>
  <si>
    <t>BOISE INDEPENDENT DISTRICT</t>
  </si>
  <si>
    <t>0002</t>
  </si>
  <si>
    <t>FAIRMONT JUNIOR HIGH SCHOOL</t>
  </si>
  <si>
    <t>0003</t>
  </si>
  <si>
    <t>HILLSIDE JUNIOR HIGH SCHOOL</t>
  </si>
  <si>
    <t>0004</t>
  </si>
  <si>
    <t>NORTH JUNIOR HIGH SCHOOL</t>
  </si>
  <si>
    <t>0005</t>
  </si>
  <si>
    <t>SOUTH JUNIOR HIGH SCHOOL</t>
  </si>
  <si>
    <t>0007</t>
  </si>
  <si>
    <t>BOISE SENIOR HIGH SCHOOL</t>
  </si>
  <si>
    <t>0008</t>
  </si>
  <si>
    <t>BORAH SENIOR HIGH SCHOOL</t>
  </si>
  <si>
    <t>0009</t>
  </si>
  <si>
    <t>CAPITAL SENIOR HIGH SCHOOL</t>
  </si>
  <si>
    <t>0203</t>
  </si>
  <si>
    <t>BSD ALTERNATIVE HIGH SUMMER SCHOOL</t>
  </si>
  <si>
    <t>0206</t>
  </si>
  <si>
    <t>LES BOIS JUNIOR HIGH SCHOOL</t>
  </si>
  <si>
    <t>0242</t>
  </si>
  <si>
    <t>RIVERGLEN JR HIGH SCHOOL</t>
  </si>
  <si>
    <t>0243</t>
  </si>
  <si>
    <t>TIMBERLINE HIGH SCHOOL</t>
  </si>
  <si>
    <t>0287</t>
  </si>
  <si>
    <t>TRAIL WIND ELEMENTARY</t>
  </si>
  <si>
    <t>0288</t>
  </si>
  <si>
    <t>SHADOW HILLS ELEMENTARY</t>
  </si>
  <si>
    <t>0300</t>
  </si>
  <si>
    <t>AMITY ELEMENTARY SCHOOL</t>
  </si>
  <si>
    <t>0301</t>
  </si>
  <si>
    <t>MAPLE GROVE ELEMENTARY SCHOOL</t>
  </si>
  <si>
    <t>0302</t>
  </si>
  <si>
    <t>HIGHLANDS ELEMENTARY SCHOOL</t>
  </si>
  <si>
    <t>0303</t>
  </si>
  <si>
    <t>GARFIELD ELEMENTARY SCHOOL</t>
  </si>
  <si>
    <t>0305</t>
  </si>
  <si>
    <t>WASHINGTON ELEMENTARY SCHOOL</t>
  </si>
  <si>
    <t>0306</t>
  </si>
  <si>
    <t>WHITNEY ELEMENTARY SCHOOL</t>
  </si>
  <si>
    <t>0307</t>
  </si>
  <si>
    <t>0308</t>
  </si>
  <si>
    <t>HAWTHORNE ELEMENTARY SCHOOL</t>
  </si>
  <si>
    <t>0309</t>
  </si>
  <si>
    <t>ROOSEVELT ELEMENTARY SCHOOL</t>
  </si>
  <si>
    <t>0310</t>
  </si>
  <si>
    <t>PIERCE PARK ELEMENTARY SCHOOL</t>
  </si>
  <si>
    <t>0312</t>
  </si>
  <si>
    <t>MADISON EARLY CHILDHOOD SCHOOL</t>
  </si>
  <si>
    <t>0313</t>
  </si>
  <si>
    <t>OWYHEE ELEMENTARY SCHOOL</t>
  </si>
  <si>
    <t>0315</t>
  </si>
  <si>
    <t>ADAMS ELEMENTARY SCHOOL</t>
  </si>
  <si>
    <t>0316</t>
  </si>
  <si>
    <t>LIBERTY ELEMENTARY SCHOOL</t>
  </si>
  <si>
    <t>0317</t>
  </si>
  <si>
    <t>JEFFERSON ELEMENTARY SCHOOL</t>
  </si>
  <si>
    <t>0319</t>
  </si>
  <si>
    <t>LOWELL ELEMENTARY SCHOOL</t>
  </si>
  <si>
    <t>0320</t>
  </si>
  <si>
    <t>VALLEY VIEW ELEMENTARY SCHOOL</t>
  </si>
  <si>
    <t>0321</t>
  </si>
  <si>
    <t>Taft Elementary School</t>
  </si>
  <si>
    <t>0322</t>
  </si>
  <si>
    <t>MOUNTAIN VIEW ELEMENTARY SCHOOL</t>
  </si>
  <si>
    <t>0323</t>
  </si>
  <si>
    <t>LONGFELLOW ELEMENTARY SCHOOL</t>
  </si>
  <si>
    <t>0324</t>
  </si>
  <si>
    <t>MONROE ELEMENTARY SCHOOL</t>
  </si>
  <si>
    <t>0325</t>
  </si>
  <si>
    <t>KOELSCH ELEMENTARY SCHOOL</t>
  </si>
  <si>
    <t>0326</t>
  </si>
  <si>
    <t>COLLISTER ELEMENTARY SCHOOL</t>
  </si>
  <si>
    <t>0327</t>
  </si>
  <si>
    <t>WHITTIER ELEMENTARY SCHOOL</t>
  </si>
  <si>
    <t>0509</t>
  </si>
  <si>
    <t>RIVERSIDE ELEMENTARY SCHOOL</t>
  </si>
  <si>
    <t>0510</t>
  </si>
  <si>
    <t>HORIZON ELEMENTARY SCHOOL</t>
  </si>
  <si>
    <t>0563</t>
  </si>
  <si>
    <t>DEHRYL A DENNIS PROF-TECH CTR</t>
  </si>
  <si>
    <t>0573</t>
  </si>
  <si>
    <t>TREASURE VALLEY MATH/SCIENCE</t>
  </si>
  <si>
    <t>0665</t>
  </si>
  <si>
    <t>CYNTHIA MANN ELEMENTARY SCHOOL</t>
  </si>
  <si>
    <t>0666</t>
  </si>
  <si>
    <t>WHITE PINE ELEMENTARY SCHOOL</t>
  </si>
  <si>
    <t>0673</t>
  </si>
  <si>
    <t>MORLEY NELSON ELEMENTARY</t>
  </si>
  <si>
    <t>0674</t>
  </si>
  <si>
    <t>GRACE JORDAN ELEMENTARY</t>
  </si>
  <si>
    <t>0675</t>
  </si>
  <si>
    <t>FRANK CHURCH HIGH SCHOOL</t>
  </si>
  <si>
    <t>0676</t>
  </si>
  <si>
    <t>WEST JUNIOR HIGH</t>
  </si>
  <si>
    <t>0677</t>
  </si>
  <si>
    <t>EAST JUNIOR HIGH SCHOOL</t>
  </si>
  <si>
    <t>0679</t>
  </si>
  <si>
    <t>HIDDEN SPRINGS ELEMENTARY SCHOOL</t>
  </si>
  <si>
    <t>1146</t>
  </si>
  <si>
    <t>BOISE SD ALTERNATIVE JR. HIGH SUMMER SCHOOL</t>
  </si>
  <si>
    <t>1175</t>
  </si>
  <si>
    <t>ADA CO JUVENILE DETENTION-SUMMER</t>
  </si>
  <si>
    <t>1465</t>
  </si>
  <si>
    <t>BOISE ONLINE SCHOOL - ELEMENTARY</t>
  </si>
  <si>
    <t>1466</t>
  </si>
  <si>
    <t>BOISE ONLINE SCHOOL - SECONDARY</t>
  </si>
  <si>
    <t>3001</t>
  </si>
  <si>
    <t>ADMINISTRATION BUILDING BOISE INDEPENDENT DISTRICT</t>
  </si>
  <si>
    <t>9002</t>
  </si>
  <si>
    <t>ADA COUNTY JUVENILE CENTER</t>
  </si>
  <si>
    <t>093</t>
  </si>
  <si>
    <t>BONNEVILLE JOINT DISTRICT</t>
  </si>
  <si>
    <t>SANDCREEK MIDDLE SCHOOL</t>
  </si>
  <si>
    <t>0056</t>
  </si>
  <si>
    <t>BONNEVILLE HIGH SCHOOL</t>
  </si>
  <si>
    <t>0200</t>
  </si>
  <si>
    <t>HILLCREST HIGH SCHOOL</t>
  </si>
  <si>
    <t>0219</t>
  </si>
  <si>
    <t>ROCKY MOUNTAIN MIDDLE SCHOOL</t>
  </si>
  <si>
    <t>0425</t>
  </si>
  <si>
    <t>FALLS VALLEY ELEMENTARY SCHOOL</t>
  </si>
  <si>
    <t>0426</t>
  </si>
  <si>
    <t>AMMON ELEMENTARY SCHOOL</t>
  </si>
  <si>
    <t>0427</t>
  </si>
  <si>
    <t>IONA ELEMENTARY SCHOOL</t>
  </si>
  <si>
    <t>0428</t>
  </si>
  <si>
    <t>HILLVIEW ELEMENTARY SCHOOL</t>
  </si>
  <si>
    <t>0429</t>
  </si>
  <si>
    <t>UCON ELEMENTARY SCHOOL</t>
  </si>
  <si>
    <t>0431</t>
  </si>
  <si>
    <t>CLOVERDALE ELEMENTARY SCHOOL</t>
  </si>
  <si>
    <t>0432</t>
  </si>
  <si>
    <t>FAIRVIEW ELEMENTARY SCHOOL</t>
  </si>
  <si>
    <t>0501</t>
  </si>
  <si>
    <t>TIEBREAKER ELEMENTARY SCHOOL</t>
  </si>
  <si>
    <t>0630</t>
  </si>
  <si>
    <t>LINCOLN HIGH SCHOOL SUMMER ALTERNATIVE</t>
  </si>
  <si>
    <t>0637</t>
  </si>
  <si>
    <t>WOODLAND HILLS ELEMENTARY</t>
  </si>
  <si>
    <t>1016</t>
  </si>
  <si>
    <t>SPECIAL SERVICES CENTER</t>
  </si>
  <si>
    <t>1053</t>
  </si>
  <si>
    <t>LINCOLN HIGH SCHOOL ALTERNATIVE</t>
  </si>
  <si>
    <t>1238</t>
  </si>
  <si>
    <t>BONNEVILLE ONLINE ELEMENTARY</t>
  </si>
  <si>
    <t>1250</t>
  </si>
  <si>
    <t>MOUNTAIN VALLEY ELEMENTARY SCHOOL</t>
  </si>
  <si>
    <t>1255</t>
  </si>
  <si>
    <t>RIMROCK ELEMENTARY</t>
  </si>
  <si>
    <t>1319</t>
  </si>
  <si>
    <t>BONNEVILLE ONLINE SCHOOL</t>
  </si>
  <si>
    <t>1357</t>
  </si>
  <si>
    <t>TECHNICAL CAREERS HIGH SCHOOL</t>
  </si>
  <si>
    <t>1360</t>
  </si>
  <si>
    <t>SUMMIT HILLS ELEMENTARY SCHOOL</t>
  </si>
  <si>
    <t>1415</t>
  </si>
  <si>
    <t>THUNDER RIDGE HIGH SCHOOL</t>
  </si>
  <si>
    <t>1469</t>
  </si>
  <si>
    <t>BLACK CANYON MIDDLE SCHOOL</t>
  </si>
  <si>
    <t>2518</t>
  </si>
  <si>
    <t>BRIDGEWATER ELEMENTARY SCHOOL</t>
  </si>
  <si>
    <t>2519</t>
  </si>
  <si>
    <t>DISCOVERY ELEMENTARY SCHOOL</t>
  </si>
  <si>
    <t>3093</t>
  </si>
  <si>
    <t>ADMINISTRATION BUILDING BONNEVILLE JOINT DISTRICT</t>
  </si>
  <si>
    <t>BOUNDARY COUNTY DISTRICT</t>
  </si>
  <si>
    <t>0057</t>
  </si>
  <si>
    <t>BONNERS FERRY HIGH SCHOOL</t>
  </si>
  <si>
    <t>0201</t>
  </si>
  <si>
    <t>BOUNDARY COUNTY MIDDLE SCHOOL</t>
  </si>
  <si>
    <t>0433</t>
  </si>
  <si>
    <t>NAPLES ELEMENTARY SCHOOL</t>
  </si>
  <si>
    <t>0434</t>
  </si>
  <si>
    <t>MOUNT HALL ELEMENTARY SCHOOL</t>
  </si>
  <si>
    <t>0437</t>
  </si>
  <si>
    <t>1118</t>
  </si>
  <si>
    <t>BONNERS FERRY HIGH SCHOOL SUMMER ALTERNATIVE</t>
  </si>
  <si>
    <t>3101</t>
  </si>
  <si>
    <t>ADMINISTRATION BUILDING BOUNDARY COUNTY DISTRICT</t>
  </si>
  <si>
    <t>365</t>
  </si>
  <si>
    <t>BRUNEAU-GRAND VIEW JOINT SCHOOL DISTRICT</t>
  </si>
  <si>
    <t>0158</t>
  </si>
  <si>
    <t>RIMROCK JR-SR HIGH SCHOOL</t>
  </si>
  <si>
    <t>0801</t>
  </si>
  <si>
    <t>BRUNEAU ELEMENTARY SCHOOL</t>
  </si>
  <si>
    <t>0802</t>
  </si>
  <si>
    <t>GRAND VIEW ELEMENTARY SCHOOL</t>
  </si>
  <si>
    <t>3365</t>
  </si>
  <si>
    <t>ADMINISTRATION BUILDING BRUNEAU-GRAND VIEW JOINT SCHOOL DISTRICT</t>
  </si>
  <si>
    <t>412</t>
  </si>
  <si>
    <t>BUHL JOINT DISTRICT</t>
  </si>
  <si>
    <t>0179</t>
  </si>
  <si>
    <t>BUHL MIDDLE SCHOOL</t>
  </si>
  <si>
    <t>0180</t>
  </si>
  <si>
    <t>BUHL HIGH SCHOOL</t>
  </si>
  <si>
    <t>0830</t>
  </si>
  <si>
    <t>POPPLEWELL ELEMENTARY SCHOOL</t>
  </si>
  <si>
    <t>1214</t>
  </si>
  <si>
    <t>BUHL SCHOOL DISTRICT ALTERNATIVE SCHOOL SUMMER</t>
  </si>
  <si>
    <t>1403</t>
  </si>
  <si>
    <t>WAKAPA ACADEMY</t>
  </si>
  <si>
    <t>3412</t>
  </si>
  <si>
    <t>ADMINISTRATION BUILDING BUHL JOINT DISTRICT</t>
  </si>
  <si>
    <t>BUTTE COUNTY JOINT DISTRICT</t>
  </si>
  <si>
    <t>0058</t>
  </si>
  <si>
    <t>BUTTE COUNTY MIDDLE SCHOOL</t>
  </si>
  <si>
    <t>0059</t>
  </si>
  <si>
    <t>BUTTE COUNTY HIGH SCHOOL</t>
  </si>
  <si>
    <t>0438</t>
  </si>
  <si>
    <t>HOWE ELEMENTARY SCHOOL</t>
  </si>
  <si>
    <t>0439</t>
  </si>
  <si>
    <t>ARCO ELEMENTARY SCHOOL</t>
  </si>
  <si>
    <t>0629</t>
  </si>
  <si>
    <t>BUTTE COUNTY SUMMER SCHOOL</t>
  </si>
  <si>
    <t>3111</t>
  </si>
  <si>
    <t>ADMINISTRATION BUILDING BUTTE COUNTY JOINT DISTRICT</t>
  </si>
  <si>
    <t>132</t>
  </si>
  <si>
    <t>CALDWELL DISTRICT</t>
  </si>
  <si>
    <t>0064</t>
  </si>
  <si>
    <t>JEFFERSON MIDDLE SCHOOL</t>
  </si>
  <si>
    <t>0065</t>
  </si>
  <si>
    <t>CALDWELL SENIOR HIGH SCHOOL</t>
  </si>
  <si>
    <t>0076</t>
  </si>
  <si>
    <t>LEWIS AND CLARK ELEMENTARY</t>
  </si>
  <si>
    <t>0281</t>
  </si>
  <si>
    <t>SYRINGA MIDDLE SCHOOL</t>
  </si>
  <si>
    <t>0289</t>
  </si>
  <si>
    <t>WILSON ELEMENTARY SCHOOL</t>
  </si>
  <si>
    <t>0448</t>
  </si>
  <si>
    <t>0449</t>
  </si>
  <si>
    <t>LINCOLN ELEMENTARY SCHOOL</t>
  </si>
  <si>
    <t>0451</t>
  </si>
  <si>
    <t>VAN BUREN ELEMENTARY SCHOOL</t>
  </si>
  <si>
    <t>0457</t>
  </si>
  <si>
    <t>SACAJAWEA ELEMENTARY SCHOOL</t>
  </si>
  <si>
    <t>SOUTHWEST IDAHO JUVENILE DET</t>
  </si>
  <si>
    <t>1090</t>
  </si>
  <si>
    <t>CANYON SPRINGS ALT HIGH SCHOOL</t>
  </si>
  <si>
    <t>1125</t>
  </si>
  <si>
    <t>CANYON SPRINGS SUMMER ALTERNATIVE</t>
  </si>
  <si>
    <t>1179</t>
  </si>
  <si>
    <t>SOUTHWEST ID JUVENILE DETENTION-SUMMER</t>
  </si>
  <si>
    <t>3132</t>
  </si>
  <si>
    <t>ADMINISTRATION BUILDING CALDWELL DISTRICT</t>
  </si>
  <si>
    <t>CAMAS COUNTY DISTRICT</t>
  </si>
  <si>
    <t>0060</t>
  </si>
  <si>
    <t>CAMAS COUNTY HIGH SCHOOL</t>
  </si>
  <si>
    <t>0440</t>
  </si>
  <si>
    <t>CAMAS COUNTY ELEM/JR HIGH SCHOOL</t>
  </si>
  <si>
    <t>3009</t>
  </si>
  <si>
    <t>ADMINISTRATION BUILDING CAMAS COUNTY DISTRICT</t>
  </si>
  <si>
    <t>432</t>
  </si>
  <si>
    <t>CAMBRIDGE JOINT DISTRICT</t>
  </si>
  <si>
    <t>0193</t>
  </si>
  <si>
    <t>CAMBRIDGE JR-SR HIGH SCHOOL</t>
  </si>
  <si>
    <t>0841</t>
  </si>
  <si>
    <t>CAMBRIDGE ELEMENTARY SCHOOL</t>
  </si>
  <si>
    <t>4432</t>
  </si>
  <si>
    <t>ADMINISTRATION BUILDING CAMBRIDGE JOINT DISTRICT</t>
  </si>
  <si>
    <t>555</t>
  </si>
  <si>
    <t>CANYON-OWYHEE SCHOOL SERVICE AGENCY (COSSA)</t>
  </si>
  <si>
    <t>1291</t>
  </si>
  <si>
    <t>COSSA ACADEMY</t>
  </si>
  <si>
    <t>1292</t>
  </si>
  <si>
    <t>COSSA ACADEMY ALTERNATIVE SUMMER SCHOOL</t>
  </si>
  <si>
    <t>1293</t>
  </si>
  <si>
    <t>ADMINISTRATION BUILDING COSSA</t>
  </si>
  <si>
    <t>9512</t>
  </si>
  <si>
    <t>COSSA REGIONAL TECHNOLOGY &amp; EDUCATIONAL CENTER (CRTEC)</t>
  </si>
  <si>
    <t>566</t>
  </si>
  <si>
    <t>CARDINAL ACADEMY INCORPORATED</t>
  </si>
  <si>
    <t>1462</t>
  </si>
  <si>
    <t>CARDINAL ACADEMY</t>
  </si>
  <si>
    <t>422</t>
  </si>
  <si>
    <t>CASCADE DISTRICT</t>
  </si>
  <si>
    <t>0190</t>
  </si>
  <si>
    <t>CASCADE JR-SR HIGH SCHOOL</t>
  </si>
  <si>
    <t>0838</t>
  </si>
  <si>
    <t>CASCADE ELEMENTARY SCHOOL</t>
  </si>
  <si>
    <t>3422</t>
  </si>
  <si>
    <t>ADMINISTRATION BUILDING CASCADE DISTRICT</t>
  </si>
  <si>
    <t>151</t>
  </si>
  <si>
    <t>CASSIA COUNTY JOINT DISTRICT</t>
  </si>
  <si>
    <t>0080</t>
  </si>
  <si>
    <t>BURLEY JUNIOR HIGH SCHOOL</t>
  </si>
  <si>
    <t>0081</t>
  </si>
  <si>
    <t>BURLEY SENIOR HIGH SCHOOL</t>
  </si>
  <si>
    <t>0082</t>
  </si>
  <si>
    <t>OAKLEY JR-SR HIGH SCHOOL</t>
  </si>
  <si>
    <t>0083</t>
  </si>
  <si>
    <t>RAFT RIVER JR-SR HIGH SCHOOL</t>
  </si>
  <si>
    <t>0084</t>
  </si>
  <si>
    <t>DECLO SENIOR HIGH SCHOOL</t>
  </si>
  <si>
    <t>0216</t>
  </si>
  <si>
    <t>WHITE PINE ELEMENTARY</t>
  </si>
  <si>
    <t>0238</t>
  </si>
  <si>
    <t>PRESCHOOL CENTER</t>
  </si>
  <si>
    <t>0262</t>
  </si>
  <si>
    <t>CASSIA JR/SR HIGH SCHOOL SUMMER ALTERNATIVE</t>
  </si>
  <si>
    <t>0292</t>
  </si>
  <si>
    <t>DECLO JR HIGH SCHOOL</t>
  </si>
  <si>
    <t>0468</t>
  </si>
  <si>
    <t>ALMO ELEMENTARY SCHOOL</t>
  </si>
  <si>
    <t>0469</t>
  </si>
  <si>
    <t>DECLO ELEMENTARY SCHOOL</t>
  </si>
  <si>
    <t>0470</t>
  </si>
  <si>
    <t>MOUNTAIN VIEW ELEMENTARY</t>
  </si>
  <si>
    <t>0471</t>
  </si>
  <si>
    <t>RAFT RIVER ELEMENTARY SCHOOL</t>
  </si>
  <si>
    <t>0473</t>
  </si>
  <si>
    <t>OAKLEY ELEMENTARY SCHOOL</t>
  </si>
  <si>
    <t>0474</t>
  </si>
  <si>
    <t>DWORSHAK ELEMENTARY SCHOOL</t>
  </si>
  <si>
    <t>0475</t>
  </si>
  <si>
    <t>ALBION ELEMENTARY SCHOOL</t>
  </si>
  <si>
    <t>0568</t>
  </si>
  <si>
    <t>CASSIA REGIONALTECHNICAL CTR</t>
  </si>
  <si>
    <t>0990</t>
  </si>
  <si>
    <t>CASSIA JR/SR HIGH SCHOOL ALTERNATIVE</t>
  </si>
  <si>
    <t>1377</t>
  </si>
  <si>
    <t>CASSIA COUNTY DAY TREATMENT CENTER</t>
  </si>
  <si>
    <t>1395</t>
  </si>
  <si>
    <t>JOHN V EVANS ELEMENTARY</t>
  </si>
  <si>
    <t>1441</t>
  </si>
  <si>
    <t>MINI-CASSIA ONLINE LEARNING ACADEMY</t>
  </si>
  <si>
    <t>3151</t>
  </si>
  <si>
    <t>ADMINISTRATION BUILDING CASSIA COUNTY JOINT DISTRICT</t>
  </si>
  <si>
    <t>417</t>
  </si>
  <si>
    <t>CASTLEFORD DISTRICT</t>
  </si>
  <si>
    <t>0185</t>
  </si>
  <si>
    <t>CASTLEFORD SCHOOL</t>
  </si>
  <si>
    <t>3417</t>
  </si>
  <si>
    <t>ADMINISTRATION BUILDING CASTLEFORD DISTRICT</t>
  </si>
  <si>
    <t>181</t>
  </si>
  <si>
    <t>CHALLIS JOINT DISTRICT</t>
  </si>
  <si>
    <t>0089</t>
  </si>
  <si>
    <t>CHALLIS JR-SR HIGH SCHOOL</t>
  </si>
  <si>
    <t>0486</t>
  </si>
  <si>
    <t>STANLEY ELEM-JR HIGH SCHOOL</t>
  </si>
  <si>
    <t>0487</t>
  </si>
  <si>
    <t>PATTERSON ELEMENTARY SCHOOL</t>
  </si>
  <si>
    <t>0489</t>
  </si>
  <si>
    <t>CHALLIS ELEMENTARY SCHOOL</t>
  </si>
  <si>
    <t>3181</t>
  </si>
  <si>
    <t>ADMINISTRATION BUILDING CHALLIS JOINT DISTRICT</t>
  </si>
  <si>
    <t>483</t>
  </si>
  <si>
    <t>CHIEF TAHGEE ELEMENTARY ACADEMY, INC.</t>
  </si>
  <si>
    <t>1347</t>
  </si>
  <si>
    <t>CHIEF TAHGEE ELEMENTARY ACADEMY</t>
  </si>
  <si>
    <t>161</t>
  </si>
  <si>
    <t>CLARK COUNTY DISTRICT</t>
  </si>
  <si>
    <t>0085</t>
  </si>
  <si>
    <t>CLARK COUNTY JR-SR HIGH SCHOOL</t>
  </si>
  <si>
    <t>0478</t>
  </si>
  <si>
    <t>LINDY ROSS ELEMENTARY SCHOOL</t>
  </si>
  <si>
    <t>491</t>
  </si>
  <si>
    <t>COEUR D'ALENE CHARTER ACADEMY, INC.</t>
  </si>
  <si>
    <t>1370</t>
  </si>
  <si>
    <t>COEUR D'ALENE CHARTER ACADEMY SCHOOL</t>
  </si>
  <si>
    <t>COEUR D'ALENE DISTRICT</t>
  </si>
  <si>
    <t>CANFIELD MIDDLE SCHOOL</t>
  </si>
  <si>
    <t>0121</t>
  </si>
  <si>
    <t>LAKES MAGNET SCHOOL</t>
  </si>
  <si>
    <t>0122</t>
  </si>
  <si>
    <t>COEUR D'ALENE HIGH SCHOOL</t>
  </si>
  <si>
    <t>0217</t>
  </si>
  <si>
    <t>SKYWAY ELEMENTARY SCHOOL</t>
  </si>
  <si>
    <t>0220</t>
  </si>
  <si>
    <t>LAKE CITY HIGH SCHOOL</t>
  </si>
  <si>
    <t>0246</t>
  </si>
  <si>
    <t>WOODLAND MIDDLE SCHOOL</t>
  </si>
  <si>
    <t>0506</t>
  </si>
  <si>
    <t>HAYDEN MEADOWS ELEMENTARY SCH</t>
  </si>
  <si>
    <t>0514</t>
  </si>
  <si>
    <t>FERNAN STEM ACADEMY</t>
  </si>
  <si>
    <t>0735</t>
  </si>
  <si>
    <t>BORAH ELEMENTARY SCHOOL</t>
  </si>
  <si>
    <t>0738</t>
  </si>
  <si>
    <t>RAMSEY MAGNET SCHOOL OF SCIENCE</t>
  </si>
  <si>
    <t>0739</t>
  </si>
  <si>
    <t>DALTON ELEMENTARY SCHOOL</t>
  </si>
  <si>
    <t>0740</t>
  </si>
  <si>
    <t>ATLAS ELEMENTARY SCHOOL</t>
  </si>
  <si>
    <t>0741</t>
  </si>
  <si>
    <t>BRYAN ELEMENTARY SCHOOL</t>
  </si>
  <si>
    <t>0742</t>
  </si>
  <si>
    <t>SORENSEN MAGNET SCHOOL OF THE ARTS AND HUMANITIES</t>
  </si>
  <si>
    <t>0743</t>
  </si>
  <si>
    <t>WINTON ELEMENTARY SCHOOL</t>
  </si>
  <si>
    <t>1037</t>
  </si>
  <si>
    <t>VENTURE HIGH SCHOOL ALTERNATIVE</t>
  </si>
  <si>
    <t>1038</t>
  </si>
  <si>
    <t>CDA JUVENILE DETENTION CENTER</t>
  </si>
  <si>
    <t>1129</t>
  </si>
  <si>
    <t>VENTURE HIGH SCHOOL SUMMER ALTERNATIVE</t>
  </si>
  <si>
    <t>1180</t>
  </si>
  <si>
    <t>CDA JUVENILE DETETENTION-SUMMER</t>
  </si>
  <si>
    <t>1396</t>
  </si>
  <si>
    <t>NORTHWEST EXPEDITION ACADEMY</t>
  </si>
  <si>
    <t>1470</t>
  </si>
  <si>
    <t>K12 MAGNET SCHOOL</t>
  </si>
  <si>
    <t>3271</t>
  </si>
  <si>
    <t>ADMINISTRATION BUILDING COEUR D'ALENE DISTRICT</t>
  </si>
  <si>
    <t>455</t>
  </si>
  <si>
    <t>COMPASS PUBLIC CHARTER SCHOOL, INC.</t>
  </si>
  <si>
    <t>0575</t>
  </si>
  <si>
    <t>COMPASS PUBLIC CHARTER SCHOOL</t>
  </si>
  <si>
    <t>1379</t>
  </si>
  <si>
    <t>COMPASS PUBLIC CHARTER SCHOOL JR./SR. HIGH</t>
  </si>
  <si>
    <t>COTTONWOOD JOINT DISTRICT</t>
  </si>
  <si>
    <t>0111</t>
  </si>
  <si>
    <t>PRAIRIE JR-SR HIGH SCHOOL</t>
  </si>
  <si>
    <t>0722</t>
  </si>
  <si>
    <t>PRAIRIE ELEMENTARY SCHOOL</t>
  </si>
  <si>
    <t>3019</t>
  </si>
  <si>
    <t>ADMINISTRATION BUILDING COTTONWOOD JOINT DISTRICT</t>
  </si>
  <si>
    <t>013</t>
  </si>
  <si>
    <t>COUNCIL DISTRICT</t>
  </si>
  <si>
    <t>0017</t>
  </si>
  <si>
    <t>COUNCIL JR-SR HIGH SCHOOL</t>
  </si>
  <si>
    <t>0348</t>
  </si>
  <si>
    <t>COUNCIL ELEMENTARY SCHOOL</t>
  </si>
  <si>
    <t>3005</t>
  </si>
  <si>
    <t>ADMINISTRATION BUILDING COUNCIL DISTRICT</t>
  </si>
  <si>
    <t>342</t>
  </si>
  <si>
    <t>CULDESAC JOINT DISTRICT</t>
  </si>
  <si>
    <t>0795</t>
  </si>
  <si>
    <t>CULDESAC SCHOOL</t>
  </si>
  <si>
    <t>3342</t>
  </si>
  <si>
    <t>ADMINISTRATION BUILDING CULDESAC JOINT DISTRICT</t>
  </si>
  <si>
    <t>314</t>
  </si>
  <si>
    <t>DIETRICH DISTRICT</t>
  </si>
  <si>
    <t>0143</t>
  </si>
  <si>
    <t>DIETRICH SCHOOL</t>
  </si>
  <si>
    <t>3314</t>
  </si>
  <si>
    <t>ADMINISTRATION BUILDING DIETRICH DISTRICT</t>
  </si>
  <si>
    <t>550</t>
  </si>
  <si>
    <t>DORAL ACADEMY OF IDAHO, INC.</t>
  </si>
  <si>
    <t>1443</t>
  </si>
  <si>
    <t>DORAL ACADEMY OF IDAHO</t>
  </si>
  <si>
    <t>523</t>
  </si>
  <si>
    <t>ELEVATE ACADEMY INC.</t>
  </si>
  <si>
    <t>1420</t>
  </si>
  <si>
    <t>ELEVATE ACADEMY</t>
  </si>
  <si>
    <t>1457</t>
  </si>
  <si>
    <t>ELEVATE ACADEMY (SUMMER)</t>
  </si>
  <si>
    <t>575</t>
  </si>
  <si>
    <t>ELEVATE ACADEMY NAMPA, LLC</t>
  </si>
  <si>
    <t>1473</t>
  </si>
  <si>
    <t>ELEVATE ACADEMY NAMPA</t>
  </si>
  <si>
    <t>574</t>
  </si>
  <si>
    <t>ELEVATE ACADEMY NORTH, LLC</t>
  </si>
  <si>
    <t>1471</t>
  </si>
  <si>
    <t>ELEVATE ACADEMY NORTH</t>
  </si>
  <si>
    <t>221</t>
  </si>
  <si>
    <t>EMMETT INDEPENDENT DIST</t>
  </si>
  <si>
    <t>0101</t>
  </si>
  <si>
    <t>EMMETT HIGH SCHOOL</t>
  </si>
  <si>
    <t>0224</t>
  </si>
  <si>
    <t>EMMETT MIDDLE SCHOOL</t>
  </si>
  <si>
    <t>0230</t>
  </si>
  <si>
    <t>KENNETH J. CARBERRY ELEMENTARY</t>
  </si>
  <si>
    <t>0251</t>
  </si>
  <si>
    <t>SHADOW BUTTE ELEMENTARY SCHOOL</t>
  </si>
  <si>
    <t>0707</t>
  </si>
  <si>
    <t>SWEET MONTOUR ELEMENTARY SCHOOL</t>
  </si>
  <si>
    <t>0710</t>
  </si>
  <si>
    <t>OLA ELEMENTARY SCHOOL</t>
  </si>
  <si>
    <t>1127</t>
  </si>
  <si>
    <t>BLACK CANYON HIGH SCHOOL SUMMER ALTERNATIVE</t>
  </si>
  <si>
    <t>1213</t>
  </si>
  <si>
    <t>PATRIOT CENTER SUMMER ALTERNATIVE</t>
  </si>
  <si>
    <t>1265</t>
  </si>
  <si>
    <t>BLACK CANYON JR/SR HIGH SCHOOL</t>
  </si>
  <si>
    <t>3221</t>
  </si>
  <si>
    <t>ADMINISTRATION BUILDING EMMETT INDEPENDENT DIST</t>
  </si>
  <si>
    <t>456</t>
  </si>
  <si>
    <t>FALCON RIDGE PUBLIC CHARTER SCHOOL, INC.</t>
  </si>
  <si>
    <t>0576</t>
  </si>
  <si>
    <t>FALCON RIDGE PUBLIC CHARTER</t>
  </si>
  <si>
    <t>FERN-WATERS PUBLIC CHARTER SCHOOL, INC.</t>
  </si>
  <si>
    <t>1423</t>
  </si>
  <si>
    <t>FERN-WATERS PUBLIC CHARTER SCHOOL</t>
  </si>
  <si>
    <t>413</t>
  </si>
  <si>
    <t>FILER DISTRICT</t>
  </si>
  <si>
    <t>0181</t>
  </si>
  <si>
    <t>FILER HIGH SCHOOL</t>
  </si>
  <si>
    <t>0196</t>
  </si>
  <si>
    <t>FILER MIDDLE SCHOOL</t>
  </si>
  <si>
    <t>0831</t>
  </si>
  <si>
    <t>FILER ELEMENTARY SCHOOL</t>
  </si>
  <si>
    <t>0832</t>
  </si>
  <si>
    <t>HOLLISTER ELEMENTARY SCHOOL</t>
  </si>
  <si>
    <t>1244</t>
  </si>
  <si>
    <t xml:space="preserve">FILER INTERMEDIATE SCHOOL    </t>
  </si>
  <si>
    <t>3031</t>
  </si>
  <si>
    <t>ADMINISTRATION BUILDING FILER DISTRICT</t>
  </si>
  <si>
    <t>059</t>
  </si>
  <si>
    <t>FIRTH DISTRICT</t>
  </si>
  <si>
    <t>0038</t>
  </si>
  <si>
    <t>FIRTH HIGH SCHOOL</t>
  </si>
  <si>
    <t>0155</t>
  </si>
  <si>
    <t>FIRTH MIDDLE SCHOOL</t>
  </si>
  <si>
    <t>0390</t>
  </si>
  <si>
    <t>A W JOHNSON ELEMENTARY SCHOOL</t>
  </si>
  <si>
    <t>3059</t>
  </si>
  <si>
    <t>ADMINISTRATION BUILDING FIRTH DISTRICT</t>
  </si>
  <si>
    <t>528</t>
  </si>
  <si>
    <t>FORGE INTERNATIONAL, LLC</t>
  </si>
  <si>
    <t>1422</t>
  </si>
  <si>
    <t>FORGE INTERNATIONAL SCHOOL</t>
  </si>
  <si>
    <t>215</t>
  </si>
  <si>
    <t>FREMONT COUNTY JOINT DISTRICT</t>
  </si>
  <si>
    <t>0098</t>
  </si>
  <si>
    <t>SOUTH FREMONT JR HIGH</t>
  </si>
  <si>
    <t>SOUTH FREMONT HIGH SCHOOL</t>
  </si>
  <si>
    <t>0100</t>
  </si>
  <si>
    <t>NORTH FREMONT JR-SR HIGH SCHOOL</t>
  </si>
  <si>
    <t>0290</t>
  </si>
  <si>
    <t>HENRYS FORK ELEMENTARY</t>
  </si>
  <si>
    <t>0700</t>
  </si>
  <si>
    <t>PARKER-EGIN ELEMENTARY SCHOOL</t>
  </si>
  <si>
    <t>0701</t>
  </si>
  <si>
    <t>ASHTON ELEMENTARY SCHOOL</t>
  </si>
  <si>
    <t>0703</t>
  </si>
  <si>
    <t>TETON ELEMENTARY SCHOOL</t>
  </si>
  <si>
    <t>1271</t>
  </si>
  <si>
    <t>FIVE-COUNTY DETENTION CENTER</t>
  </si>
  <si>
    <t>1276</t>
  </si>
  <si>
    <t>3215</t>
  </si>
  <si>
    <t>ADMINISTRATION BUILDING FREMONT COUNTY JOINT DISTRICT</t>
  </si>
  <si>
    <t>373</t>
  </si>
  <si>
    <t>FRUITLAND DISTRICT</t>
  </si>
  <si>
    <t>0165</t>
  </si>
  <si>
    <t>FRUITLAND MIDDLE SCHOOL</t>
  </si>
  <si>
    <t>0166</t>
  </si>
  <si>
    <t>FRUITLAND HIGH SCHOOL</t>
  </si>
  <si>
    <t>0807</t>
  </si>
  <si>
    <t>FRUITLAND ELEMENTARY SCHOOL</t>
  </si>
  <si>
    <t>1089</t>
  </si>
  <si>
    <t>FRUITLAND PREPARATORY ACADEMY SUMMER ALTERNATIVE</t>
  </si>
  <si>
    <t>1332</t>
  </si>
  <si>
    <t>FRUITLAND PREPARATORY ACADEMY ALTERNATIVE</t>
  </si>
  <si>
    <t>3373</t>
  </si>
  <si>
    <t>ADMINISTRATION BUILDING FRUITLAND DISTRICT</t>
  </si>
  <si>
    <t>499</t>
  </si>
  <si>
    <t>FUTURE PUBLIC SCHOOOL, INC.</t>
  </si>
  <si>
    <t>1410</t>
  </si>
  <si>
    <t>FUTURE PUBLIC SCHOOOL</t>
  </si>
  <si>
    <t>071</t>
  </si>
  <si>
    <t>GARDEN VALLEY DISTRICT</t>
  </si>
  <si>
    <t>0274</t>
  </si>
  <si>
    <t>GARDEN VALLEY SCHOOL</t>
  </si>
  <si>
    <t>0398</t>
  </si>
  <si>
    <t>LOWMAN ELEMENTARY SCHOOL</t>
  </si>
  <si>
    <t>3006</t>
  </si>
  <si>
    <t>ADMINISTRATION BUILDING GARDEN VALLEY DISTRICT</t>
  </si>
  <si>
    <t>498</t>
  </si>
  <si>
    <t>GEM PREP: MERIDIAN, LLC</t>
  </si>
  <si>
    <t>1409</t>
  </si>
  <si>
    <t>GEM PREP: MERIDIAN</t>
  </si>
  <si>
    <t>549</t>
  </si>
  <si>
    <t>GEM PREP: MERIDIAN NORTH, LLC</t>
  </si>
  <si>
    <t>1442</t>
  </si>
  <si>
    <t>GEM PREP: MERIDIAN NORTH</t>
  </si>
  <si>
    <t>571</t>
  </si>
  <si>
    <t>GEM PREP: MERIDIAN SOUTH, LLC</t>
  </si>
  <si>
    <t>1463</t>
  </si>
  <si>
    <t>GEM PREP: MERIDIAN SOUTH</t>
  </si>
  <si>
    <t>796</t>
  </si>
  <si>
    <t>GEM PREP: NAMPA, LLC</t>
  </si>
  <si>
    <t>1386</t>
  </si>
  <si>
    <t>GEM PREP: NAMPA</t>
  </si>
  <si>
    <t>534</t>
  </si>
  <si>
    <t>GEM PREP: ONLINE LLC</t>
  </si>
  <si>
    <t>1426</t>
  </si>
  <si>
    <t>GEM PREP: ONLINE SCHOOL</t>
  </si>
  <si>
    <t>496</t>
  </si>
  <si>
    <t xml:space="preserve">GEM PREP: POCATELLO, LLC </t>
  </si>
  <si>
    <t>1376</t>
  </si>
  <si>
    <t>GEM PREP: POCATELLO SCHOOL</t>
  </si>
  <si>
    <t>GENESEE JOINT DISTRICT</t>
  </si>
  <si>
    <t>0269</t>
  </si>
  <si>
    <t>GENESEE SCHOOL</t>
  </si>
  <si>
    <t>ADMINISTRATION BUILDING GENESEE JOINT DISTRICT</t>
  </si>
  <si>
    <t>192</t>
  </si>
  <si>
    <t>GLENNS FERRY JOINT DISTRICT</t>
  </si>
  <si>
    <t>0092</t>
  </si>
  <si>
    <t>GLENNS FERRY HIGH SCHOOL</t>
  </si>
  <si>
    <t>0241</t>
  </si>
  <si>
    <t>GLENNS FERRY MIDDLE SCHOOL</t>
  </si>
  <si>
    <t>0492</t>
  </si>
  <si>
    <t>GLENNS FERRY ELEMENTARY SCHOOL</t>
  </si>
  <si>
    <t>3016</t>
  </si>
  <si>
    <t>ADMINISTRATION BUILDING GLENNS FERRY JOINT DISTRICT</t>
  </si>
  <si>
    <t>GOODING JOINT DISTRICT</t>
  </si>
  <si>
    <t>0102</t>
  </si>
  <si>
    <t>GOODING MIDDLE SCHOOL</t>
  </si>
  <si>
    <t>0103</t>
  </si>
  <si>
    <t>GOODING HIGH SCHOOL</t>
  </si>
  <si>
    <t>0711</t>
  </si>
  <si>
    <t>GOODING ELEMENTARY SCHOOL</t>
  </si>
  <si>
    <t>0621</t>
  </si>
  <si>
    <t>GOODING ALTERNATIVE SUMMER</t>
  </si>
  <si>
    <t>3231</t>
  </si>
  <si>
    <t>ADMINISTRATION BUILDING GOODING JOINT DISTRICT</t>
  </si>
  <si>
    <t>148</t>
  </si>
  <si>
    <t>GRACE JOINT DISTRICT</t>
  </si>
  <si>
    <t>0245</t>
  </si>
  <si>
    <t>GRACE JR/SR HIGH SCHOOL</t>
  </si>
  <si>
    <t>1475</t>
  </si>
  <si>
    <t>BLACK CANYON ELEMENTARY SCHOOL</t>
  </si>
  <si>
    <t>3012</t>
  </si>
  <si>
    <t>ADMINISTRATION BUILDING GRACE JOINT DISTRICT</t>
  </si>
  <si>
    <t>HAGERMAN JOINT DISTRICT</t>
  </si>
  <si>
    <t>0280</t>
  </si>
  <si>
    <t>HAGERMAN SCHOOL</t>
  </si>
  <si>
    <t>1456</t>
  </si>
  <si>
    <t>HAGERMAN VIRTUAL SCHOOL</t>
  </si>
  <si>
    <t>1477</t>
  </si>
  <si>
    <t>HAGERMAN SCHOOL DISTRICT SUMMER ALTERNATIVE</t>
  </si>
  <si>
    <t>3017</t>
  </si>
  <si>
    <t>ADMINISTRATION BUILDING HAGERMAN JOINT DISTRICT</t>
  </si>
  <si>
    <t>415</t>
  </si>
  <si>
    <t>HANSEN DISTRICT</t>
  </si>
  <si>
    <t>0620</t>
  </si>
  <si>
    <t>HANSEN JR/SR HIGH SCHOOL</t>
  </si>
  <si>
    <t>0834</t>
  </si>
  <si>
    <t>HANSEN ELEMENTARY SCHOOL</t>
  </si>
  <si>
    <t>3034</t>
  </si>
  <si>
    <t>ADMINISTRATION BUILDING HANSEN DISTRICT</t>
  </si>
  <si>
    <t>508</t>
  </si>
  <si>
    <t>HAYDEN CANYON CHARTER SCHOOL, INC.</t>
  </si>
  <si>
    <t>1411</t>
  </si>
  <si>
    <t>HAYDEN CANYON CHARTER SCHOOL</t>
  </si>
  <si>
    <t>479</t>
  </si>
  <si>
    <t>HERITAGE ACADEMY DISTRICT</t>
  </si>
  <si>
    <t>1341</t>
  </si>
  <si>
    <t>HERITAGE ACADEMY</t>
  </si>
  <si>
    <t>481</t>
  </si>
  <si>
    <t>HERITAGE COMMUNITY CHARTER SCHOOL, INC.</t>
  </si>
  <si>
    <t>1343</t>
  </si>
  <si>
    <t>HERITAGE COMMUNITY CHARTER</t>
  </si>
  <si>
    <t>305</t>
  </si>
  <si>
    <t>HIGHLAND JOINT DISTRICT</t>
  </si>
  <si>
    <t>0285</t>
  </si>
  <si>
    <t>HIGHLAND SCHOOL</t>
  </si>
  <si>
    <t>3305</t>
  </si>
  <si>
    <t>ADMINISTRATION BUILDING HIGHLAND JOINT DISTRICT</t>
  </si>
  <si>
    <t>370</t>
  </si>
  <si>
    <t>HOMEDALE JOINT DISTRICT</t>
  </si>
  <si>
    <t>0160</t>
  </si>
  <si>
    <t>HOMEDALE HIGH SCHOOL</t>
  </si>
  <si>
    <t>0260</t>
  </si>
  <si>
    <t>HOMEDALE MIDDLE SCHOOL</t>
  </si>
  <si>
    <t>0803</t>
  </si>
  <si>
    <t>HOMEDALE ELEMENTARY SCHOOL</t>
  </si>
  <si>
    <t>1059</t>
  </si>
  <si>
    <t>COSSA</t>
  </si>
  <si>
    <t>3370</t>
  </si>
  <si>
    <t>ADMINISTRATION BUILDING HOMEDALE JOINT DISTRICT</t>
  </si>
  <si>
    <t>073</t>
  </si>
  <si>
    <t>HORSESHOE BEND SCHOOL DISTRICT</t>
  </si>
  <si>
    <t>0256</t>
  </si>
  <si>
    <t>HORSESHOE BEND ELEMENTARY</t>
  </si>
  <si>
    <t>0278</t>
  </si>
  <si>
    <t>HORSESHOE BEND MIDDLE-SR HIGH</t>
  </si>
  <si>
    <t>3008</t>
  </si>
  <si>
    <t>ADMINISTRATION BUILDING HORSESHOE BEND SCHOOL DISTRICT</t>
  </si>
  <si>
    <t>795</t>
  </si>
  <si>
    <t>IDAHO ARTS CHARTER SCHOOL, INC.</t>
  </si>
  <si>
    <t>0577</t>
  </si>
  <si>
    <t>IDAHO ARTS CHARTER SCHOOL</t>
  </si>
  <si>
    <t>596</t>
  </si>
  <si>
    <t>IDAHO BUREAU OF EDUCATIONAL SERVICES FOR THE DEAF AND THE BLIND</t>
  </si>
  <si>
    <t>3596</t>
  </si>
  <si>
    <t>ADMINISTRATION BUILDING IDAHO BUREAU OF EDUCATIONAL SERVICES FOR THE DEAF AND THE BLIND</t>
  </si>
  <si>
    <t>489</t>
  </si>
  <si>
    <t>IDAHO COLLEGE AND CAREER READINESS ACADEMY, INC.</t>
  </si>
  <si>
    <t>1368</t>
  </si>
  <si>
    <t>IDAHO TECHNICAL CAREER ACADEMY</t>
  </si>
  <si>
    <t>709</t>
  </si>
  <si>
    <t>IDAHO DEPARTMENT OF JUVENILE CORRECTIONS</t>
  </si>
  <si>
    <t>1030</t>
  </si>
  <si>
    <t>JCC-ST. ANTHONY</t>
  </si>
  <si>
    <t>1074</t>
  </si>
  <si>
    <t>JCC-LEWISTON</t>
  </si>
  <si>
    <t>1169</t>
  </si>
  <si>
    <t>JCC-NAMPA</t>
  </si>
  <si>
    <t>671</t>
  </si>
  <si>
    <t>IDAHO DEPT CORRECTION</t>
  </si>
  <si>
    <t>0671</t>
  </si>
  <si>
    <t>IDAHO STATE PENITENTIARY</t>
  </si>
  <si>
    <t>771</t>
  </si>
  <si>
    <t>Idaho Digital Learning Academy</t>
  </si>
  <si>
    <t>1082</t>
  </si>
  <si>
    <t>IDLA School</t>
  </si>
  <si>
    <t>IDAHO DISTANCE EDUCATION ACADEMY, INC</t>
  </si>
  <si>
    <t>1369</t>
  </si>
  <si>
    <t>IDAHO DISTANCE EDUCATION ACADEMY</t>
  </si>
  <si>
    <t>091</t>
  </si>
  <si>
    <t>IDAHO FALLS DISTRICT</t>
  </si>
  <si>
    <t>0050</t>
  </si>
  <si>
    <t>EAGLE ROCK MIDDLE SCHOOL</t>
  </si>
  <si>
    <t>0053</t>
  </si>
  <si>
    <t>SKYLINE SENIOR HIGH SCHOOL</t>
  </si>
  <si>
    <t>0054</t>
  </si>
  <si>
    <t>IDAHO FALLS SENIOR HIGH SCHOOL</t>
  </si>
  <si>
    <t>0199</t>
  </si>
  <si>
    <t>TAYLORVIEW MIDDLE SCHOOL</t>
  </si>
  <si>
    <t>0412</t>
  </si>
  <si>
    <t>0413</t>
  </si>
  <si>
    <t>0414</t>
  </si>
  <si>
    <t>TEMPLE VIEW ELEMENTARY SCHOOL</t>
  </si>
  <si>
    <t>0415</t>
  </si>
  <si>
    <t>A H BUSH ELEMENTARY SCHOOL</t>
  </si>
  <si>
    <t>0416</t>
  </si>
  <si>
    <t>EDGEMONT GARDENS ELEMENTARY</t>
  </si>
  <si>
    <t>0419</t>
  </si>
  <si>
    <t>THERESA BUNKER ELEMENTARY</t>
  </si>
  <si>
    <t>0420</t>
  </si>
  <si>
    <t>ETHEL BOYES ELEMENTARY SCHOOL</t>
  </si>
  <si>
    <t>0421</t>
  </si>
  <si>
    <t>WESTSIDE ELEMENTARY SCHOOL</t>
  </si>
  <si>
    <t>0422</t>
  </si>
  <si>
    <t>DORA ERICKSON ELEM SCHOOL</t>
  </si>
  <si>
    <t>0423</t>
  </si>
  <si>
    <t>LINDEN PARK ELEMENTARY SCHOOL</t>
  </si>
  <si>
    <t>0566</t>
  </si>
  <si>
    <t>CAREER &amp; TECHNICAL EDUCATION CENTER</t>
  </si>
  <si>
    <t>0667</t>
  </si>
  <si>
    <t>FOXHOLLOW ELEMENTARY SCHOOL</t>
  </si>
  <si>
    <t>0668</t>
  </si>
  <si>
    <t>SUNNYSIDE ELEMENTARY SCHOOL</t>
  </si>
  <si>
    <t>1048</t>
  </si>
  <si>
    <t>EMERSON HIGH SCHOOL ALTERNATIVE</t>
  </si>
  <si>
    <t>1122</t>
  </si>
  <si>
    <t>EMERSON ALTERNATIVE SUMMER SCHOOL</t>
  </si>
  <si>
    <t>1152</t>
  </si>
  <si>
    <t>3B JUVENILE DETENTION CENTER</t>
  </si>
  <si>
    <t>1178</t>
  </si>
  <si>
    <t>3-B JUVENILE DETENTION-SUMMER</t>
  </si>
  <si>
    <t>1449</t>
  </si>
  <si>
    <t>D91 ONLINE ACADEMY - SECONDARY</t>
  </si>
  <si>
    <t>1454</t>
  </si>
  <si>
    <t>D91 ONLINE ACADEMY - ELEMENTARY</t>
  </si>
  <si>
    <t>1350</t>
  </si>
  <si>
    <t>COMPASS ACADEMY</t>
  </si>
  <si>
    <t>3091</t>
  </si>
  <si>
    <t>ADMINISTRATION BUILDING IDAHO FALLS DISTRICT</t>
  </si>
  <si>
    <t>468</t>
  </si>
  <si>
    <t>IDAHO SCIENCE AND TECHNOLOGY CHARTER SCHOOL, INC.</t>
  </si>
  <si>
    <t>1217</t>
  </si>
  <si>
    <t>IDAHO SCIENCE &amp; TECHNOLOGY CHARTER SCHOOL</t>
  </si>
  <si>
    <t>485</t>
  </si>
  <si>
    <t>IDAHO STEM ACADEMY, INC.</t>
  </si>
  <si>
    <t>1364</t>
  </si>
  <si>
    <t>BINGHAM ACADEMY</t>
  </si>
  <si>
    <t>452</t>
  </si>
  <si>
    <t>IDAHO VIRTUAL ACADEMY, INC.</t>
  </si>
  <si>
    <t>0869</t>
  </si>
  <si>
    <t>IDAHO VIRTUAL ACADEMY</t>
  </si>
  <si>
    <t>1302</t>
  </si>
  <si>
    <t>INSIGHT SCHOOL OF IDAHO</t>
  </si>
  <si>
    <t>1314</t>
  </si>
  <si>
    <t>INSIGHT SCHOOL OF IDAHO (SUMMER)</t>
  </si>
  <si>
    <t>469</t>
  </si>
  <si>
    <t>IDAHO VIRTUAL EDUCATION PARTNERS, INC.</t>
  </si>
  <si>
    <t>1221</t>
  </si>
  <si>
    <t>IDAHO CONNECTS ONLINE SCHOOL</t>
  </si>
  <si>
    <t>1303</t>
  </si>
  <si>
    <t>IDAHO CONNECTS ONLINE ALTERNATIVE SCHOOL</t>
  </si>
  <si>
    <t>1353</t>
  </si>
  <si>
    <t>IDAHO CONNECTS ONLINE SCHOOL SUMMER ALTERNATIVE</t>
  </si>
  <si>
    <t>453</t>
  </si>
  <si>
    <t>IDAHO VIRTUAL HIGH SCHOOL, INC.</t>
  </si>
  <si>
    <t>0870</t>
  </si>
  <si>
    <t>RICHARD MCKENNA CHARTER SCHOOL - ONLINE</t>
  </si>
  <si>
    <t>0871</t>
  </si>
  <si>
    <t>RICHARD MCKENNA CHARTER SCHOOL - ONLINE ALTERNATIVE</t>
  </si>
  <si>
    <t>0873</t>
  </si>
  <si>
    <t>RICHARD MCKENNA ONLINE ALTERNATIVE - SUMMER</t>
  </si>
  <si>
    <t>1387</t>
  </si>
  <si>
    <t>RICHARD MCKENNA CHARTER SCHOOL - MONTESSORI</t>
  </si>
  <si>
    <t>1399</t>
  </si>
  <si>
    <t>RICHARD MCKENNA CHARTER SCHOOL - ONSITE</t>
  </si>
  <si>
    <t>457</t>
  </si>
  <si>
    <t>INSPIRE ACADEMICS, INC.</t>
  </si>
  <si>
    <t>0578</t>
  </si>
  <si>
    <t>INSPIRE VIRTUAL CHARTER SCHOOL</t>
  </si>
  <si>
    <t>1430</t>
  </si>
  <si>
    <t>EMPOWER CONNECTIONS ACADEMY</t>
  </si>
  <si>
    <t>540</t>
  </si>
  <si>
    <t>ISLAND PARK CHARTER SCHOOL, INC.</t>
  </si>
  <si>
    <t>1435</t>
  </si>
  <si>
    <t>ISLAND PARK CHARTER SCHOOL</t>
  </si>
  <si>
    <t>466</t>
  </si>
  <si>
    <t>ISUCCEED VIRTUAL HIGH SCHOOL, INC.</t>
  </si>
  <si>
    <t>0654</t>
  </si>
  <si>
    <t>iSUCCEED VIRTUAL HIGH SCHOOL</t>
  </si>
  <si>
    <t>1417</t>
  </si>
  <si>
    <t>iSUCCEED Academy</t>
  </si>
  <si>
    <t>1429</t>
  </si>
  <si>
    <t>iSUCCEED ACADEMY (SUMMER)</t>
  </si>
  <si>
    <t>JEFFERSON COUNTY JT DISTRICT</t>
  </si>
  <si>
    <t>RIGBY HIGH SCHOOL</t>
  </si>
  <si>
    <t>0723</t>
  </si>
  <si>
    <t>HARWOOD ELEMENTARY SCHOOL</t>
  </si>
  <si>
    <t>0724</t>
  </si>
  <si>
    <t>MIDWAY ELEMENTARY SCHOOL</t>
  </si>
  <si>
    <t>0725</t>
  </si>
  <si>
    <t>0726</t>
  </si>
  <si>
    <t>ROBERTS ELEMENTARY SCHOOL</t>
  </si>
  <si>
    <t>1110</t>
  </si>
  <si>
    <t>SOUTH FORK ELEMENTARY SCHOOL</t>
  </si>
  <si>
    <t>1139</t>
  </si>
  <si>
    <t>JEFFERSON HIGH SCHOOL SUMMER ALTERNATIVE</t>
  </si>
  <si>
    <t>1143</t>
  </si>
  <si>
    <t>JEFFERSON HIGH SCHOOL ALTERNATIVE</t>
  </si>
  <si>
    <t>1358</t>
  </si>
  <si>
    <t>RIGBY MIDDLE SCHOOL</t>
  </si>
  <si>
    <t>1416</t>
  </si>
  <si>
    <t>JEFFERSON SCHOOL DISTRICT 251 EARLY CHILDHOOD CENTER</t>
  </si>
  <si>
    <t>1437</t>
  </si>
  <si>
    <t>COTTONWOOD ELEMENTARY</t>
  </si>
  <si>
    <t>1446</t>
  </si>
  <si>
    <t>FARNSWORTH MIDDLE SCHOOL</t>
  </si>
  <si>
    <t>1447</t>
  </si>
  <si>
    <t>RIGBY VIRTUAL ACADEMY</t>
  </si>
  <si>
    <t>3251</t>
  </si>
  <si>
    <t>ADMINISTRATION BUILDING JEFFERSON COUNTY JT DISTRICT</t>
  </si>
  <si>
    <t>JEROME JOINT DISTRICT</t>
  </si>
  <si>
    <t>0117</t>
  </si>
  <si>
    <t>JEROME MIDDLE SCHOOL</t>
  </si>
  <si>
    <t>JEROME HIGH SCHOOL</t>
  </si>
  <si>
    <t>0297</t>
  </si>
  <si>
    <t>JEROME ACADEMY</t>
  </si>
  <si>
    <t>0516</t>
  </si>
  <si>
    <t>0731</t>
  </si>
  <si>
    <t>1128</t>
  </si>
  <si>
    <t>NORTHSIDE ALTERNATIVE SCHOOL (SUMMER)</t>
  </si>
  <si>
    <t>1272</t>
  </si>
  <si>
    <t>NORTHSIDE JR/SR HIGH SCHOOL ALTERNATIVE</t>
  </si>
  <si>
    <t>2516</t>
  </si>
  <si>
    <t>SUMMIT ELEMENTARY</t>
  </si>
  <si>
    <t>3261</t>
  </si>
  <si>
    <t>ADMINISTRATION BUILDING JEROME JOINT DISTRICT</t>
  </si>
  <si>
    <t>002</t>
  </si>
  <si>
    <t>JOINT SCHOOL DISTRICT NO. 2</t>
  </si>
  <si>
    <t>0010</t>
  </si>
  <si>
    <t>LOWELL SCOTT MIDDLE SCHOOL</t>
  </si>
  <si>
    <t>0011</t>
  </si>
  <si>
    <t>MERIDIAN MIDDLE SCHOOL</t>
  </si>
  <si>
    <t>0012</t>
  </si>
  <si>
    <t>MERIDIAN HIGH SCHOOL</t>
  </si>
  <si>
    <t>0015</t>
  </si>
  <si>
    <t>CENTENNIAL HIGH SCHOOL</t>
  </si>
  <si>
    <t>0106</t>
  </si>
  <si>
    <t>EAGLE MIDDLE SCHOOL</t>
  </si>
  <si>
    <t>0112</t>
  </si>
  <si>
    <t>EAGLE HIGH SCHOOL</t>
  </si>
  <si>
    <t>0207</t>
  </si>
  <si>
    <t>LAKE HAZEL MIDDLE SCHOOL</t>
  </si>
  <si>
    <t>0235</t>
  </si>
  <si>
    <t>LEWIS &amp; CLARK MIDDLE SCHOOL</t>
  </si>
  <si>
    <t>0239</t>
  </si>
  <si>
    <t>PEREGRINE ELEMENTARY SCHOOL</t>
  </si>
  <si>
    <t>0240</t>
  </si>
  <si>
    <t>RIVER VALLEY ELEMENTARY SCHOOL</t>
  </si>
  <si>
    <t>0283</t>
  </si>
  <si>
    <t>PEPPER RIDGE ELEMENTARY</t>
  </si>
  <si>
    <t>0284</t>
  </si>
  <si>
    <t>SAWTOOTH MIDDLE SCHOOL</t>
  </si>
  <si>
    <t>0296</t>
  </si>
  <si>
    <t>HUNTER ELEMENTARY SCHOOL</t>
  </si>
  <si>
    <t>0328</t>
  </si>
  <si>
    <t>FRONTIER ELEMENTARY SCHOOL</t>
  </si>
  <si>
    <t>0329</t>
  </si>
  <si>
    <t>CHIEF JOSEPH SCHOOL OF THE ARTS</t>
  </si>
  <si>
    <t>0330</t>
  </si>
  <si>
    <t>SILVER SAGE ELEMENTARY SCHOOL</t>
  </si>
  <si>
    <t>0331</t>
  </si>
  <si>
    <t>LAKE HAZEL ELEMENTARY SCHOOL</t>
  </si>
  <si>
    <t>0332</t>
  </si>
  <si>
    <t>EAGLE ELEMENTARY SCHOOL OF THE ARTS</t>
  </si>
  <si>
    <t>0333</t>
  </si>
  <si>
    <t>SUMMERWIND SCHOOL OF MATH AND SCIENCE</t>
  </si>
  <si>
    <t>0334</t>
  </si>
  <si>
    <t>STAR ELEMENTARY SCHOOL</t>
  </si>
  <si>
    <t>0335</t>
  </si>
  <si>
    <t>USTICK ELEMENTARY SCHOOL</t>
  </si>
  <si>
    <t>0336</t>
  </si>
  <si>
    <t>MERIDIAN ELEMENTARY SCHOOL</t>
  </si>
  <si>
    <t>0337</t>
  </si>
  <si>
    <t>McMILLAN ELEMENTARY</t>
  </si>
  <si>
    <t>0338</t>
  </si>
  <si>
    <t>CHRISTINE DONNELL SCH OF ARTS</t>
  </si>
  <si>
    <t>0339</t>
  </si>
  <si>
    <t>BARBARA MORGAN STEM ACADEMY</t>
  </si>
  <si>
    <t>0340</t>
  </si>
  <si>
    <t>EAGLE HILLS ELEMENTARY SCHOOL</t>
  </si>
  <si>
    <t>0341</t>
  </si>
  <si>
    <t>MARY MC PHERSON ELEMENTARY</t>
  </si>
  <si>
    <t>0343</t>
  </si>
  <si>
    <t>JOPLIN ELEMENTARY SCHOOL</t>
  </si>
  <si>
    <t>0504</t>
  </si>
  <si>
    <t>PONDEROSA ELEMENTARY SCHOOL</t>
  </si>
  <si>
    <t>0507</t>
  </si>
  <si>
    <t>PIONEER SCHOOL OF THE ARTS</t>
  </si>
  <si>
    <t>0521</t>
  </si>
  <si>
    <t>0523</t>
  </si>
  <si>
    <t>CECIL D ANDRUS ELEMENTARY</t>
  </si>
  <si>
    <t>0524</t>
  </si>
  <si>
    <t>CHAPARRAL ELEMENTARY</t>
  </si>
  <si>
    <t>0525</t>
  </si>
  <si>
    <t>ELIZA HART SPALDING STEM ACADEMY</t>
  </si>
  <si>
    <t>0526</t>
  </si>
  <si>
    <t>SEVEN OAKS ELEMENTARY</t>
  </si>
  <si>
    <t>0545</t>
  </si>
  <si>
    <t>MOUNTAIN VIEW HIGH SCHOOL</t>
  </si>
  <si>
    <t>0564</t>
  </si>
  <si>
    <t>ADA PROFESSIONAL-TECHNICAL CTR</t>
  </si>
  <si>
    <t>0589</t>
  </si>
  <si>
    <t>WEST ADA MIDDLE SUMMER SCHOOL</t>
  </si>
  <si>
    <t>0592</t>
  </si>
  <si>
    <t>DESERT SAGE ELEMENTARY SCHOOL</t>
  </si>
  <si>
    <t>0593</t>
  </si>
  <si>
    <t>PROSPECT ELEMENTARY SCHOOL</t>
  </si>
  <si>
    <t>0594</t>
  </si>
  <si>
    <t>PATHWAYS MIDDLE SCHOOL ALTERNATIVE</t>
  </si>
  <si>
    <t>0597</t>
  </si>
  <si>
    <t>CENTRAL ACADEMY HIGH SCHOOL</t>
  </si>
  <si>
    <t>0898</t>
  </si>
  <si>
    <t>ROCKY MOUNTAIN HIGH SCHOOL</t>
  </si>
  <si>
    <t>0899</t>
  </si>
  <si>
    <t>SIENA ELEMENTARY</t>
  </si>
  <si>
    <t>0982</t>
  </si>
  <si>
    <t>EAGLE ACADEMY</t>
  </si>
  <si>
    <t>1145</t>
  </si>
  <si>
    <t>CROSSROADS MIDDLE SCHOOL</t>
  </si>
  <si>
    <t>1226</t>
  </si>
  <si>
    <t>1228</t>
  </si>
  <si>
    <t>MERIDIAN ACADEMY ALTERNATIVE</t>
  </si>
  <si>
    <t>1235</t>
  </si>
  <si>
    <t>RENAISSANCE HIGH SCHOOL</t>
  </si>
  <si>
    <t>1290</t>
  </si>
  <si>
    <t>PARAMOUNT ELEMENTARY SCHOOL</t>
  </si>
  <si>
    <t>1297</t>
  </si>
  <si>
    <t>REBOUND SCHOOL OF OPPORTUNITY</t>
  </si>
  <si>
    <t>1299</t>
  </si>
  <si>
    <t>REBOUND SCHOOL OF OPPORTUNITY SUMMER</t>
  </si>
  <si>
    <t>1356</t>
  </si>
  <si>
    <t>WILLOW CREEK ELEMENTARY SCHOOL</t>
  </si>
  <si>
    <t>1374</t>
  </si>
  <si>
    <t>VIRTUAL SCHOOL HOUSE</t>
  </si>
  <si>
    <t>1375</t>
  </si>
  <si>
    <t>IDAHO FINE ARTS ACADEMY</t>
  </si>
  <si>
    <t>1383</t>
  </si>
  <si>
    <t>HILLSDALE ELEMENTARY</t>
  </si>
  <si>
    <t>1384</t>
  </si>
  <si>
    <t>VICTORY MIDDLE SCHOOL</t>
  </si>
  <si>
    <t>1406</t>
  </si>
  <si>
    <t>STAR MIDDLE SCHOOL</t>
  </si>
  <si>
    <t>1438</t>
  </si>
  <si>
    <t>PLEASANT VIEW ELEMENTARY</t>
  </si>
  <si>
    <t>1459</t>
  </si>
  <si>
    <t>OWYHEE HIGH SCHOOL</t>
  </si>
  <si>
    <t>2511</t>
  </si>
  <si>
    <t>GALILEO MAGNET SCHOOL</t>
  </si>
  <si>
    <t>2513</t>
  </si>
  <si>
    <t>HERITAGE MIDDLE SCHOOL</t>
  </si>
  <si>
    <t>3002</t>
  </si>
  <si>
    <t>ADMINISTRATION BUILDING JOINT SCHOOL DISTRICT NO. 2</t>
  </si>
  <si>
    <t>304</t>
  </si>
  <si>
    <t>KAMIAH JOINT DISTRICT</t>
  </si>
  <si>
    <t>0231</t>
  </si>
  <si>
    <t>KAMIAH SENIOR HIGH</t>
  </si>
  <si>
    <t>0768</t>
  </si>
  <si>
    <t>KAMIAH ELEMENTARY SCHOOL</t>
  </si>
  <si>
    <t>1440</t>
  </si>
  <si>
    <t>KAMIAH EARLY CHILDHOOD CENTER</t>
  </si>
  <si>
    <t>3026</t>
  </si>
  <si>
    <t>ADMINISTRATION BUILDING KAMIAH JOINT DISTRICT</t>
  </si>
  <si>
    <t>391</t>
  </si>
  <si>
    <t>KELLOGG JOINT DISTRICT</t>
  </si>
  <si>
    <t>KELLOGG MIDDLE SCHOOL</t>
  </si>
  <si>
    <t>0171</t>
  </si>
  <si>
    <t>KELLOGG HIGH SCHOOL</t>
  </si>
  <si>
    <t>0643</t>
  </si>
  <si>
    <t>KELLOGG HIGH SCHOOL SUMMER ALTERNATIVE</t>
  </si>
  <si>
    <t>0811</t>
  </si>
  <si>
    <t>PINEHURST ELEMENTARY SCHOOL</t>
  </si>
  <si>
    <t>0812</t>
  </si>
  <si>
    <t>CANYON ELEMENTARY SCHOOL</t>
  </si>
  <si>
    <t>3391</t>
  </si>
  <si>
    <t>ADMINISTRATION BUILDING KELLOGG JOINT DISTRICT</t>
  </si>
  <si>
    <t>KENDRICK JOINT DISTRICT</t>
  </si>
  <si>
    <t>0132</t>
  </si>
  <si>
    <t>KENDRICK JR-SR HIGH SCHOOL</t>
  </si>
  <si>
    <t>0758</t>
  </si>
  <si>
    <t>JULIAETTA ELEMENTARY SCHOOL</t>
  </si>
  <si>
    <t>ADMINISTRATION BUILDING KENDRICK JOINT DISTRICT</t>
  </si>
  <si>
    <t>414</t>
  </si>
  <si>
    <t>KIMBERLY DISTRICT</t>
  </si>
  <si>
    <t>0182</t>
  </si>
  <si>
    <t>KIMBERLY HIGH SCHOOL</t>
  </si>
  <si>
    <t>0512</t>
  </si>
  <si>
    <t>KIMBERLY MIDDLE SCHOOL</t>
  </si>
  <si>
    <t>0622</t>
  </si>
  <si>
    <t>KIMBERLY ALTERNATIVE SUMMER HIGH SCHOOL</t>
  </si>
  <si>
    <t>0833</t>
  </si>
  <si>
    <t>KIMBERLY ELEMENTARY SCHOOL</t>
  </si>
  <si>
    <t>1408</t>
  </si>
  <si>
    <t>STRICKER ELEMENTARY SCHOOL</t>
  </si>
  <si>
    <t>1476</t>
  </si>
  <si>
    <t>KIMBERLY PRESCHOOL</t>
  </si>
  <si>
    <t>3032</t>
  </si>
  <si>
    <t>ADMINISTRATION BUILDING KIMBERLY DISTRICT</t>
  </si>
  <si>
    <t>KOOTENAI DISTRICT</t>
  </si>
  <si>
    <t>0127</t>
  </si>
  <si>
    <t>KOOTENAI JR-SR HIGH SCHOOL</t>
  </si>
  <si>
    <t>0751</t>
  </si>
  <si>
    <t>HARRISON ELEMENTARY SCHOOL</t>
  </si>
  <si>
    <t>3274</t>
  </si>
  <si>
    <t>ADMINISTRATION BUILDING KOOTENAI DISTRICT</t>
  </si>
  <si>
    <t>KTEC - Kootenai Tech Ed Campus</t>
  </si>
  <si>
    <t>1351</t>
  </si>
  <si>
    <t>KTEC School</t>
  </si>
  <si>
    <t>003</t>
  </si>
  <si>
    <t>KUNA JOINT DISTRICT</t>
  </si>
  <si>
    <t>0013</t>
  </si>
  <si>
    <t>KUNA MIDDLE SCHOOL</t>
  </si>
  <si>
    <t>0014</t>
  </si>
  <si>
    <t>KUNA HIGH SCHOOL</t>
  </si>
  <si>
    <t>0345</t>
  </si>
  <si>
    <t>HUBBARD ELEMENTARY SCHOOL</t>
  </si>
  <si>
    <t>0595</t>
  </si>
  <si>
    <t>REED ELEMENTARY SCHOOL</t>
  </si>
  <si>
    <t>0596</t>
  </si>
  <si>
    <t>INDIAN CREEK ELEMENTARY</t>
  </si>
  <si>
    <t>0635</t>
  </si>
  <si>
    <t>ROSS ELEMENTARY SCHOOL</t>
  </si>
  <si>
    <t>0850</t>
  </si>
  <si>
    <t>FREMONT H TEED ELEMENTARY SCHOOL</t>
  </si>
  <si>
    <t>0887</t>
  </si>
  <si>
    <t>CRIMSON POINT ELEMENTARY SCHOOL</t>
  </si>
  <si>
    <t>1115</t>
  </si>
  <si>
    <t>INITIAL POINT HIGH SCHOOL ALTERNATIVE</t>
  </si>
  <si>
    <t>1119</t>
  </si>
  <si>
    <t>KUNA SUMMER SCHOOL ALTERNATIVE</t>
  </si>
  <si>
    <t>1308</t>
  </si>
  <si>
    <t>SILVER TRAIL ELEMENTARY SCHOOL</t>
  </si>
  <si>
    <t>1312</t>
  </si>
  <si>
    <t>KUNA CAREER TECHNICAL SCHOOL</t>
  </si>
  <si>
    <t>1439</t>
  </si>
  <si>
    <t>SWAN FALLS HIGH SCHOOL</t>
  </si>
  <si>
    <t>3003</t>
  </si>
  <si>
    <t>ADMINISTRATION BUILDING KUNA JOINT DISTRICT</t>
  </si>
  <si>
    <t>084</t>
  </si>
  <si>
    <t>LAKE PEND OREILLE SCHOOL DISTRICT</t>
  </si>
  <si>
    <t>0047</t>
  </si>
  <si>
    <t>SANDPOINT MIDDLE SCHOOL</t>
  </si>
  <si>
    <t>0049</t>
  </si>
  <si>
    <t>CLARK FORK JR-SR HIGH SCHOOL</t>
  </si>
  <si>
    <t>0202</t>
  </si>
  <si>
    <t>SANDPOINT HIGH SCHOOL</t>
  </si>
  <si>
    <t>0293</t>
  </si>
  <si>
    <t>KOOTENAI ELEMENTARY SCHOOL</t>
  </si>
  <si>
    <t>0401</t>
  </si>
  <si>
    <t>HOPE ELEMENTARY SCHOOL</t>
  </si>
  <si>
    <t>0402</t>
  </si>
  <si>
    <t>SAGLE ELEMENTARY SCHOOL</t>
  </si>
  <si>
    <t>0403</t>
  </si>
  <si>
    <t>FARMIN STIDWELL ELEMENTARY SCHOOL</t>
  </si>
  <si>
    <t>0405</t>
  </si>
  <si>
    <t>SOUTHSIDE ELEMENTARY SCHOOL</t>
  </si>
  <si>
    <t>0408</t>
  </si>
  <si>
    <t>0410</t>
  </si>
  <si>
    <t>NORTHSIDE ELEMENTARY SCHOOL</t>
  </si>
  <si>
    <t>0645</t>
  </si>
  <si>
    <t>LAKE PEND OREILLE H. S. SUMMER ALTERNATIVE</t>
  </si>
  <si>
    <t>0997</t>
  </si>
  <si>
    <t>SANDPOINT JUVENILE DETENTION</t>
  </si>
  <si>
    <t>1045</t>
  </si>
  <si>
    <t>LAKE PEND OREILLE HIGH SCHOOL ALTERNATIVE</t>
  </si>
  <si>
    <t>1177</t>
  </si>
  <si>
    <t>SANDPOINT JUVENILE DETENTION-SUMMER</t>
  </si>
  <si>
    <t>1391</t>
  </si>
  <si>
    <t>LPOSD HOME SCHOOL ACADEMY</t>
  </si>
  <si>
    <t>3082</t>
  </si>
  <si>
    <t>ADMINISTRATION BUILDING LAKE PEND OREILLE SCHOOL DISTRICT</t>
  </si>
  <si>
    <t>LAKELAND DISTRICT</t>
  </si>
  <si>
    <t>0123</t>
  </si>
  <si>
    <t>LAKELAND MIDDLE SCHOOL</t>
  </si>
  <si>
    <t>0124</t>
  </si>
  <si>
    <t>LAKELAND SENIOR HIGH SCHOOL</t>
  </si>
  <si>
    <t>0513</t>
  </si>
  <si>
    <t>BETTY KIEFER ELEMENTARY SCHOOL</t>
  </si>
  <si>
    <t>0585</t>
  </si>
  <si>
    <t>TIMBERLAKE MIDDLE SCHOOL</t>
  </si>
  <si>
    <t>0586</t>
  </si>
  <si>
    <t>TIMBERLAKE SENIOR HIGH SCHOOL</t>
  </si>
  <si>
    <t>0745</t>
  </si>
  <si>
    <t>SPIRIT LAKE ELEMENTARY SCHOOL</t>
  </si>
  <si>
    <t>0746</t>
  </si>
  <si>
    <t>JOHN BROWN ELEMENTARY SCHOOL</t>
  </si>
  <si>
    <t>0747</t>
  </si>
  <si>
    <t>ATHOL ELEMENTARY SCHOOL</t>
  </si>
  <si>
    <t>0761</t>
  </si>
  <si>
    <t>GARWOOD ELEMENTARY SCHOOL</t>
  </si>
  <si>
    <t>0891</t>
  </si>
  <si>
    <t>TWIN LAKES ELEMENTARY SCHOOL</t>
  </si>
  <si>
    <t>1104</t>
  </si>
  <si>
    <t>MOUNTAINVIEW ALTERNATIVE HIGH SCHOOL</t>
  </si>
  <si>
    <t>1130</t>
  </si>
  <si>
    <t>1467</t>
  </si>
  <si>
    <t>LAKELAND ONLINE ACADEMY</t>
  </si>
  <si>
    <t>3272</t>
  </si>
  <si>
    <t>ADMINISTRATION BUILDING LAKELAND DISTRICT</t>
  </si>
  <si>
    <t>341</t>
  </si>
  <si>
    <t>LAPWAI DISTRICT</t>
  </si>
  <si>
    <t>0583</t>
  </si>
  <si>
    <t>LAPWAI HIGH SCHOOL</t>
  </si>
  <si>
    <t>0844</t>
  </si>
  <si>
    <t>LAPWAI ELEMENTARY SCHOOL</t>
  </si>
  <si>
    <t>3028</t>
  </si>
  <si>
    <t>ADMINISTRATION BUILDING LAPWAI DISTRICT</t>
  </si>
  <si>
    <t>9503</t>
  </si>
  <si>
    <t>NEZ PERCE TRIBE HEAD START</t>
  </si>
  <si>
    <t>478</t>
  </si>
  <si>
    <t>LEGACY PUBLIC CHARTER SCHOOL, INC.</t>
  </si>
  <si>
    <t>1340</t>
  </si>
  <si>
    <t>LEGACY CHARTER SCHOOL</t>
  </si>
  <si>
    <t>340</t>
  </si>
  <si>
    <t>LEWISTON INDEPENDENT DISTRICT</t>
  </si>
  <si>
    <t>SACAJAWEA MIDDLE SCHOOL</t>
  </si>
  <si>
    <t>JENIFER MIDDLE SCHOOL</t>
  </si>
  <si>
    <t>0153</t>
  </si>
  <si>
    <t>LEWISTON HIGH SCHOOL</t>
  </si>
  <si>
    <t>0787</t>
  </si>
  <si>
    <t>CENTENNIAL ELEMENTARY SCHOOL</t>
  </si>
  <si>
    <t>0788</t>
  </si>
  <si>
    <t>CAMELOT ELEMENTARY SCHOOL</t>
  </si>
  <si>
    <t>0789</t>
  </si>
  <si>
    <t>MC GHEE ELEMENTARY SCHOOL</t>
  </si>
  <si>
    <t>0790</t>
  </si>
  <si>
    <t>ORCHARDS ELEMENTARY SCHOOL</t>
  </si>
  <si>
    <t>0791</t>
  </si>
  <si>
    <t>MC SORLEY ELEMENTARY SCHOOL</t>
  </si>
  <si>
    <t>0792</t>
  </si>
  <si>
    <t>WHITMAN ELEMENTARY SCHOOL</t>
  </si>
  <si>
    <t>0793</t>
  </si>
  <si>
    <t>WEBSTER ELEMENTARY SCHOOL</t>
  </si>
  <si>
    <t>1034</t>
  </si>
  <si>
    <t>TAMMANY HIGH SCHOOL</t>
  </si>
  <si>
    <t>1134</t>
  </si>
  <si>
    <t>TAMMANY ALTERNATIVE CENTER SUMMER ALTERNATIVE</t>
  </si>
  <si>
    <t>1184</t>
  </si>
  <si>
    <t>REGION 2 JUVENILE DETENTION-SUMMER</t>
  </si>
  <si>
    <t>1209</t>
  </si>
  <si>
    <t>JENIFER JR HIGH SUMMER ALTERNATIVE</t>
  </si>
  <si>
    <t>1241</t>
  </si>
  <si>
    <t>SACAJAWEA JR HIGH SUMMER ALTERNATIVE</t>
  </si>
  <si>
    <t>1266</t>
  </si>
  <si>
    <t>REGION 2 JUVENILE DET CENTER</t>
  </si>
  <si>
    <t>1425</t>
  </si>
  <si>
    <t>A Neil DeAtley Career Technical Education Center</t>
  </si>
  <si>
    <t>3340</t>
  </si>
  <si>
    <t>ADMINISTRATION BUILDING LEWISTON INDEPENDENT DISTRICT</t>
  </si>
  <si>
    <t>458</t>
  </si>
  <si>
    <t>LIBERTY CHARTER SCHOOL, INC.</t>
  </si>
  <si>
    <t>0587</t>
  </si>
  <si>
    <t>LIBERTY CHARTER SCHOOL</t>
  </si>
  <si>
    <t>182</t>
  </si>
  <si>
    <t>MACKAY JOINT DISTRICT</t>
  </si>
  <si>
    <t>0090</t>
  </si>
  <si>
    <t>MACKAY JR-SR HIGH SCHOOL</t>
  </si>
  <si>
    <t>0490</t>
  </si>
  <si>
    <t>MACKAY ELEMENTARY SCHOOL</t>
  </si>
  <si>
    <t>3015</t>
  </si>
  <si>
    <t>ADMINISTRATION BUILDING MACKAY JOINT DISTRICT</t>
  </si>
  <si>
    <t>321</t>
  </si>
  <si>
    <t>MADISON DISTRICT</t>
  </si>
  <si>
    <t>0145</t>
  </si>
  <si>
    <t>MADISON JUNIOR HIGH SCHOOL</t>
  </si>
  <si>
    <t>0146</t>
  </si>
  <si>
    <t>MADISON SENIOR HIGH SCHOOL</t>
  </si>
  <si>
    <t>0250</t>
  </si>
  <si>
    <t>MADISON MIDDLE SCHOOL</t>
  </si>
  <si>
    <t>0773</t>
  </si>
  <si>
    <t>KENNEDY ELEMENTARY SCHOOL</t>
  </si>
  <si>
    <t>0775</t>
  </si>
  <si>
    <t>0777</t>
  </si>
  <si>
    <t>0779</t>
  </si>
  <si>
    <t>BURTON ELEMENTARY SCHOOL</t>
  </si>
  <si>
    <t>0780</t>
  </si>
  <si>
    <t>HIBBARD ELEMENTARY SCHOOL</t>
  </si>
  <si>
    <t>1132</t>
  </si>
  <si>
    <t>CENTRAL HIGH SCHOOL SUMMER ALTERNATIVE</t>
  </si>
  <si>
    <t>1225</t>
  </si>
  <si>
    <t>SOUTH FORK ELEMENTARY</t>
  </si>
  <si>
    <t>1407</t>
  </si>
  <si>
    <t>MADISON CAREER TECHNICAL SCHOOL</t>
  </si>
  <si>
    <t>1468</t>
  </si>
  <si>
    <t>MADISON ONLINE ELEMENTARY</t>
  </si>
  <si>
    <t>3321</t>
  </si>
  <si>
    <t>ADMINISTRATION BUILDING MADISON DISTRICT</t>
  </si>
  <si>
    <t>9015</t>
  </si>
  <si>
    <t>CENTRAL HIGH SCHOOL ALTERNATIVE</t>
  </si>
  <si>
    <t>021</t>
  </si>
  <si>
    <t>MARSH VALLEY JOINT DISTRICT</t>
  </si>
  <si>
    <t>0018</t>
  </si>
  <si>
    <t>MARSH VALLEY MIDDLE SCHOOL</t>
  </si>
  <si>
    <t>0019</t>
  </si>
  <si>
    <t>MARSH VALLEY HIGH SCHOOL</t>
  </si>
  <si>
    <t>0349</t>
  </si>
  <si>
    <t>LAVA ELEMENTARY SCHOOL</t>
  </si>
  <si>
    <t>0350</t>
  </si>
  <si>
    <t>DOWNEY ELEMENTARY SCHOOL</t>
  </si>
  <si>
    <t>0351</t>
  </si>
  <si>
    <t>INKOM ELEMENTARY SCHOOL</t>
  </si>
  <si>
    <t>0352</t>
  </si>
  <si>
    <t>3021</t>
  </si>
  <si>
    <t>ADMINISTRATION BUILDING MARSH VALLEY JOINT DISTRICT</t>
  </si>
  <si>
    <t>363</t>
  </si>
  <si>
    <t>MARSING JOINT DISTRICT</t>
  </si>
  <si>
    <t>0157</t>
  </si>
  <si>
    <t>MARSING HIGH SCHOOL</t>
  </si>
  <si>
    <t>0530</t>
  </si>
  <si>
    <t>MARSING MIDDLE SCHOOL</t>
  </si>
  <si>
    <t>0799</t>
  </si>
  <si>
    <t>MARSING ELEMENTARY SCHOOL</t>
  </si>
  <si>
    <t>1054</t>
  </si>
  <si>
    <t>3363</t>
  </si>
  <si>
    <t>ADMINISTRATION BUILDING MARSING JOINT DISTRICT</t>
  </si>
  <si>
    <t>421</t>
  </si>
  <si>
    <t>MCCALL-DONNELLY JT. SCHOOL DISTRICT</t>
  </si>
  <si>
    <t>0189</t>
  </si>
  <si>
    <t>McCALL-DONNELLY HIGH SCHOOL</t>
  </si>
  <si>
    <t>0236</t>
  </si>
  <si>
    <t>PAYETTE LAKES MIDDLE SCHOOL</t>
  </si>
  <si>
    <t>0837</t>
  </si>
  <si>
    <t>BARBARA R MORGAN ELEMENTARY</t>
  </si>
  <si>
    <t>0988</t>
  </si>
  <si>
    <t>DONNELLY ELEMENTARY</t>
  </si>
  <si>
    <t>1264</t>
  </si>
  <si>
    <t>HEARTLAND HIGH SCHOOL ALTERNATIVE</t>
  </si>
  <si>
    <t>3421</t>
  </si>
  <si>
    <t>ADMINISTRATION BUILDING MCCALL DONNELLY JT SCHOOL DISTRICT</t>
  </si>
  <si>
    <t>536</t>
  </si>
  <si>
    <t>MCCALL COMMUNITY SCHOOL, INC</t>
  </si>
  <si>
    <t>1434</t>
  </si>
  <si>
    <t>MOUNTAIN COMMUNITY SCHOOL</t>
  </si>
  <si>
    <t>011</t>
  </si>
  <si>
    <t>MEADOWS VALLEY DISTRICT</t>
  </si>
  <si>
    <t>0342</t>
  </si>
  <si>
    <t>MEADOWS VALLEY SCHOOL</t>
  </si>
  <si>
    <t>3004</t>
  </si>
  <si>
    <t>ADMINISTRATION BUILDING MEADOWS VALLEY DISTRICT</t>
  </si>
  <si>
    <t>136</t>
  </si>
  <si>
    <t>MELBA JOINT DISTRICT</t>
  </si>
  <si>
    <t>0070</t>
  </si>
  <si>
    <t>MELBA HIGH SCHOOL</t>
  </si>
  <si>
    <t>0455</t>
  </si>
  <si>
    <t>MELBA ELEMENTARY SCHOOL</t>
  </si>
  <si>
    <t>3136</t>
  </si>
  <si>
    <t>ADMINISTRATION BUILDING MELBA JOINT DISTRICT</t>
  </si>
  <si>
    <t>785</t>
  </si>
  <si>
    <t>MERIDIAN MEDICAL ARTS CHARTER HIGH SCHOOL, INC.</t>
  </si>
  <si>
    <t>0547</t>
  </si>
  <si>
    <t>MERIDIAN MEDICAL ARTS CHARTER</t>
  </si>
  <si>
    <t>768</t>
  </si>
  <si>
    <t>MERIDIAN TECHNICAL CHARTER HIGH SCHOOL, INC.</t>
  </si>
  <si>
    <t>0257</t>
  </si>
  <si>
    <t>MERIDIAN TECHNICAL CHARTER HIGH SCHOOL</t>
  </si>
  <si>
    <t>134</t>
  </si>
  <si>
    <t>MIDDLETON DISTRICT</t>
  </si>
  <si>
    <t>0067</t>
  </si>
  <si>
    <t>MIDDLETON MIDDLE SCHOOL</t>
  </si>
  <si>
    <t>0068</t>
  </si>
  <si>
    <t>MIDDLETON HIGH SCHOOL</t>
  </si>
  <si>
    <t>0453</t>
  </si>
  <si>
    <t>MIDDLETON MILL CREEK ELEMENTAR</t>
  </si>
  <si>
    <t>0500</t>
  </si>
  <si>
    <t>MIDDLETON HEIGHTS ELEMENTARY</t>
  </si>
  <si>
    <t>0546</t>
  </si>
  <si>
    <t>PURPLE SAGE ELEMENTARY</t>
  </si>
  <si>
    <t>0628</t>
  </si>
  <si>
    <t>MIDDLETON SUMMER SCHOOL ALTERNATIVE</t>
  </si>
  <si>
    <t>1168</t>
  </si>
  <si>
    <t>MIDDLETON ACADEMY</t>
  </si>
  <si>
    <t>3134</t>
  </si>
  <si>
    <t>ADMINISTRATION BUILDING MIDDLETON DISTRICT</t>
  </si>
  <si>
    <t>433</t>
  </si>
  <si>
    <t>MIDVALE DISTRICT</t>
  </si>
  <si>
    <t>0286</t>
  </si>
  <si>
    <t>MIDVALE SCHOOL</t>
  </si>
  <si>
    <t>1113</t>
  </si>
  <si>
    <t>MIDVALE ALTERNATIVE SCHOOL</t>
  </si>
  <si>
    <t>4433</t>
  </si>
  <si>
    <t>ADMINISTRATION BUILDING MIDVALE DISTRICT</t>
  </si>
  <si>
    <t>331</t>
  </si>
  <si>
    <t>MINIDOKA COUNTY JOINT DISTRICT</t>
  </si>
  <si>
    <t>0148</t>
  </si>
  <si>
    <t>EAST MINICO MIDDLE SCHOOL</t>
  </si>
  <si>
    <t>0149</t>
  </si>
  <si>
    <t>WEST MINICO MIDDLE SCHOOL</t>
  </si>
  <si>
    <t>MINICO SENIOR HIGH SCHOOL</t>
  </si>
  <si>
    <t>0783</t>
  </si>
  <si>
    <t>PAUL ELEMENTARY SCHOOL</t>
  </si>
  <si>
    <t>0785</t>
  </si>
  <si>
    <t>HEYBURN ELEMENTARY SCHOOL</t>
  </si>
  <si>
    <t>0786</t>
  </si>
  <si>
    <t>ACEQUIA ELEMENTARY SCHOOL</t>
  </si>
  <si>
    <t>0845</t>
  </si>
  <si>
    <t>RUPERT ELEMENTARY SCHOOL</t>
  </si>
  <si>
    <t>1046</t>
  </si>
  <si>
    <t>MT. HARRISON JR.-SR. HIGH ALTERNATIVE</t>
  </si>
  <si>
    <t>1100</t>
  </si>
  <si>
    <t>MINI-CASSIA JUVENILE DET CTR</t>
  </si>
  <si>
    <t>1133</t>
  </si>
  <si>
    <t>MT. HARRISON JR/SR HIGH SUMMER ALTERNATIVE</t>
  </si>
  <si>
    <t>1183</t>
  </si>
  <si>
    <t>MINI-CASSIA JUVENILE DETENTION-SUMMER</t>
  </si>
  <si>
    <t>1262</t>
  </si>
  <si>
    <t>1263</t>
  </si>
  <si>
    <t>DAY TREATMENT ELEMENTARY</t>
  </si>
  <si>
    <t>1414</t>
  </si>
  <si>
    <t>ARTE I RPTCS (Regional Professional Technical Center School)</t>
  </si>
  <si>
    <t>3331</t>
  </si>
  <si>
    <t>ADMINISTRATION BUILDING MINIDOKA COUNTY JOINT DISTRICT</t>
  </si>
  <si>
    <t>474</t>
  </si>
  <si>
    <t>MONTICELLO MONTESSORI CHARTER SCHOOL, INC.</t>
  </si>
  <si>
    <t>1246</t>
  </si>
  <si>
    <t>MONTICELLO MONTESSORI CHARTER SCHOOL</t>
  </si>
  <si>
    <t>544</t>
  </si>
  <si>
    <t>MOSAICS PUBLIC SCHOOL, INC.</t>
  </si>
  <si>
    <t>1436</t>
  </si>
  <si>
    <t>MOSAICS PUBLIC SCHOOL</t>
  </si>
  <si>
    <t>813</t>
  </si>
  <si>
    <t>MOSCOW CHARTER SCHOOL, INC.</t>
  </si>
  <si>
    <t>0813</t>
  </si>
  <si>
    <t>MOSCOW CHARTER SCHOOL</t>
  </si>
  <si>
    <t>MOSCOW DISTRICT</t>
  </si>
  <si>
    <t>0129</t>
  </si>
  <si>
    <t>MOSCOW MIDDLE SCHOOL</t>
  </si>
  <si>
    <t>MOSCOW HIGH SCHOOL</t>
  </si>
  <si>
    <t>0612</t>
  </si>
  <si>
    <t>PARADISE CREEK REGIONAL HIGH SCHOOL ALTERNATIVE</t>
  </si>
  <si>
    <t>0753</t>
  </si>
  <si>
    <t>J. RUSSELL ELEMENTARY SCHOOL</t>
  </si>
  <si>
    <t>0754</t>
  </si>
  <si>
    <t>LENA WHITMORE ELEMENTARY SCHOOL</t>
  </si>
  <si>
    <t>0755</t>
  </si>
  <si>
    <t>WEST PARK ELEMENTARY SCHOOL</t>
  </si>
  <si>
    <t>0756</t>
  </si>
  <si>
    <t>A.B. MC DONALD ELEMENTARY SCH</t>
  </si>
  <si>
    <t>3281</t>
  </si>
  <si>
    <t>ADMINISTRATION BUILDING MOSCOW DISTRICT</t>
  </si>
  <si>
    <t>193</t>
  </si>
  <si>
    <t>MOUNTAIN HOME DISTRICT</t>
  </si>
  <si>
    <t>0093</t>
  </si>
  <si>
    <t>MOUNTAIN HOME JUNIOR HIGH SCH</t>
  </si>
  <si>
    <t>0095</t>
  </si>
  <si>
    <t>MOUNTAIN HOME SR HIGH SCHOOL</t>
  </si>
  <si>
    <t>0493</t>
  </si>
  <si>
    <t>WEST ELEMENTARY SCHOOL</t>
  </si>
  <si>
    <t>0494</t>
  </si>
  <si>
    <t>EAST ELEMENTARY SCHOOL</t>
  </si>
  <si>
    <t>0495</t>
  </si>
  <si>
    <t>NORTH ELEMENTARY SCHOOL</t>
  </si>
  <si>
    <t>0502</t>
  </si>
  <si>
    <t>STEPHENSEN ELEMENTARY SCHOOL</t>
  </si>
  <si>
    <t>0517</t>
  </si>
  <si>
    <t>PINE ELEM-JR HIGH SCHOOL</t>
  </si>
  <si>
    <t>0556</t>
  </si>
  <si>
    <t>HACKER MIDDLE SCHOOL</t>
  </si>
  <si>
    <t>1305</t>
  </si>
  <si>
    <t>MOUNTAIN HOME SD SUMMER ALTERNATIVE</t>
  </si>
  <si>
    <t>1317</t>
  </si>
  <si>
    <t>BENNETT MOUNTAIN HIGH SCHOOL</t>
  </si>
  <si>
    <t>3193</t>
  </si>
  <si>
    <t>ADMINISTRATION BUILDING MOUNTAIN HOME DISTRICT</t>
  </si>
  <si>
    <t>MOUNTAIN VIEW SCHOOL DISTRICT</t>
  </si>
  <si>
    <t>1283</t>
  </si>
  <si>
    <t>CLEARWATER VALLEY JR-SR</t>
  </si>
  <si>
    <t>1284</t>
  </si>
  <si>
    <t>GRANGEVILLE HIGH SCHOOL</t>
  </si>
  <si>
    <t>1285</t>
  </si>
  <si>
    <t>CLEARWATER VALLEY ELEMENTARY</t>
  </si>
  <si>
    <t>1286</t>
  </si>
  <si>
    <t>GRANGEVILLE ELEM/MIDDLE SCHOOL</t>
  </si>
  <si>
    <t>1287</t>
  </si>
  <si>
    <t>ELK CITY SCHOOL</t>
  </si>
  <si>
    <t>3241</t>
  </si>
  <si>
    <t>ADMINISTRATION BUILDING MOUNTAIN VIEW SCHOOL DISTRICT</t>
  </si>
  <si>
    <t>392</t>
  </si>
  <si>
    <t>MULLAN DISTRICT</t>
  </si>
  <si>
    <t>0172</t>
  </si>
  <si>
    <t>MULLAN JR-SR HIGH SCHOOL</t>
  </si>
  <si>
    <t>0815</t>
  </si>
  <si>
    <t>JOHN MULLAN ELEMENTARY SCHOOL</t>
  </si>
  <si>
    <t>3392</t>
  </si>
  <si>
    <t>ADMINISTRATION BUILDING MULLAN DISTRICT</t>
  </si>
  <si>
    <t>418</t>
  </si>
  <si>
    <t>MURTAUGH JOINT DISTRICT</t>
  </si>
  <si>
    <t>1344</t>
  </si>
  <si>
    <t>MURTAUGH SCHOOLS</t>
  </si>
  <si>
    <t>ADMINISTRATION BUILDING MURTAUGH JOINT DISTRICT</t>
  </si>
  <si>
    <t>131</t>
  </si>
  <si>
    <t>NAMPA SCHOOL DISTRICT</t>
  </si>
  <si>
    <t>0061</t>
  </si>
  <si>
    <t>WEST MIDDLE SCHOOL</t>
  </si>
  <si>
    <t>0062</t>
  </si>
  <si>
    <t>SOUTH MIDDLE SCHOOL</t>
  </si>
  <si>
    <t>0213</t>
  </si>
  <si>
    <t>IOWA ELEMENTARY</t>
  </si>
  <si>
    <t>0214</t>
  </si>
  <si>
    <t>SHERMAN ELEMENTARY</t>
  </si>
  <si>
    <t>0215</t>
  </si>
  <si>
    <t>PARK RIDGE ELEMENTARY</t>
  </si>
  <si>
    <t>0444</t>
  </si>
  <si>
    <t>0447</t>
  </si>
  <si>
    <t>CENTRAL ELEMENTARY</t>
  </si>
  <si>
    <t>0450</t>
  </si>
  <si>
    <t>GREENHURST ELEMENTARY SCHOOL</t>
  </si>
  <si>
    <t>0527</t>
  </si>
  <si>
    <t>0528</t>
  </si>
  <si>
    <t>REAGAN ELEMENTARY SCHOOL</t>
  </si>
  <si>
    <t>0529</t>
  </si>
  <si>
    <t>0567</t>
  </si>
  <si>
    <t>IDAHO CENTER OF ADV TECHNOLOGY</t>
  </si>
  <si>
    <t>0581</t>
  </si>
  <si>
    <t>WILLOW CREEK ELEMENTARY</t>
  </si>
  <si>
    <t>0600</t>
  </si>
  <si>
    <t>NAMPA EARLY CHILDHOOD CENTER</t>
  </si>
  <si>
    <t>0638</t>
  </si>
  <si>
    <t>COLUMBIA HIGH SCHOOL</t>
  </si>
  <si>
    <t>0647</t>
  </si>
  <si>
    <t>LAKE RIDGE ELEMENTARY</t>
  </si>
  <si>
    <t>0648</t>
  </si>
  <si>
    <t>LONE STAR MIDDLE SCHOOL</t>
  </si>
  <si>
    <t>0890</t>
  </si>
  <si>
    <t>ENDEAVOR ELEMENTARY SCHOOL</t>
  </si>
  <si>
    <t>0994</t>
  </si>
  <si>
    <t>SKYVIEW HIGH SCHOOL</t>
  </si>
  <si>
    <t>0996</t>
  </si>
  <si>
    <t>SNAKE RIVER ELEMENTARY</t>
  </si>
  <si>
    <t>0998</t>
  </si>
  <si>
    <t>NAMPA SENIOR HIGH SCHOOL</t>
  </si>
  <si>
    <t>1109</t>
  </si>
  <si>
    <t>EAST VALLEY MIDDLE SCHOOL</t>
  </si>
  <si>
    <t>1123</t>
  </si>
  <si>
    <t>NAMPA MIDDLE SCHOOL SUMMER ALTERNATIVES</t>
  </si>
  <si>
    <t>1124</t>
  </si>
  <si>
    <t>NAMPA SUMMER HIGH SCHOOL ALTERNATIVES</t>
  </si>
  <si>
    <t>1154</t>
  </si>
  <si>
    <t>UNION HIGH SCHOOL ALTERNATIVE</t>
  </si>
  <si>
    <t>1394</t>
  </si>
  <si>
    <t>TREASURE VALLEY LEADERSHIP ACADEMY</t>
  </si>
  <si>
    <t>1448</t>
  </si>
  <si>
    <t>NAMPA ONLINE VIRTUAL ACADEMY</t>
  </si>
  <si>
    <t>2889</t>
  </si>
  <si>
    <t>NEW HORIZON MAGNET SCHOOL</t>
  </si>
  <si>
    <t>3131</t>
  </si>
  <si>
    <t>ADMINISTRATION BUILDING NAMPA SCHOOL DISTRICT</t>
  </si>
  <si>
    <t>372</t>
  </si>
  <si>
    <t>NEW PLYMOUTH DISTRICT</t>
  </si>
  <si>
    <t>0164</t>
  </si>
  <si>
    <t>NEW PLYMOUTH HIGH SCHOOL</t>
  </si>
  <si>
    <t>0806</t>
  </si>
  <si>
    <t>NEW PLYMOUTH ELEMENTARY</t>
  </si>
  <si>
    <t>0986</t>
  </si>
  <si>
    <t>NEW PLYMOUTH MIDDLE SCHOOL</t>
  </si>
  <si>
    <t>1240</t>
  </si>
  <si>
    <t>NEW PLYMOUTH SUMMER SCHOOL</t>
  </si>
  <si>
    <t>3372</t>
  </si>
  <si>
    <t>ADMINISTRATION BUILDING NEW PLYMOUTH DISTRICT</t>
  </si>
  <si>
    <t>302</t>
  </si>
  <si>
    <t>NEZPERCE JOINT DISTRICT</t>
  </si>
  <si>
    <t>0272</t>
  </si>
  <si>
    <t>NEZPERCE SCHOOL</t>
  </si>
  <si>
    <t>149</t>
  </si>
  <si>
    <t>NORTH GEM DISTRICT</t>
  </si>
  <si>
    <t>0077</t>
  </si>
  <si>
    <t>NORTH GEM HIGH SCHOOL</t>
  </si>
  <si>
    <t>0464</t>
  </si>
  <si>
    <t>NORTH GEM ELEMENTARY</t>
  </si>
  <si>
    <t>1401</t>
  </si>
  <si>
    <t>NORTH GEM MIDDLE SCHOOL</t>
  </si>
  <si>
    <t>3013</t>
  </si>
  <si>
    <t>ADMINISTRATION BUILDING NORTH GEM DISTRICT</t>
  </si>
  <si>
    <t>480</t>
  </si>
  <si>
    <t>NORTH IDAHO STEM CHARTER ACADEMY, INC.</t>
  </si>
  <si>
    <t>1342</t>
  </si>
  <si>
    <t>NORTH IDAHO STEM CHARTER ACADEMY</t>
  </si>
  <si>
    <t>493</t>
  </si>
  <si>
    <t>NORTH STAR CHARTER SCHOOL, INC.</t>
  </si>
  <si>
    <t>1371</t>
  </si>
  <si>
    <t>NORTH STAR CHARTER SCHOOL</t>
  </si>
  <si>
    <t>465</t>
  </si>
  <si>
    <t>NORTH VALLEY ACADEMY, INC.</t>
  </si>
  <si>
    <t>0653</t>
  </si>
  <si>
    <t>NORTH VALLEY ACADEMY</t>
  </si>
  <si>
    <t>135</t>
  </si>
  <si>
    <t>NOTUS DISTRICT</t>
  </si>
  <si>
    <t>0234</t>
  </si>
  <si>
    <t>NOTUS JR-SR HIGH SCHOOL</t>
  </si>
  <si>
    <t>0520</t>
  </si>
  <si>
    <t>NOTUS ELEMENTARY SCHOOL</t>
  </si>
  <si>
    <t>1023</t>
  </si>
  <si>
    <t>3011</t>
  </si>
  <si>
    <t>ADMINISTRATION BUILDING NOTUS DISTRICT</t>
  </si>
  <si>
    <t>351</t>
  </si>
  <si>
    <t>ONEIDA COUNTY DISTRICT</t>
  </si>
  <si>
    <t>0156</t>
  </si>
  <si>
    <t>MALAD SENIOR HIGH SCHOOL</t>
  </si>
  <si>
    <t>0618</t>
  </si>
  <si>
    <t>MALAD MIDDLE SCHOOL</t>
  </si>
  <si>
    <t>0797</t>
  </si>
  <si>
    <t>STONE ELEMENTARY SCHOOL</t>
  </si>
  <si>
    <t>0798</t>
  </si>
  <si>
    <t>MALAD ELEMENTARY SCHOOL</t>
  </si>
  <si>
    <t>1390</t>
  </si>
  <si>
    <t>IDAHO HOME LEARNING ACADEMY</t>
  </si>
  <si>
    <t>3029</t>
  </si>
  <si>
    <t>ADMINISTRATION BUILDING ONEIDA COUNTY DISTRICT</t>
  </si>
  <si>
    <t>171</t>
  </si>
  <si>
    <t>OROFINO JOINT DISTRICT</t>
  </si>
  <si>
    <t>0087</t>
  </si>
  <si>
    <t>0088</t>
  </si>
  <si>
    <t>OROFINO HIGH SCHOOL</t>
  </si>
  <si>
    <t>0479</t>
  </si>
  <si>
    <t>OROFINO ELEMENTARY SCHOOL</t>
  </si>
  <si>
    <t>0481</t>
  </si>
  <si>
    <t>CAVENDISH-TEAKEAN ELEM SCHOOL</t>
  </si>
  <si>
    <t>0482</t>
  </si>
  <si>
    <t>PECK ELEMENTARY SCHOOL</t>
  </si>
  <si>
    <t>1361</t>
  </si>
  <si>
    <t>IDAHO YOUTH CHALLENGE ACADEMY SPRING ALTERNATIVE</t>
  </si>
  <si>
    <t>1362</t>
  </si>
  <si>
    <t>IDAHO YOUTH CHALLENGE ACADEMY FALL ALTERNATIVE</t>
  </si>
  <si>
    <t>2520</t>
  </si>
  <si>
    <t>TIMBERLINE ELEMENTARY</t>
  </si>
  <si>
    <t>3171</t>
  </si>
  <si>
    <t>ADMINISTRATION BUILDING OROFINO JOINT DISTRICT</t>
  </si>
  <si>
    <t>472</t>
  </si>
  <si>
    <t>PALOUSE PRAIRIE EDUCATIONAL ORGANIZATION, INC.</t>
  </si>
  <si>
    <t>1234</t>
  </si>
  <si>
    <t>PALOUSE PRAIRIE CHARTER SCHOOL</t>
  </si>
  <si>
    <t>137</t>
  </si>
  <si>
    <t>PARMA DISTRICT</t>
  </si>
  <si>
    <t>0072</t>
  </si>
  <si>
    <t>PARMA HIGH SCHOOL</t>
  </si>
  <si>
    <t>0282</t>
  </si>
  <si>
    <t>PARMA MIDDLE SCHOOL</t>
  </si>
  <si>
    <t>0456</t>
  </si>
  <si>
    <t>MAXINE JOHNSON ELEMENTARY</t>
  </si>
  <si>
    <t>1024</t>
  </si>
  <si>
    <t>3137</t>
  </si>
  <si>
    <t>ADMINISTRATION BUILDING PARMA DISTRICT</t>
  </si>
  <si>
    <t>497</t>
  </si>
  <si>
    <t>PATHWAYS IN EDUCATION - NAMPA, INC.</t>
  </si>
  <si>
    <t>1398</t>
  </si>
  <si>
    <t>PATHWAYS IN EDUCATION: NAMPA</t>
  </si>
  <si>
    <t>371</t>
  </si>
  <si>
    <t>PAYETTE JOINT DISTRICT</t>
  </si>
  <si>
    <t>MC CAIN MIDDLE SCHOOL</t>
  </si>
  <si>
    <t>0162</t>
  </si>
  <si>
    <t>PAYETTE HIGH SCHOOL</t>
  </si>
  <si>
    <t>0508</t>
  </si>
  <si>
    <t>PAYETTE PRIMARY SCHOOL</t>
  </si>
  <si>
    <t>0805</t>
  </si>
  <si>
    <t>1093</t>
  </si>
  <si>
    <t>PAYETTE ALTERNATIVE SUMMER SCHOOL</t>
  </si>
  <si>
    <t>1400</t>
  </si>
  <si>
    <t>TREASURE VALLEY TECH (TVT) - IDAHO</t>
  </si>
  <si>
    <t>1453</t>
  </si>
  <si>
    <t>PRESIDIO HIGH SCHOOL</t>
  </si>
  <si>
    <t>3371</t>
  </si>
  <si>
    <t>ADMINISTRATION BUILDING PAYETTE JOINT DISTRICT</t>
  </si>
  <si>
    <t>794</t>
  </si>
  <si>
    <t>PAYETTE RIVER TECHNICAL ACADEMY, INC.</t>
  </si>
  <si>
    <t>1249</t>
  </si>
  <si>
    <t>PAYETTE RIVER TECHNICAL ACADEMY</t>
  </si>
  <si>
    <t>511</t>
  </si>
  <si>
    <t>PEACE VALLEY CHARTER SCHOOL, INC.</t>
  </si>
  <si>
    <t>1412</t>
  </si>
  <si>
    <t>PEACE VALLEY CHARTER SCHOOL</t>
  </si>
  <si>
    <t>553</t>
  </si>
  <si>
    <t>PINECREST ACADEMY OF IDAHO, INC.</t>
  </si>
  <si>
    <t>1444</t>
  </si>
  <si>
    <t>PINECREST ACADEMY OF IDAHO</t>
  </si>
  <si>
    <t>364</t>
  </si>
  <si>
    <t>PLEASANT VALLEY ELEM DIST</t>
  </si>
  <si>
    <t>0800</t>
  </si>
  <si>
    <t>PLEASANT VALLEY ELEM-JR HIGH</t>
  </si>
  <si>
    <t>1056</t>
  </si>
  <si>
    <t>BORDER DIST-JORDAN VALLEY-SECONDARY</t>
  </si>
  <si>
    <t>3364</t>
  </si>
  <si>
    <t>ADMINISTRATION BUILDING PLEASANT VALLEY ELEM DIST</t>
  </si>
  <si>
    <t>044</t>
  </si>
  <si>
    <t>PLUMMER-WORLEY JOINT DISTRICT</t>
  </si>
  <si>
    <t>0030</t>
  </si>
  <si>
    <t>LAKESIDE HIGH SCHOOL</t>
  </si>
  <si>
    <t>0128</t>
  </si>
  <si>
    <t>LAKESIDE JR HIGH SCHOOL</t>
  </si>
  <si>
    <t>0752</t>
  </si>
  <si>
    <t>LAKESIDE ELEMENTARY SCHOOL</t>
  </si>
  <si>
    <t>3044</t>
  </si>
  <si>
    <t>ADMINISTRATION BUILDING PLUMMER-WORLEY JOINT DISTRICT</t>
  </si>
  <si>
    <t>POCATELLO DISTRICT</t>
  </si>
  <si>
    <t>0020</t>
  </si>
  <si>
    <t>FRANKLIN MIDDLE SCHOOL</t>
  </si>
  <si>
    <t>0021</t>
  </si>
  <si>
    <t>HAWTHORNE MIDDLE SCHOOL</t>
  </si>
  <si>
    <t>0022</t>
  </si>
  <si>
    <t>IRVING MIDDLE SCHOOL</t>
  </si>
  <si>
    <t>0023</t>
  </si>
  <si>
    <t>ALAMEDA MIDDLE SCHOOL</t>
  </si>
  <si>
    <t>0024</t>
  </si>
  <si>
    <t>POCATELLO HIGH SCHOOL</t>
  </si>
  <si>
    <t>0025</t>
  </si>
  <si>
    <t>HIGHLAND HIGH SCHOOL</t>
  </si>
  <si>
    <t>0353</t>
  </si>
  <si>
    <t>EDAHOW ELEMENTARY SCHOOL</t>
  </si>
  <si>
    <t>0354</t>
  </si>
  <si>
    <t>GREENACRES ELEMENTARY SCHOOL</t>
  </si>
  <si>
    <t>0355</t>
  </si>
  <si>
    <t>INDIAN HILLS ELEMENTARY SCHOOL</t>
  </si>
  <si>
    <t>0356</t>
  </si>
  <si>
    <t>CHUBBUCK ELEMENTARY SCHOOL</t>
  </si>
  <si>
    <t>0357</t>
  </si>
  <si>
    <t>GATE CITY ELEMENTARY SCHOOL</t>
  </si>
  <si>
    <t>0358</t>
  </si>
  <si>
    <t>RULON M ELLIS ELEM SCHOOL</t>
  </si>
  <si>
    <t>0359</t>
  </si>
  <si>
    <t>0360</t>
  </si>
  <si>
    <t>TYHEE ELEMENTARY SCHOOL</t>
  </si>
  <si>
    <t>0361</t>
  </si>
  <si>
    <t>SYRINGA ELEMENTARY SCHOOL</t>
  </si>
  <si>
    <t>0362</t>
  </si>
  <si>
    <t>CLAUDE A WILCOX ELEM SCHOOL</t>
  </si>
  <si>
    <t>0365</t>
  </si>
  <si>
    <t>0366</t>
  </si>
  <si>
    <t>TENDOY ELEMENTARY SCHOOL</t>
  </si>
  <si>
    <t>0368</t>
  </si>
  <si>
    <t>LEWIS &amp; CLARK ELEMENTARY SCH</t>
  </si>
  <si>
    <t>0565</t>
  </si>
  <si>
    <t>GATEWAY PROF-TECH SCHOOL</t>
  </si>
  <si>
    <t>0956</t>
  </si>
  <si>
    <t>CENTURY HIGH SCHOOL</t>
  </si>
  <si>
    <t>1002</t>
  </si>
  <si>
    <t>KINPORT MIDDLE SCHOOL</t>
  </si>
  <si>
    <t>1120</t>
  </si>
  <si>
    <t>POCATELLO SUMMER ALTERNATIVE HIGH SCHOOL</t>
  </si>
  <si>
    <t>1141</t>
  </si>
  <si>
    <t>NEW HORISON HIGH SCHOOL ALTERNATIVE</t>
  </si>
  <si>
    <t>1142</t>
  </si>
  <si>
    <t>DISTRICT #25 ALTERNATIVE SUMMER SCHOOL AT NEW HORIZONS</t>
  </si>
  <si>
    <t>1176</t>
  </si>
  <si>
    <t>POCATELLO JUVENILE DETENTION-SUMMER</t>
  </si>
  <si>
    <t>1204</t>
  </si>
  <si>
    <t xml:space="preserve">POCATELLO MIDDLE ALTERNATIVE SUMMER SCHOOL </t>
  </si>
  <si>
    <t>ADMINISTRATION BUILDING POCATELLO DISTRICT</t>
  </si>
  <si>
    <t>9033</t>
  </si>
  <si>
    <t>LINCOLN PRESCHOOL CENTER</t>
  </si>
  <si>
    <t>9034</t>
  </si>
  <si>
    <t>POCATELLO JUVENILE DETENTION</t>
  </si>
  <si>
    <t>POST FALLS DISTRICT</t>
  </si>
  <si>
    <t>0125</t>
  </si>
  <si>
    <t>POST FALLS MIDDLE SCHOOL</t>
  </si>
  <si>
    <t>0126</t>
  </si>
  <si>
    <t>POST FALLS HIGH SCHOOL</t>
  </si>
  <si>
    <t>0253</t>
  </si>
  <si>
    <t>MULLAN TRAIL ELEMENTARY SCHOOL</t>
  </si>
  <si>
    <t>0268</t>
  </si>
  <si>
    <t>RIVER CITY MIDDLE SCHOOL</t>
  </si>
  <si>
    <t>0736</t>
  </si>
  <si>
    <t>PRAIRIE VIEW ELEMENTARY</t>
  </si>
  <si>
    <t>0748</t>
  </si>
  <si>
    <t>0749</t>
  </si>
  <si>
    <t>SELTICE ELEMENTARY SCHOOL</t>
  </si>
  <si>
    <t>0750</t>
  </si>
  <si>
    <t>FREDERICK POST KINDER CENTER</t>
  </si>
  <si>
    <t>1084</t>
  </si>
  <si>
    <t>NEW VISION HIGH SCHOOL ALTERNATIVE</t>
  </si>
  <si>
    <t>1188</t>
  </si>
  <si>
    <t>POST FALLS HIGH SCHOOL / RIVER CITY MIDDLE SCHOOL SUMMER ALTERNATIVE</t>
  </si>
  <si>
    <t>1388</t>
  </si>
  <si>
    <t>GREENSFERRY ELEMENTARY SCHOOL</t>
  </si>
  <si>
    <t>1445</t>
  </si>
  <si>
    <t>TREATY ROCK ELEMENTARY</t>
  </si>
  <si>
    <t>2517</t>
  </si>
  <si>
    <t>WEST RIDGE ELEMENTARY SCHOOL</t>
  </si>
  <si>
    <t>3273</t>
  </si>
  <si>
    <t>ADMINISTRATION BUILDING POST FALLS DISTRICT</t>
  </si>
  <si>
    <t>POTLATCH DISTRICT</t>
  </si>
  <si>
    <t>0135</t>
  </si>
  <si>
    <t>POTLATCH JR-SR HIGH SCHOOL</t>
  </si>
  <si>
    <t>0762</t>
  </si>
  <si>
    <t>POTLATCH ELEMENTARY SCHOOL</t>
  </si>
  <si>
    <t>3024</t>
  </si>
  <si>
    <t>ADMINISTRATION BUILDING POTLATCH DISTRICT</t>
  </si>
  <si>
    <t>191</t>
  </si>
  <si>
    <t>PRAIRIE ELEMENTARY DISTRICT</t>
  </si>
  <si>
    <t>0491</t>
  </si>
  <si>
    <t>PRAIRIE ELEM-JR HIGH SCHOOL</t>
  </si>
  <si>
    <t>3191</t>
  </si>
  <si>
    <t>ADMINISTRATION BUILDING PRAIRIE ELEMENTARY DISTRICT</t>
  </si>
  <si>
    <t>201</t>
  </si>
  <si>
    <t>PRESTON JOINT DISTRICT</t>
  </si>
  <si>
    <t>0096</t>
  </si>
  <si>
    <t>PRESTON HIGH SCHOOL</t>
  </si>
  <si>
    <t>0291</t>
  </si>
  <si>
    <t>PRESTON JR HIGH SCHOOL</t>
  </si>
  <si>
    <t>0497</t>
  </si>
  <si>
    <t>OAKWOOD ELEMENTARY SCHOOL</t>
  </si>
  <si>
    <t>0499</t>
  </si>
  <si>
    <t>PIONEER ELEMENTARY SCHOOL</t>
  </si>
  <si>
    <t>1170</t>
  </si>
  <si>
    <t>FRANKLIN COUNTY HIGH SCHOOL SUMMER</t>
  </si>
  <si>
    <t>1278</t>
  </si>
  <si>
    <t>PRESTON JUNIOR HIGH SCHOOL SUMMER ALTERNATIVE</t>
  </si>
  <si>
    <t>3201</t>
  </si>
  <si>
    <t>ADMINISTRATION BUILDING PRESTON JOINT DISTRICT</t>
  </si>
  <si>
    <t>8844</t>
  </si>
  <si>
    <t>FRANKLIN COUNTY HIGH SCHOOOL</t>
  </si>
  <si>
    <t>513</t>
  </si>
  <si>
    <t>PROJECT IMPACT STEM ACADEMY, INC.</t>
  </si>
  <si>
    <t>1413</t>
  </si>
  <si>
    <t>PROJECT IMPACT STEM ACADEMY</t>
  </si>
  <si>
    <t>316</t>
  </si>
  <si>
    <t>RICHFIELD DISTRICT</t>
  </si>
  <si>
    <t>0144</t>
  </si>
  <si>
    <t>RICHFIELD SCHOOL</t>
  </si>
  <si>
    <t>ADMINISTRATION BUILDING RICHFIELD DISTRICT</t>
  </si>
  <si>
    <t>RIRIE JOINT DISTRICT</t>
  </si>
  <si>
    <t>0228</t>
  </si>
  <si>
    <t>RIRIE JR/SR HIGH SCHOOL</t>
  </si>
  <si>
    <t>0229</t>
  </si>
  <si>
    <t>RIRIE ELEMENTARY SCHOOL</t>
  </si>
  <si>
    <t>3252</t>
  </si>
  <si>
    <t>ADMINISTRATION BUILDING RIRIE JOINT DISTRICT</t>
  </si>
  <si>
    <t>562</t>
  </si>
  <si>
    <t>RISE CHARTER SCHOOL, INC.</t>
  </si>
  <si>
    <t>1461</t>
  </si>
  <si>
    <t>RISE CHARTER SCHOOL</t>
  </si>
  <si>
    <t>382</t>
  </si>
  <si>
    <t>ROCKLAND DISTRICT</t>
  </si>
  <si>
    <t>0169</t>
  </si>
  <si>
    <t>ROCKLAND PUBLIC SCHOOL</t>
  </si>
  <si>
    <t>3382</t>
  </si>
  <si>
    <t>ADMINISTRATION BUILDING ROCKLAND DISTRICT</t>
  </si>
  <si>
    <t>454</t>
  </si>
  <si>
    <t>ROLLING HILLS PUBLIC CHARTER SCHOOL, INC.</t>
  </si>
  <si>
    <t>0574</t>
  </si>
  <si>
    <t>ROLLING HILLS PUBLIC CHARTER</t>
  </si>
  <si>
    <t>751</t>
  </si>
  <si>
    <t>S E I TEC CHARTER SCHOOL, INC.</t>
  </si>
  <si>
    <t>1349</t>
  </si>
  <si>
    <t>SOUTHEAST IDAHO PROFESSIONAL TECHNICAL SCHOOL</t>
  </si>
  <si>
    <t>291</t>
  </si>
  <si>
    <t>SALMON DISTRICT</t>
  </si>
  <si>
    <t>0136</t>
  </si>
  <si>
    <t>SALMON JR./SR. HIGH SCHOOL</t>
  </si>
  <si>
    <t>0764</t>
  </si>
  <si>
    <t>SALMON PIONEER PRIMARY SCHOOL</t>
  </si>
  <si>
    <t>1153</t>
  </si>
  <si>
    <t>SALMON JUVENILE DETENTION CTR</t>
  </si>
  <si>
    <t>1181</t>
  </si>
  <si>
    <t>SALMON JUVENILE DETENTION (SUMMER)</t>
  </si>
  <si>
    <t>1268</t>
  </si>
  <si>
    <t>C D C</t>
  </si>
  <si>
    <t>2521</t>
  </si>
  <si>
    <t>SALMON ALTERNATIVE SUMMER SCHOOL</t>
  </si>
  <si>
    <t>3291</t>
  </si>
  <si>
    <t>ADMINISTRATION BUILDING SALMON DISTRICT</t>
  </si>
  <si>
    <t>9014</t>
  </si>
  <si>
    <t>SALMON ALTERNATIVE HIGH SCHOOL</t>
  </si>
  <si>
    <t>SALMON RIVER JOINT SCHOOL DIST</t>
  </si>
  <si>
    <t>1280</t>
  </si>
  <si>
    <t>RIGGINS ELEMENTARY SCHOOL</t>
  </si>
  <si>
    <t>1281</t>
  </si>
  <si>
    <t>SALMON RIVER JR-SR HIGH SCHOOL</t>
  </si>
  <si>
    <t>3036</t>
  </si>
  <si>
    <t>ADMINISTRATION BUILDING SALMON RIVER JOINT SCHOOL DIST</t>
  </si>
  <si>
    <t>487</t>
  </si>
  <si>
    <t>SANDPOINT CHARTER SCHOOL, INC.</t>
  </si>
  <si>
    <t>1365</t>
  </si>
  <si>
    <t>FORREST M. BIRD CHARTER SCHOOL</t>
  </si>
  <si>
    <t>SHELLEY JOINT DISTRICT</t>
  </si>
  <si>
    <t>0035</t>
  </si>
  <si>
    <t>SHELLEY SENIOR HIGH SCHOOL</t>
  </si>
  <si>
    <t>0039</t>
  </si>
  <si>
    <t>DONALD J HOBBS MIDDLE SCHOOL</t>
  </si>
  <si>
    <t>0391</t>
  </si>
  <si>
    <t>SUNRISE ELEMENTARY SCHOOL</t>
  </si>
  <si>
    <t>0392</t>
  </si>
  <si>
    <t>HAZEL STUART ELEMENTARY SCHOOL</t>
  </si>
  <si>
    <t>1251</t>
  </si>
  <si>
    <t xml:space="preserve">RIVERVIEW ELEMENTARY SCHOOL   </t>
  </si>
  <si>
    <t>1479</t>
  </si>
  <si>
    <t>SHELLEY WORK BASED ACADEMY</t>
  </si>
  <si>
    <t>3060</t>
  </si>
  <si>
    <t>ADMINISTRATION BUILDING SHELLEY JOINT DISTRICT</t>
  </si>
  <si>
    <t>312</t>
  </si>
  <si>
    <t>SHOSHONE JOINT DISTRICT</t>
  </si>
  <si>
    <t>0294</t>
  </si>
  <si>
    <t>SHOSHONE MIDDLE SCHOOL</t>
  </si>
  <si>
    <t>0295</t>
  </si>
  <si>
    <t>SHOSHONE HIGH SCHOOL</t>
  </si>
  <si>
    <t>0770</t>
  </si>
  <si>
    <t>SHOSHONE ELEMENTARY SCHOOL</t>
  </si>
  <si>
    <t>0846</t>
  </si>
  <si>
    <t>HIGH DESERT ALTERNATIVE</t>
  </si>
  <si>
    <t>3312</t>
  </si>
  <si>
    <t>ADMINISTRATION BUILDING SHOSHONE JOINT DISTRICT</t>
  </si>
  <si>
    <t>052</t>
  </si>
  <si>
    <t>SNAKE RIVER DISTRICT</t>
  </si>
  <si>
    <t>0031</t>
  </si>
  <si>
    <t>SNAKE RIVER JR HIGH SCHOOL</t>
  </si>
  <si>
    <t>0032</t>
  </si>
  <si>
    <t>SNAKE RIVER HIGH SCHOOL</t>
  </si>
  <si>
    <t>0376</t>
  </si>
  <si>
    <t>0377</t>
  </si>
  <si>
    <t>MORELAND ELEMENTARY SCHOOL</t>
  </si>
  <si>
    <t>0378</t>
  </si>
  <si>
    <t>ROCKFORD ELEMENTARY SCHOOL</t>
  </si>
  <si>
    <t>0380</t>
  </si>
  <si>
    <t>SNAKE RIVER MIDDLE SCHOOL</t>
  </si>
  <si>
    <t>1451</t>
  </si>
  <si>
    <t>SNAKE RIVER ONLINE</t>
  </si>
  <si>
    <t>3052</t>
  </si>
  <si>
    <t>ADMINISTRATION BUILDING SNAKE RIVER DISTRICT</t>
  </si>
  <si>
    <t>150</t>
  </si>
  <si>
    <t>SODA SPRINGS JOINT DISTRICT</t>
  </si>
  <si>
    <t>0078</t>
  </si>
  <si>
    <t>TIGERT MIDDLE SCHOOL</t>
  </si>
  <si>
    <t>0079</t>
  </si>
  <si>
    <t>SODA SPRINGS HIGH SCHOOL</t>
  </si>
  <si>
    <t>0466</t>
  </si>
  <si>
    <t>HOWARD E THIRKILL PRIMARY SCHOOL</t>
  </si>
  <si>
    <t>1025</t>
  </si>
  <si>
    <t>FREEDOM BORDER DIST-ELEMENTARY</t>
  </si>
  <si>
    <t>1026</t>
  </si>
  <si>
    <t>FREEDOM BORDER DIST-SECONDARY</t>
  </si>
  <si>
    <t>3150</t>
  </si>
  <si>
    <t>ADMINISTRATION BUILDING SODA SPRINGS JOINT DISTRICT</t>
  </si>
  <si>
    <t>292</t>
  </si>
  <si>
    <t>SOUTH LEMHI DISTRICT</t>
  </si>
  <si>
    <t>0137</t>
  </si>
  <si>
    <t>LEADORE SCHOOL</t>
  </si>
  <si>
    <t>0765</t>
  </si>
  <si>
    <t>3292</t>
  </si>
  <si>
    <t>ADMINISTRATION BUILDING SOUTH LEMHI DISTRICT</t>
  </si>
  <si>
    <t>041</t>
  </si>
  <si>
    <t>ST MARIES JOINT DISTRICT</t>
  </si>
  <si>
    <t>0028</t>
  </si>
  <si>
    <t>ST MARIES MIDDLE SCHOOL</t>
  </si>
  <si>
    <t>0029</t>
  </si>
  <si>
    <t>ST MARIES HIGH SCHOOL</t>
  </si>
  <si>
    <t>0254</t>
  </si>
  <si>
    <t>0374</t>
  </si>
  <si>
    <t>UPRIVER ELEMENTARY SCHOOL</t>
  </si>
  <si>
    <t>1138</t>
  </si>
  <si>
    <t>ST. MARIES COMMUNITY EDUCATION ALTERNATIVE</t>
  </si>
  <si>
    <t>3041</t>
  </si>
  <si>
    <t>ADMINISTRATION BUILDING ST MARIES JOINT DISTRICT</t>
  </si>
  <si>
    <t>322</t>
  </si>
  <si>
    <t>SUGAR-SALEM JOINT DISTRICT</t>
  </si>
  <si>
    <t>0147</t>
  </si>
  <si>
    <t>SUGAR-SALEM HIGH SCHOOL</t>
  </si>
  <si>
    <t>0225</t>
  </si>
  <si>
    <t>KERSHAW INTERMEDIATE SCHOOL</t>
  </si>
  <si>
    <t>0226</t>
  </si>
  <si>
    <t>SUGAR-SALEM JUNIOR HIGH SCHOOL</t>
  </si>
  <si>
    <t>0781</t>
  </si>
  <si>
    <t>CENTRAL ELEMENTARY SCHOOL</t>
  </si>
  <si>
    <t>0874</t>
  </si>
  <si>
    <t>VALLEY VIEW ALTERNATIVE HIGH SCHOOL</t>
  </si>
  <si>
    <t>3322</t>
  </si>
  <si>
    <t>ADMINISTRATION BUILDING SUGAR SALEM JOINT DISTRICT</t>
  </si>
  <si>
    <t>092</t>
  </si>
  <si>
    <t>SWAN VALLEY ELEMENTARY DIST</t>
  </si>
  <si>
    <t>0424</t>
  </si>
  <si>
    <t>SWAN VALLEY ELEMENTARY SCHOOL</t>
  </si>
  <si>
    <t>1014</t>
  </si>
  <si>
    <t>STAR VALLEY ELEMENTARY SCHOOL</t>
  </si>
  <si>
    <t>1015</t>
  </si>
  <si>
    <t>STAR VALLEY JR-SR HIGH SCHOOL</t>
  </si>
  <si>
    <t>3092</t>
  </si>
  <si>
    <t>ADMINISTRATION BUILDING SWAN VALLEY ELEMENTARY DIST</t>
  </si>
  <si>
    <t>488</t>
  </si>
  <si>
    <t>SYRINGA MOUNTAIN SCHOOL, INC.</t>
  </si>
  <si>
    <t>1367</t>
  </si>
  <si>
    <t>SYRINGA MOUNTAIN CHARTER SCHOOL</t>
  </si>
  <si>
    <t>461</t>
  </si>
  <si>
    <t>TAYLOR'S CROSSING PUBLIC CHARTER SCHOOL, INC.</t>
  </si>
  <si>
    <t>0642</t>
  </si>
  <si>
    <t>TAYLORS CROSSING CHARTER SCHOOL</t>
  </si>
  <si>
    <t>401</t>
  </si>
  <si>
    <t>TETON COUNTY DISTRICT</t>
  </si>
  <si>
    <t>TETON HIGH SCHOOL</t>
  </si>
  <si>
    <t>0195</t>
  </si>
  <si>
    <t>TETON MIDDLE SCHOOL</t>
  </si>
  <si>
    <t>0249</t>
  </si>
  <si>
    <t>DRIGGS ELEMENTARY SCHOOL</t>
  </si>
  <si>
    <t>0822</t>
  </si>
  <si>
    <t>TETONIA ELEMENTARY SCHOOL</t>
  </si>
  <si>
    <t>0823</t>
  </si>
  <si>
    <t>VICTOR ELEMENTARY SCHOOL</t>
  </si>
  <si>
    <t>0875</t>
  </si>
  <si>
    <t>Basin Alternative High School</t>
  </si>
  <si>
    <t>1236</t>
  </si>
  <si>
    <t>RENDEZVOUS UPPER ELEMENTARY SCHOOL</t>
  </si>
  <si>
    <t>ADMINISTRATION BUILDING TETON COUNTY DISTRICT</t>
  </si>
  <si>
    <t>460</t>
  </si>
  <si>
    <t>THE ACADEMY, INC.</t>
  </si>
  <si>
    <t>0641</t>
  </si>
  <si>
    <t>CONNOR ACADEMY</t>
  </si>
  <si>
    <t>470</t>
  </si>
  <si>
    <t>THE KOOTENAI BRIDGE ACADEMY, INC.</t>
  </si>
  <si>
    <t>1232</t>
  </si>
  <si>
    <t>KOOTENAI BRIDGE ACADEMY ALTERNATIVE</t>
  </si>
  <si>
    <t>2523</t>
  </si>
  <si>
    <t>KOOTENAI BRIDGE ACADEMY SUMMER ALTERNATIVE</t>
  </si>
  <si>
    <t>494</t>
  </si>
  <si>
    <t>THE POCATELLO COMMUNITY CHARTER SCHOOL, INC.</t>
  </si>
  <si>
    <t>0623</t>
  </si>
  <si>
    <t>POCATELLO COMMUNITY CHARTER</t>
  </si>
  <si>
    <t>475</t>
  </si>
  <si>
    <t>THE SAGE INTERNATIONAL SCHOOL OF BOISE, A PUBLIC CHARTER SCHOOL, INC.</t>
  </si>
  <si>
    <t>1248</t>
  </si>
  <si>
    <t>SAGE INTERNATIONAL SCHOOL OF BOISE</t>
  </si>
  <si>
    <t>473</t>
  </si>
  <si>
    <t>THE VILLAGE CHARTER SCHOOL, INC.</t>
  </si>
  <si>
    <t>1339</t>
  </si>
  <si>
    <t>559</t>
  </si>
  <si>
    <t>THOMAS JEFFERSON CHARTER SCHOOL, INC.</t>
  </si>
  <si>
    <t>0559</t>
  </si>
  <si>
    <t>THOMAS JEFFERSON CHARTER</t>
  </si>
  <si>
    <t>416</t>
  </si>
  <si>
    <t>THREE CREEK JT ELEM DISTRICT</t>
  </si>
  <si>
    <t>0835</t>
  </si>
  <si>
    <t>THREE CREEK ELEM-JR HI SCHOOL</t>
  </si>
  <si>
    <t>3416</t>
  </si>
  <si>
    <t>ADMINISTRATION BUILDING THREE CREEK</t>
  </si>
  <si>
    <t>TREASURE VALLEY CLASSICAL ACADEMY, INC.</t>
  </si>
  <si>
    <t>1424</t>
  </si>
  <si>
    <t>TREASURE VALLEY CLASSICAL ACADEMY</t>
  </si>
  <si>
    <t>TROY SCHOOL DISTRICT</t>
  </si>
  <si>
    <t>0766</t>
  </si>
  <si>
    <t>TROY ELEMENTARY SCHOOL</t>
  </si>
  <si>
    <t>0772</t>
  </si>
  <si>
    <t>TROY JR-SR HIGH SCHOOL</t>
  </si>
  <si>
    <t>3287</t>
  </si>
  <si>
    <t>ADMINISTRATION BUILDING TROY SCHOOL DISTRICT</t>
  </si>
  <si>
    <t>411</t>
  </si>
  <si>
    <t>TWIN FALLS DISTRICT</t>
  </si>
  <si>
    <t>0176</t>
  </si>
  <si>
    <t>ROBERT STUART MIDDLE SCHOOL</t>
  </si>
  <si>
    <t>0177</t>
  </si>
  <si>
    <t>VERA C O'LEARY MIDDLE SCHOOL</t>
  </si>
  <si>
    <t>0178</t>
  </si>
  <si>
    <t>TWIN FALLS HIGH SCHOOL</t>
  </si>
  <si>
    <t>0515</t>
  </si>
  <si>
    <t>OREGON TRAIL ELEMENTARY SCHOOL</t>
  </si>
  <si>
    <t>0824</t>
  </si>
  <si>
    <t>I B PERRINE ELEMENTARY SCHOOL</t>
  </si>
  <si>
    <t>0825</t>
  </si>
  <si>
    <t>MORNINGSIDE ELEMENTARY SCHOOL</t>
  </si>
  <si>
    <t>0826</t>
  </si>
  <si>
    <t>SAWTOOTH ELEMENTARY SCHOOL</t>
  </si>
  <si>
    <t>0827</t>
  </si>
  <si>
    <t>0828</t>
  </si>
  <si>
    <t>BICKEL ELEMENTARY SCHOOL</t>
  </si>
  <si>
    <t>0829</t>
  </si>
  <si>
    <t>1066</t>
  </si>
  <si>
    <t>MAGIC VALLEY HIGH SCHOOL ALTERNATIVE</t>
  </si>
  <si>
    <t>1135</t>
  </si>
  <si>
    <t>TWIN FALLS MIDDLE SCHOOL SUMMER ALT SCHOOL</t>
  </si>
  <si>
    <t>1147</t>
  </si>
  <si>
    <t>BRIDGE ACADEMY</t>
  </si>
  <si>
    <t>1174</t>
  </si>
  <si>
    <t>TWIN FALLS ALTERNATIVE SUMMER HIGH SCHOOLS</t>
  </si>
  <si>
    <t>1185</t>
  </si>
  <si>
    <t>SNAKE RIVER JUV DET-SUMMER</t>
  </si>
  <si>
    <t>1237</t>
  </si>
  <si>
    <t>CANYON RIDGE HIGH SCHOOL</t>
  </si>
  <si>
    <t>1260</t>
  </si>
  <si>
    <t>SNAKE RIVER JUVENILE DETENTION</t>
  </si>
  <si>
    <t>1381</t>
  </si>
  <si>
    <t>PILLAR FALLS ELEMENTARY</t>
  </si>
  <si>
    <t>1382</t>
  </si>
  <si>
    <t>ROCK CREEK ELEMENTARY</t>
  </si>
  <si>
    <t>1393</t>
  </si>
  <si>
    <t>SOUTH HILLS MIDDLE SCHOOL</t>
  </si>
  <si>
    <t>1402</t>
  </si>
  <si>
    <t>TWIN FALLS VIRTUAL SCHOOLHOUSE</t>
  </si>
  <si>
    <t>3411</t>
  </si>
  <si>
    <t>ADMINISTRATION BUILDING TWIN FALLS DISTRICT</t>
  </si>
  <si>
    <t>486</t>
  </si>
  <si>
    <t>UPPER CARMEN PUBLIC CHARTER SCHOOL, INC.</t>
  </si>
  <si>
    <t>1366</t>
  </si>
  <si>
    <t>UPPER CARMEN PUBLIC CHARTER SCHOOL</t>
  </si>
  <si>
    <t>1378</t>
  </si>
  <si>
    <t>UPPER CARMEN CHARTER HIGH SCHOOL</t>
  </si>
  <si>
    <t>VALLEY DISTRICT</t>
  </si>
  <si>
    <t>VALLEY SCHOOL</t>
  </si>
  <si>
    <t>1478</t>
  </si>
  <si>
    <t>CORNERSTONE HIGH SCHOOL</t>
  </si>
  <si>
    <t>ADMINISTRATION BUILDING VALLEY DISTRICT</t>
  </si>
  <si>
    <t>139</t>
  </si>
  <si>
    <t>VALLIVUE SCHOOL DISTRICT</t>
  </si>
  <si>
    <t>VALLIVUE HIGH SCHOOL</t>
  </si>
  <si>
    <t>0460</t>
  </si>
  <si>
    <t>EAST CANYON ELEMENTARY SCHOOL</t>
  </si>
  <si>
    <t>0461</t>
  </si>
  <si>
    <t>WEST CANYON ELEMENTARY SCHOOL</t>
  </si>
  <si>
    <t>0505</t>
  </si>
  <si>
    <t>CENTRAL CANYON ELEMENTARY SCHOOL</t>
  </si>
  <si>
    <t>0519</t>
  </si>
  <si>
    <t>BIRCH ELEMENTARY SCHOOL</t>
  </si>
  <si>
    <t>0582</t>
  </si>
  <si>
    <t>SAGE VALLEY MIDDLE SCHOOL</t>
  </si>
  <si>
    <t>0627</t>
  </si>
  <si>
    <t>VALLIVUE SCHOOL DISTRICT SUMMER SCHOOL</t>
  </si>
  <si>
    <t>0646</t>
  </si>
  <si>
    <t>LAKEVUE ELEMENTARY SCHOOL</t>
  </si>
  <si>
    <t>0892</t>
  </si>
  <si>
    <t>DESERT SPRINGS ELEMENTARY SCHOOL</t>
  </si>
  <si>
    <t>0985</t>
  </si>
  <si>
    <t>VALLIVUE MIDDLE SCHOOL</t>
  </si>
  <si>
    <t>1296</t>
  </si>
  <si>
    <t>VALLIVUE VIRTUAL ACADEMY</t>
  </si>
  <si>
    <t>1380</t>
  </si>
  <si>
    <t>RIDGEVUE HIGH SCHOOL</t>
  </si>
  <si>
    <t>1397</t>
  </si>
  <si>
    <t>SKYWAY ELEMENTARY</t>
  </si>
  <si>
    <t>1464</t>
  </si>
  <si>
    <t>SUMMITVUE MIDDLE SCHOOL</t>
  </si>
  <si>
    <t>3139</t>
  </si>
  <si>
    <t>ADMINISTRATION BUILDING VALLIVUE SCHOOL DISTRICT</t>
  </si>
  <si>
    <t>9017</t>
  </si>
  <si>
    <t>VALLIVUE ACADEMY ALTERNATIVE</t>
  </si>
  <si>
    <t>451</t>
  </si>
  <si>
    <t>VICTORY CHARTER SCHOOL, INC.</t>
  </si>
  <si>
    <t>0868</t>
  </si>
  <si>
    <t>VICTORY CHARTER SCHOOL</t>
  </si>
  <si>
    <t>463</t>
  </si>
  <si>
    <t>VISION CHARTER SCHOOL, INC.</t>
  </si>
  <si>
    <t>0888</t>
  </si>
  <si>
    <t>VISION CHARTER SCHOOL</t>
  </si>
  <si>
    <t>393</t>
  </si>
  <si>
    <t>WALLACE DISTRICT</t>
  </si>
  <si>
    <t>0173</t>
  </si>
  <si>
    <t>SILVER HILLS ELEMENTARY SCHOOL</t>
  </si>
  <si>
    <t>WALLACE JR/SR HIGH SCHOOL</t>
  </si>
  <si>
    <t>3393</t>
  </si>
  <si>
    <t>ADMINISTRATION BUILDING WALLACE DISTRICT</t>
  </si>
  <si>
    <t>431</t>
  </si>
  <si>
    <t>WEISER DISTRICT</t>
  </si>
  <si>
    <t>0191</t>
  </si>
  <si>
    <t>WEISER MIDDLE SCHOOL</t>
  </si>
  <si>
    <t>0192</t>
  </si>
  <si>
    <t>WEISER HIGH SCHOOL</t>
  </si>
  <si>
    <t>0839</t>
  </si>
  <si>
    <t>PIONEER PRIMARY SCHOOL</t>
  </si>
  <si>
    <t>0840</t>
  </si>
  <si>
    <t>PARK INTERMEDIATE SCHOOL</t>
  </si>
  <si>
    <t>1067</t>
  </si>
  <si>
    <t>INDIANHEAD ACADEMY HIGH SCHOOL ALTERNATIVE</t>
  </si>
  <si>
    <t>1140</t>
  </si>
  <si>
    <t>WEISER SECONDARY ALTERNATIVE SUMMER SCHOOL</t>
  </si>
  <si>
    <t>3431</t>
  </si>
  <si>
    <t>ADMINISTRATION BUILDING WEISER DISTRICT</t>
  </si>
  <si>
    <t>WENDELL DISTRICT</t>
  </si>
  <si>
    <t>0104</t>
  </si>
  <si>
    <t>WENDELL MIDDLE SCHOOL</t>
  </si>
  <si>
    <t>0209</t>
  </si>
  <si>
    <t>WENDELL HIGH SCHOOL</t>
  </si>
  <si>
    <t>0712</t>
  </si>
  <si>
    <t>WENDELL ELEMENTARY SCHOOL</t>
  </si>
  <si>
    <t>1433</t>
  </si>
  <si>
    <t>HUB CITY ALTERNATIVE - SUMMER</t>
  </si>
  <si>
    <t>3232</t>
  </si>
  <si>
    <t>ADMINISTRATION BUILDING WENDELL DISTRICT</t>
  </si>
  <si>
    <t>083</t>
  </si>
  <si>
    <t>WEST BONNER COUNTY DISTRICT</t>
  </si>
  <si>
    <t>0044</t>
  </si>
  <si>
    <t>PRIEST RIVER JR HIGH SCHOOL</t>
  </si>
  <si>
    <t>0048</t>
  </si>
  <si>
    <t>PRIEST RIVER LAMANNA HIGH</t>
  </si>
  <si>
    <t>0406</t>
  </si>
  <si>
    <t>PRIEST LAKE ELEMENTARY SCHOOL</t>
  </si>
  <si>
    <t>0407</t>
  </si>
  <si>
    <t>PRIEST RIVER ELEMENTARY SCHOOL</t>
  </si>
  <si>
    <t>0411</t>
  </si>
  <si>
    <t>IDAHO HILL ELEMENTARY SCHOOL</t>
  </si>
  <si>
    <t>1148</t>
  </si>
  <si>
    <t>PRIEST RIVER EDUCATION PROGRAM SUMMER ALTERNATIVE</t>
  </si>
  <si>
    <t>1172</t>
  </si>
  <si>
    <t>PRIEST RIVER EDUCATIONAL PROGRAM (PREP)</t>
  </si>
  <si>
    <t>1203</t>
  </si>
  <si>
    <t>ADMINISTRATION BUILDING WEST BONNER COUNTY DISTRICT</t>
  </si>
  <si>
    <t>WEST JEFFERSON DISTRICT</t>
  </si>
  <si>
    <t>0115</t>
  </si>
  <si>
    <t>WEST JEFFERSON HIGH SCHOOL</t>
  </si>
  <si>
    <t>0728</t>
  </si>
  <si>
    <t>TERRETON ELEMENTARY SCHOOL</t>
  </si>
  <si>
    <t>0729</t>
  </si>
  <si>
    <t>HAMER ELEMENTARY SCHOOL</t>
  </si>
  <si>
    <t>1315</t>
  </si>
  <si>
    <t>WEST JEFFERSON JUNIOR HIGH SCHOOL</t>
  </si>
  <si>
    <t>3253</t>
  </si>
  <si>
    <t>ADMINISTRATION BUILDING WEST JEFFERSON DISTRICT</t>
  </si>
  <si>
    <t>202</t>
  </si>
  <si>
    <t>WEST SIDE JOINT DISTRICT</t>
  </si>
  <si>
    <t>0223</t>
  </si>
  <si>
    <t>BEUTLER MIDDLE SCHOOL</t>
  </si>
  <si>
    <t>0227</t>
  </si>
  <si>
    <t>WEST SIDE SENIOR HIGH SCHOOL</t>
  </si>
  <si>
    <t>0987</t>
  </si>
  <si>
    <t>HAROLD B LEE ELEMENTARY SCH</t>
  </si>
  <si>
    <t>3202</t>
  </si>
  <si>
    <t>ADMINISTRATION BUILDING WEST SIDE JOINT DISTRICT</t>
  </si>
  <si>
    <t>464</t>
  </si>
  <si>
    <t>WHITE PINE CHARTER SCHOOL, INC.</t>
  </si>
  <si>
    <t>2514</t>
  </si>
  <si>
    <t>WHITE PINE CHARTER SCHOOL</t>
  </si>
  <si>
    <t>WHITEPINE JT SCHOOL DISTRICT</t>
  </si>
  <si>
    <t>0771</t>
  </si>
  <si>
    <t>BOVILL ELEMENTARY SCHOOL</t>
  </si>
  <si>
    <t>0794</t>
  </si>
  <si>
    <t>DEARY SCHOOL</t>
  </si>
  <si>
    <t>3288</t>
  </si>
  <si>
    <t>ADMINISTRATION BUILDING WHITEPINE JT SCHOOL DISTRICT</t>
  </si>
  <si>
    <t>133</t>
  </si>
  <si>
    <t>WILDER DISTRICT</t>
  </si>
  <si>
    <t>0233</t>
  </si>
  <si>
    <t>WILDER HIGH SCHOOL</t>
  </si>
  <si>
    <t>0452</t>
  </si>
  <si>
    <t>WILDER ELEMENTARY SCHOOL</t>
  </si>
  <si>
    <t>1022</t>
  </si>
  <si>
    <t>1389</t>
  </si>
  <si>
    <t>WILDER MIDDLE SCHOOL</t>
  </si>
  <si>
    <t>3010</t>
  </si>
  <si>
    <t>ADMINISTRATION BUILDING WILDER DISTRICT</t>
  </si>
  <si>
    <t>462</t>
  </si>
  <si>
    <t>XAVIER CHARTER SCHOOL, INC.</t>
  </si>
  <si>
    <t>2512</t>
  </si>
  <si>
    <t>XAVIER CHARTER SCHOOL</t>
  </si>
  <si>
    <t>0572</t>
  </si>
  <si>
    <t>MAGIC VALLEY COOP SCHOOL SERVICE AGENCY</t>
  </si>
  <si>
    <t>0569</t>
  </si>
  <si>
    <t>REGION II PROF-TECH ACADEMY</t>
  </si>
  <si>
    <t>Change Date</t>
  </si>
  <si>
    <t>ADD/DEL/MOD</t>
  </si>
  <si>
    <t>Sheet</t>
  </si>
  <si>
    <t>Row</t>
  </si>
  <si>
    <t>Item</t>
  </si>
  <si>
    <t>Change Description</t>
  </si>
  <si>
    <t>Reason</t>
  </si>
  <si>
    <t>The primary exceptionality (disability category) of the student.</t>
  </si>
  <si>
    <t>A flag indicating if the student's initial eligibility determination was made on or prior to the student's third birthday.  If determined eligible, the individual education program (IEP) must have also been developed on or prior to the child’s third birthday to qualify as Yes.</t>
  </si>
  <si>
    <t xml:space="preserve">The type of disciplinary action taken.  Only the actions ISS, OSS, URI, RHO, EXP, or PLT with duration of at least 1/2 day are required to be reported, unless the juvenile justice or law enforcement was involved. </t>
  </si>
  <si>
    <t>A student cannot qualify for special education services under the exceptionality of 14 - Developmental Delay, beyond his or her tenth (10th) birthday.</t>
  </si>
  <si>
    <t xml:space="preserve">GRADE K - 21-YEAR-OLDS: The student is on a service plan and voluntarily enrolled in a private school by parents. The only services provided at public expense are special education and related services. Do not include students enrolled in a public virtual charter school. </t>
  </si>
  <si>
    <t>&lt;10 hours Regular EC Program; majority of services provided elsewhere</t>
  </si>
  <si>
    <t>GRADE PK: The student DOES NOT attend a Regular Early Childhood Program and DOES NOT attend a Special Education Program. Home: Student receives the majority of special education and related services in the principal residence of the child’s family or caregivers. May include students who receive some services in a service provider location but receive the majority of services in the principal residence.</t>
  </si>
  <si>
    <t>The number of minutes per week that the PK student is under district supervision. Districts should include all the time they are in charge of the student. Example:
• Direct services
• Bus time
• Recess time
• Consultation</t>
  </si>
  <si>
    <t xml:space="preserve">The reason the initial eligibility determination exceeded 60 calendar days. </t>
  </si>
  <si>
    <t>Report ONLY when 60DTline = No</t>
  </si>
  <si>
    <t xml:space="preserve">If the initial eligibility determination was not completed within the required 60 calendar day timeline, indicate the number of days late. </t>
  </si>
  <si>
    <t>Required if IDSpedDate is after the last day of the prior School Year or if consentDate is reported.</t>
  </si>
  <si>
    <t>Tested-ineligible is for use on initial eligibility only.</t>
  </si>
  <si>
    <t xml:space="preserve">The date the student left special education services for the current school year. </t>
  </si>
  <si>
    <t xml:space="preserve">If the student left special education services, the reason that they exited. </t>
  </si>
  <si>
    <t xml:space="preserve">Active indicates that the student is determined eligible for program services and the student is actively receiving services. </t>
  </si>
  <si>
    <t xml:space="preserve">Inactive indicates that the student was determined eligible for program services and the student is no longer actively receiving services. </t>
  </si>
  <si>
    <t>Students exiting with program exit reason of Extended School Year (ESY) should be Program Status A-Active</t>
  </si>
  <si>
    <t>Students exiting with program exit reason of Extended School Year (ESY) should not be Program Status I-Inactive</t>
  </si>
  <si>
    <t>Initial eligibility determination that the student did not meet eligibility criteria for special education and related services. (For initial eligibility only)</t>
  </si>
  <si>
    <t>The parent or adult student has requested additional internal or external assessments as part of the eligibility determination. Note, the request for additional assessments does not extend the 60-day timeline.</t>
  </si>
  <si>
    <t>Initial Special Education eligibility determination: undetermined. - IF UNDETERMINED YOU MUST PROVIDE A REASON THAT ELIGIBILITY WAS UNDETERMINED</t>
  </si>
  <si>
    <t>Financial Transparency</t>
  </si>
  <si>
    <t xml:space="preserve">A flag indicating if the initial eligibility determination for special education was completed within 60 calendar days of receipt of parental consent for assessment. </t>
  </si>
  <si>
    <t xml:space="preserve">Explanation for choosing state exception rule (SE) as the reason the initial eligibility determination exceeded 60 calendar days. </t>
  </si>
  <si>
    <t>Report ONLY when LDRea = SE</t>
  </si>
  <si>
    <t>The eligibility determination for special education services (E, N, U). Either based on the most recent evaluation decision or based on reasons that may have affected their eligibility (i.e. Graduated, Reached Maximum Age, etc.)</t>
  </si>
  <si>
    <t>The status of special education services provided to the student; Tested-ineligible (initial determination only), Active, Inactive.</t>
  </si>
  <si>
    <t>Items Document Map -  ISEE Core Data Collections</t>
  </si>
  <si>
    <t>Program Contact File</t>
  </si>
  <si>
    <t>ASF</t>
  </si>
  <si>
    <t>PCF</t>
  </si>
  <si>
    <t>Financial Transparency File</t>
  </si>
  <si>
    <t>FTF</t>
  </si>
  <si>
    <t>District/Charter closure as a result of fire, flood, snow or other inclement weather, or widespread communicable illness.</t>
  </si>
  <si>
    <t>District/Charter closure for all students of 5 or more consecutive school days as a result of an act of nature. This may also include instances where the district is out of regular session as a result of illness.</t>
  </si>
  <si>
    <t xml:space="preserve">District/Charter closure for all students of 5 or more consecutive school days as a result of a holiday break. </t>
  </si>
  <si>
    <t xml:space="preserve">District/Charter closure for all students of 5 or more consecutive school days as a result of a other school break . </t>
  </si>
  <si>
    <t xml:space="preserve">District/Charter closure for all students of 5 or more consecutive school days as a result of Spring Break. </t>
  </si>
  <si>
    <t>District/Charter closure for all students of 5 or more consecutive school days as a result of Summer Break</t>
  </si>
  <si>
    <t xml:space="preserve">Kindergarten age-eligible students should be promoted to the kindergarten grade level to ensure access to free appropriate public education (FAPE). See the Idaho Special Education Manual and Attendance and Enrollment Manual pages 6 and 21-22. </t>
  </si>
  <si>
    <t xml:space="preserve">A regular early childhood program, is a program that includes a majority (at least 50 percent) of nondisabled children (i.e., children not on IEPs). This category may include, but is not limited to:
• Head Start
• Preschool classes (public or private)
• Group child development center or child care
Kindergarten age-eligible students should be promoted to the kindergarten grade level to ensure appropriate coding and funding. access to free appropriate public education (FAPE). See the Idaho Special Education Manual and Attendance and Enrollment Manual pages 6 and 21-22. </t>
  </si>
  <si>
    <t>ALL</t>
  </si>
  <si>
    <t>All Data Files</t>
  </si>
  <si>
    <t>Files Used In</t>
  </si>
  <si>
    <t>Document Outline of Sheets</t>
  </si>
  <si>
    <t>List of Option Sets</t>
  </si>
  <si>
    <t>List of files collected</t>
  </si>
  <si>
    <t>Details of elements collected</t>
  </si>
  <si>
    <t>Details of Option Sets</t>
  </si>
  <si>
    <t>List of Industry Certificates</t>
  </si>
  <si>
    <t>Assignment Code Changes</t>
  </si>
  <si>
    <t>List of Endorsements to Assignments</t>
  </si>
  <si>
    <t>List of Districts and Schools State IDs</t>
  </si>
  <si>
    <t>Recorded Changes to this file after July 1</t>
  </si>
  <si>
    <t>Item Count Change</t>
  </si>
  <si>
    <r>
      <t xml:space="preserve">A cumulative flag indicating if, at any time during the current school-year enrollment, the youth has met the requirement for "At-Risk" within the district. 
33-1001(3) "At-risk student" means a student in grades 6 through 12 who:
(a)  Meets at least three (3) of the following criteria:
   (i) Has repeated at least one (1) grade;
   (ii) Has absenteeism greater than ten percent (10%) during the preceding semester;
   (iii) Has an overall grade point average less than 1.5 on a 4.0 scale prior to enrolling in an alternative secondary program;
   (iv) Has failed one (1) or more academic subjects in the past year;
   (v) Is below proficient, based on local criteria, standardized tests, or both;
   (vi) Is two (2) or more credits per year behind the rate required to graduate or for grade promotion; or
   (vii) Has attended three (3) or more schools within the previous two (2) years, not including dual enrollment;
</t>
    </r>
    <r>
      <rPr>
        <b/>
        <sz val="10"/>
        <rFont val="Arial"/>
        <family val="2"/>
      </rPr>
      <t>OR</t>
    </r>
    <r>
      <rPr>
        <sz val="10"/>
        <rFont val="Arial"/>
        <family val="2"/>
      </rPr>
      <t xml:space="preserve">
(b)  Meets any of the following criteria:
   (i) Has documented substance abuse or a pattern of substance abuse;
   (ii) Is pregnant or a parent;
   (iii) Is an emancipated youth or unaccompanied youth;
   (iv) Is a previous dropout;
   (v) Has a serious personal, emotional, or medical issue or issues;
   (vi) Has a court or agency referral; or
   (vii) Demonstrates behavior detrimental to the student’s academic progress.</t>
    </r>
  </si>
  <si>
    <r>
      <t xml:space="preserve">The predefined </t>
    </r>
    <r>
      <rPr>
        <i/>
        <sz val="10"/>
        <color theme="6" tint="-0.499984740745262"/>
        <rFont val="Arial"/>
        <family val="2"/>
      </rPr>
      <t>Fund Number,</t>
    </r>
    <r>
      <rPr>
        <sz val="10"/>
        <color theme="6" tint="-0.499984740745262"/>
        <rFont val="Arial"/>
        <family val="2"/>
      </rPr>
      <t xml:space="preserve"> accounting entity with a self-balancing set of accounts that includes all cash and other financial resources, together with all related liabilities and residual equities, which are segregated for the purpose of carrying on a specific activity or attaining certain objectives in accordance with special regulations, restrictions, or limitations.</t>
    </r>
  </si>
  <si>
    <r>
      <t xml:space="preserve">The predefined </t>
    </r>
    <r>
      <rPr>
        <i/>
        <sz val="10"/>
        <color theme="6" tint="-0.499984740745262"/>
        <rFont val="Arial"/>
        <family val="2"/>
      </rPr>
      <t xml:space="preserve">Revenue or Balance Sheet Code used for; (a) </t>
    </r>
    <r>
      <rPr>
        <sz val="10"/>
        <color theme="6" tint="-0.499984740745262"/>
        <rFont val="Arial"/>
        <family val="2"/>
      </rPr>
      <t>recording Revenues and other receivables by source; and/or (b) tracking financial transactions for each Balance Sheet fund. 
Revenue codes are additions to assets of a school which do not increase a liability, do not represent the recovery of an expenditure and do not represent the cancellation of a certain liability without a corresponding increase in other liabilities or a decrease in assets.  
Balance sheet account codes only report assets, deferred outflows of resources, liabilities, deferred inflows of resources, and equity accounts and are considered “snapshots” of how these accounts stand as of a certain point in time.</t>
    </r>
  </si>
  <si>
    <r>
      <t xml:space="preserve">The predefined </t>
    </r>
    <r>
      <rPr>
        <i/>
        <sz val="10"/>
        <color theme="6" tint="-0.499984740745262"/>
        <rFont val="Arial"/>
        <family val="2"/>
      </rPr>
      <t>Function Code</t>
    </r>
    <r>
      <rPr>
        <sz val="10"/>
        <color theme="6" tint="-0.499984740745262"/>
        <rFont val="Arial"/>
        <family val="2"/>
      </rPr>
      <t xml:space="preserve"> used for describing the activity or tasks for which services or material objects are acquired. Function codes are classified into five broad areas: instruction, support services, non-instructional services, facilities acquisition and other services.  
The function codes also describe a plan and organization of activities and procedures designed to accomplish a predetermined objective or set of objectives. </t>
    </r>
  </si>
  <si>
    <r>
      <t xml:space="preserve">The predefined </t>
    </r>
    <r>
      <rPr>
        <i/>
        <sz val="10"/>
        <color theme="6" tint="-0.499984740745262"/>
        <rFont val="Arial"/>
        <family val="2"/>
      </rPr>
      <t>Object Code</t>
    </r>
    <r>
      <rPr>
        <sz val="10"/>
        <color theme="6" tint="-0.499984740745262"/>
        <rFont val="Arial"/>
        <family val="2"/>
      </rPr>
      <t xml:space="preserve"> used to describe the service or commodity obtained as a result of a specific expenditure. Eight major categories are used:  salaries, benefits, purchased services, supplies/materials, capital objects, debt retirement, insurance/judgment, transfers.
Major categories are subdivided by schools to obtain more specific detail for their internal accounting purposes.  </t>
    </r>
  </si>
  <si>
    <r>
      <t xml:space="preserve">The predefined </t>
    </r>
    <r>
      <rPr>
        <i/>
        <sz val="10"/>
        <color rgb="FF7030A0"/>
        <rFont val="Arial"/>
        <family val="2"/>
      </rPr>
      <t>Fund Number,</t>
    </r>
    <r>
      <rPr>
        <sz val="10"/>
        <color rgb="FF7030A0"/>
        <rFont val="Arial"/>
        <family val="2"/>
      </rPr>
      <t xml:space="preserve"> accounting entity with a self-balancing set of accounts that includes all cash and other financial resources, together with all related liabilities and residual equities, which are segregated for the purpose of carrying on a specific activity or attaining certain objectives in accordance with special regulations, restrictions, or limitations.</t>
    </r>
  </si>
  <si>
    <r>
      <t xml:space="preserve">The predefined </t>
    </r>
    <r>
      <rPr>
        <i/>
        <sz val="10"/>
        <color rgb="FF7030A0"/>
        <rFont val="Arial"/>
        <family val="2"/>
      </rPr>
      <t xml:space="preserve">Revenue Code used for </t>
    </r>
    <r>
      <rPr>
        <sz val="10"/>
        <color rgb="FF7030A0"/>
        <rFont val="Arial"/>
        <family val="2"/>
      </rPr>
      <t>recording Revenues and other receivables by source
Revenue codes are additions to assets of a school which do not increase a liability, do not represent the recovery of an expenditure and do not represent the cancellation of a certain liability without a corresponding increase in other liabilities or a decrease in assets.</t>
    </r>
  </si>
  <si>
    <r>
      <t xml:space="preserve">The predefined </t>
    </r>
    <r>
      <rPr>
        <i/>
        <sz val="10"/>
        <color rgb="FF7030A0"/>
        <rFont val="Arial"/>
        <family val="2"/>
      </rPr>
      <t>Function Code</t>
    </r>
    <r>
      <rPr>
        <sz val="10"/>
        <color rgb="FF7030A0"/>
        <rFont val="Arial"/>
        <family val="2"/>
      </rPr>
      <t xml:space="preserve"> used for describing the activity or tasks for which services or material objects are acquired. Function codes are classified into five broad areas: instruction, support services, non-instructional services, facilities acquisition and other services.  
The function codes also describe a plan and organization of activities and procedures designed to accomplish a predetermined objective or set of objectives. </t>
    </r>
  </si>
  <si>
    <r>
      <t xml:space="preserve">The predefined </t>
    </r>
    <r>
      <rPr>
        <i/>
        <sz val="10"/>
        <color rgb="FF7030A0"/>
        <rFont val="Arial"/>
        <family val="2"/>
      </rPr>
      <t>Object Code</t>
    </r>
    <r>
      <rPr>
        <sz val="10"/>
        <color rgb="FF7030A0"/>
        <rFont val="Arial"/>
        <family val="2"/>
      </rPr>
      <t xml:space="preserve"> used to describe the service or commodity obtained as a result of a specific expenditure. Eight major categories are used:  salaries, benefits, purchased services, supplies/materials, capital objects, debt retirement, insurance/judgment, transfers.
Major categories are subdivided by schools to obtain more specific detail for their internal accounting purposes.</t>
    </r>
  </si>
  <si>
    <r>
      <t xml:space="preserve">Other reason for delay - </t>
    </r>
    <r>
      <rPr>
        <sz val="10"/>
        <color rgb="FFFF0000"/>
        <rFont val="Arial"/>
        <family val="2"/>
      </rPr>
      <t>MUST PROVIDE EXPLANATION OF OTHER</t>
    </r>
  </si>
  <si>
    <t>Reserved (formerly Title II-D ESEA - Technology)</t>
  </si>
  <si>
    <r>
      <t xml:space="preserve">A certified instructor assisting a certified "lead team teacher". Both teachers (assisting and lead) must have a record with matching assignment code, period, sectionId and schoolId. Students’ course records must link to those matching assignments records. Requires certification and </t>
    </r>
    <r>
      <rPr>
        <i/>
        <sz val="10"/>
        <rFont val="Arial"/>
        <family val="2"/>
      </rPr>
      <t>any</t>
    </r>
    <r>
      <rPr>
        <sz val="10"/>
        <rFont val="Arial"/>
        <family val="2"/>
      </rPr>
      <t xml:space="preserve"> valid Idaho endorsement. </t>
    </r>
  </si>
  <si>
    <r>
      <t xml:space="preserve">Supplemental Instruction - Elementary (K-8) </t>
    </r>
    <r>
      <rPr>
        <sz val="10"/>
        <color rgb="FFFF0000"/>
        <rFont val="Arial"/>
        <family val="2"/>
      </rPr>
      <t>(Restricted)</t>
    </r>
  </si>
  <si>
    <r>
      <t>Juvenile Detention Instruction (K-8)</t>
    </r>
    <r>
      <rPr>
        <sz val="10"/>
        <color indexed="8"/>
        <rFont val="Arial"/>
        <family val="2"/>
      </rPr>
      <t xml:space="preserve"> </t>
    </r>
    <r>
      <rPr>
        <sz val="10"/>
        <color indexed="10"/>
        <rFont val="Arial"/>
        <family val="2"/>
      </rPr>
      <t>(Restricted)</t>
    </r>
  </si>
  <si>
    <r>
      <t xml:space="preserve">Secondary - Miscellaneous/Exploratory (5-12 </t>
    </r>
    <r>
      <rPr>
        <sz val="10"/>
        <color rgb="FFFF0000"/>
        <rFont val="Arial"/>
        <family val="2"/>
      </rPr>
      <t>(Restricted)</t>
    </r>
  </si>
  <si>
    <r>
      <t xml:space="preserve">Juvenile Detention Instruction </t>
    </r>
    <r>
      <rPr>
        <sz val="10"/>
        <color indexed="10"/>
        <rFont val="Arial"/>
        <family val="2"/>
      </rPr>
      <t>(Restricted)</t>
    </r>
  </si>
  <si>
    <r>
      <t xml:space="preserve">Pre-kindergarten - Title I-A </t>
    </r>
    <r>
      <rPr>
        <sz val="10"/>
        <color rgb="FFFF0000"/>
        <rFont val="Arial"/>
        <family val="2"/>
      </rPr>
      <t>(Pre-school Only)</t>
    </r>
  </si>
  <si>
    <r>
      <t xml:space="preserve">Pre-kindergarten - Title I-C </t>
    </r>
    <r>
      <rPr>
        <sz val="10"/>
        <color rgb="FFFF0000"/>
        <rFont val="Arial"/>
        <family val="2"/>
      </rPr>
      <t>(Migrant Only)</t>
    </r>
  </si>
  <si>
    <r>
      <t>Homeless Liaison/Prevention Specialist</t>
    </r>
    <r>
      <rPr>
        <b/>
        <sz val="10"/>
        <rFont val="Arial"/>
        <family val="2"/>
      </rPr>
      <t xml:space="preserve"> </t>
    </r>
    <r>
      <rPr>
        <sz val="10"/>
        <color rgb="FFFF0000"/>
        <rFont val="Arial"/>
        <family val="2"/>
      </rPr>
      <t>(Restricted)</t>
    </r>
  </si>
  <si>
    <r>
      <t xml:space="preserve">School Counselor - Basic </t>
    </r>
    <r>
      <rPr>
        <sz val="10"/>
        <color rgb="FFFF0000"/>
        <rFont val="Arial"/>
        <family val="2"/>
      </rPr>
      <t>(Restricted)</t>
    </r>
  </si>
  <si>
    <r>
      <t>Community Resource Worker</t>
    </r>
    <r>
      <rPr>
        <b/>
        <sz val="10"/>
        <color indexed="8"/>
        <rFont val="Arial"/>
        <family val="2"/>
      </rPr>
      <t xml:space="preserve"> </t>
    </r>
    <r>
      <rPr>
        <sz val="10"/>
        <color rgb="FFFF0000"/>
        <rFont val="Arial"/>
        <family val="2"/>
      </rPr>
      <t>(Restricted)</t>
    </r>
  </si>
  <si>
    <r>
      <t>Head Teacher -</t>
    </r>
    <r>
      <rPr>
        <sz val="10"/>
        <color indexed="8"/>
        <rFont val="Arial"/>
        <family val="2"/>
      </rPr>
      <t xml:space="preserve"> </t>
    </r>
    <r>
      <rPr>
        <sz val="10"/>
        <color rgb="FFFF0000"/>
        <rFont val="Arial"/>
        <family val="2"/>
      </rPr>
      <t>(Restricted - Elementary ONLY)</t>
    </r>
  </si>
  <si>
    <r>
      <t>Administrator - Other</t>
    </r>
    <r>
      <rPr>
        <b/>
        <sz val="10"/>
        <color indexed="10"/>
        <rFont val="Arial"/>
        <family val="2"/>
      </rPr>
      <t xml:space="preserve"> </t>
    </r>
    <r>
      <rPr>
        <sz val="10"/>
        <color rgb="FFFF0000"/>
        <rFont val="Arial"/>
        <family val="2"/>
      </rPr>
      <t>(Restricted)</t>
    </r>
  </si>
  <si>
    <r>
      <t xml:space="preserve">Special Project Personnel </t>
    </r>
    <r>
      <rPr>
        <sz val="10"/>
        <color rgb="FFFF0000"/>
        <rFont val="Arial"/>
        <family val="2"/>
      </rPr>
      <t>(Restricted)</t>
    </r>
  </si>
  <si>
    <r>
      <t xml:space="preserve">Other Non-Certified, Specify </t>
    </r>
    <r>
      <rPr>
        <sz val="10"/>
        <color rgb="FFFF0000"/>
        <rFont val="Arial"/>
        <family val="2"/>
      </rPr>
      <t>(Restricted)</t>
    </r>
  </si>
  <si>
    <r>
      <t xml:space="preserve">Supplemental Instruction - Elementary (K-8) </t>
    </r>
    <r>
      <rPr>
        <sz val="10"/>
        <color rgb="FFFF0000"/>
        <rFont val="Arial"/>
        <family val="2"/>
      </rPr>
      <t>(Restricted)</t>
    </r>
    <r>
      <rPr>
        <sz val="10"/>
        <rFont val="Arial"/>
        <family val="2"/>
      </rPr>
      <t xml:space="preserve">
</t>
    </r>
    <r>
      <rPr>
        <b/>
        <sz val="10"/>
        <color theme="1"/>
        <rFont val="Arial"/>
        <family val="2"/>
      </rPr>
      <t xml:space="preserve">
</t>
    </r>
    <r>
      <rPr>
        <sz val="10"/>
        <rFont val="Arial"/>
        <family val="2"/>
      </rPr>
      <t xml:space="preserve">
</t>
    </r>
  </si>
  <si>
    <r>
      <t>Community Resource Worker</t>
    </r>
    <r>
      <rPr>
        <b/>
        <sz val="10"/>
        <rFont val="Arial"/>
        <family val="2"/>
      </rPr>
      <t xml:space="preserve"> </t>
    </r>
    <r>
      <rPr>
        <sz val="10"/>
        <color rgb="FFFF0000"/>
        <rFont val="Arial"/>
        <family val="2"/>
      </rPr>
      <t>(Restricted)</t>
    </r>
  </si>
  <si>
    <r>
      <t xml:space="preserve">Head Teacher - </t>
    </r>
    <r>
      <rPr>
        <sz val="10"/>
        <color rgb="FFFF0000"/>
        <rFont val="Arial"/>
        <family val="2"/>
      </rPr>
      <t>(Restricted - Elementary ONLY)</t>
    </r>
  </si>
  <si>
    <t>Removed</t>
  </si>
  <si>
    <t>Added</t>
  </si>
  <si>
    <t>BAL</t>
  </si>
  <si>
    <t>REV</t>
  </si>
  <si>
    <t>xx</t>
  </si>
  <si>
    <t>xxxxxxxxx</t>
  </si>
  <si>
    <t>x</t>
  </si>
  <si>
    <t>0-9999</t>
  </si>
  <si>
    <t>x or xx</t>
  </si>
  <si>
    <t>DECIMAL</t>
  </si>
  <si>
    <t>Student met Idaho eligibility criteria and was determined eligible for special education and related services.</t>
  </si>
  <si>
    <t>Student's initial eligibility determination process was interrupted. (For initial eligibility determination only)</t>
  </si>
  <si>
    <t>Title IX-A  McKinney-Vento Homeless Education Coordinator</t>
  </si>
  <si>
    <t>Title IX-A  McKinney-Vento Homeless Education</t>
  </si>
  <si>
    <t>Title IX-A  McKinney-Vento Liaison</t>
  </si>
  <si>
    <t>Title IX-A  McKinney-Vento</t>
  </si>
  <si>
    <t>Possession of a weapon, device, instrument, material, or substance, animate or inanimate, that is readily capable of causing death or serious bodily injury; such a term does not include a pocket knife with a blade of less than 2 ½ inches in length. (18 USC section 930(g)(2))</t>
  </si>
  <si>
    <t>Includes: hotels and motels</t>
  </si>
  <si>
    <t>Pre-Kindergarten includes students who are enrolled in programs/groups/classes that are:
(a) supported with public education funds or fees charged by the local education agency;
(b) administered by a public school, local education agency, or SEA; and 
(c) offered to children who are below the kindergarten age requirement, or meet some other criterion that establishes the state or local definition of prekindergarten.</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</si>
  <si>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</si>
  <si>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A program that focuses on the philosophy preached by Siddhartha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</si>
  <si>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A program that focuses on the scientific study of the physics of solids and its application to the study of the earth and other planets.  Includes instruction in gravimetric, seismology, earthquake forecasting, magnetometry, electrical properties of solid bodies, plate tectonics, active deformation, thermodynamics, remote sensing, geodesy, and laboratory simulations of geological processes.</t>
  </si>
  <si>
    <t>Cultural/Archaeological Resources Protection.</t>
  </si>
  <si>
    <t>A program that focuses on the study of culture and the relationship of culture to other aspects of social life. Includes instruction in cultural anthropology, anthropological theory, ethnography, linguistics, and quantitative and qualitative research methods.</t>
  </si>
  <si>
    <t>A program that prepares individuals to plan, prepare, install, and repair carpet; linoleum; vinyl; ceramic, marble, quarry, mosaic, and terrazzo tiles; and wood materials on floors, walls, and stairs. Includes instruction in measuring, cutting, and installing materials; use of hand and power-operated equipment; estimation of material and labor costs; and safety training.</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</si>
  <si>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backfilling, clearing and excavating.</t>
  </si>
  <si>
    <t>A program that prepares individuals to apply technical knowledge and skills to drive trucks and buses, delivery vehicles, for-hire vehicles and other commercial vehicles, or to instruct commercial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</si>
  <si>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A program that focuses on the advanced study of the etiology and treatment of diseases of the gingivae (gum tissue) and supporting bone, nerve, and vascular structures.  Includes instruction in periodontium pathology, diagnostic procedures and equipment, occlusion, nutritional aspects of periodontology, surgical treatments, and patient care and management.</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</si>
  <si>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temporomandibular joint dysfunction.</t>
  </si>
  <si>
    <t>Max Length</t>
  </si>
  <si>
    <t>xxx</t>
  </si>
  <si>
    <t>If reported assignment is to be linked to ContractType1, report 1 for contractNo.</t>
  </si>
  <si>
    <t>If reported assignment is to be linked to ContractType2, report 2 for contractNo.</t>
  </si>
  <si>
    <t>If reported assignment is to be linked to ContractType3, report 3 for contractNo.</t>
  </si>
  <si>
    <t>If employee is known to not be returning to the school district in the following school year, exit the employee in the June submission and record a status of "T"</t>
  </si>
  <si>
    <t>Initial Certification Year</t>
  </si>
  <si>
    <t>For certified staff, the total annual hours contracted in contract 1 for the year.</t>
  </si>
  <si>
    <t>For certified staff, the type of additional contract that was actually signed for the current school year. Must have contract 1 data to use contract 2.</t>
  </si>
  <si>
    <t>97750</t>
  </si>
  <si>
    <t>97755</t>
  </si>
  <si>
    <t>Valid Certificate of Clinical Competence in Audiology offered through the American Speech-Language-Hearing Association and/or a current and valid audiologist license issued by the appropriate Idaho state licensing board.</t>
  </si>
  <si>
    <t>Valid Certificate of Clinical Competence in Speech-Language Pathology offered through the American Speech-Language-Hearing Association and/or a current and valid speech-language
pathologist license issued by the appropriate Idaho state licensing board.</t>
  </si>
  <si>
    <t>Public Charter School Administrator</t>
  </si>
  <si>
    <t>7999</t>
  </si>
  <si>
    <t>Public Charter School Teacher</t>
  </si>
  <si>
    <t>02006</t>
  </si>
  <si>
    <t>02007</t>
  </si>
  <si>
    <t>02008</t>
  </si>
  <si>
    <t xml:space="preserve">Mathematics (6th grade content level) </t>
  </si>
  <si>
    <t xml:space="preserve">Mathematics (7th grade content level) </t>
  </si>
  <si>
    <t xml:space="preserve">Mathematics (8th grade content level) </t>
  </si>
  <si>
    <t>Juvenile Detention Instruction (K-8) (Restricted)</t>
  </si>
  <si>
    <t>02150</t>
  </si>
  <si>
    <t>Applied Mathematics (11-12)</t>
  </si>
  <si>
    <t>ENDORSEMENT/INDICATOR</t>
  </si>
  <si>
    <t>ENDORSEMENT/INDICATOR TITLE</t>
  </si>
  <si>
    <t>ENDORSEMENT/INDICATOR Grade</t>
  </si>
  <si>
    <t>School Counselor - Basic (Restricted)</t>
  </si>
  <si>
    <t>Non-Responsive</t>
  </si>
  <si>
    <t>Returning Student</t>
  </si>
  <si>
    <t>Re-entry from the same school with no interruption of schooling</t>
  </si>
  <si>
    <t>Student Daily Attendance</t>
  </si>
  <si>
    <t>1474</t>
  </si>
  <si>
    <t>ELEVATE ACADEMY NAMPA (SUMMER)</t>
  </si>
  <si>
    <t>1483</t>
  </si>
  <si>
    <t>SUGAR-SALEM ONLINE</t>
  </si>
  <si>
    <t>1481</t>
  </si>
  <si>
    <t>DEAN GOODSELL ELEMENTARY</t>
  </si>
  <si>
    <t>1484</t>
  </si>
  <si>
    <t>SNAKE RIVER OPPORTUNITIES HIGH SCHOOL</t>
  </si>
  <si>
    <t>1485</t>
  </si>
  <si>
    <t>VIRTUAL SCHOOL HOUSE SUMMER ALTERNATIVE</t>
  </si>
  <si>
    <t>1486</t>
  </si>
  <si>
    <t>COMPASS ACADEMY CREDIT RECOVERY</t>
  </si>
  <si>
    <t>1487</t>
  </si>
  <si>
    <t>SKYLINE ALTERNATIVE SUMMER HIGH SCHOOL</t>
  </si>
  <si>
    <t>1488</t>
  </si>
  <si>
    <t>CARDINAL ACADEMY SUMMER ALTERNATIVE</t>
  </si>
  <si>
    <t>WAKAPA ACADEMY SUMMER ALTERNATIVE</t>
  </si>
  <si>
    <t>1490</t>
  </si>
  <si>
    <t>KUNA MIDDLE SUMMER SCHOOL</t>
  </si>
  <si>
    <t>1491</t>
  </si>
  <si>
    <t>EAGLE ACADEMY SUMMER</t>
  </si>
  <si>
    <t>1492</t>
  </si>
  <si>
    <t>MERIDIAN ACADEMY SUMMER</t>
  </si>
  <si>
    <t>GOODING ALTERNATIVE LEARNING CENTER</t>
  </si>
  <si>
    <t>1078</t>
  </si>
  <si>
    <t>VILLAGE LEADERSHIP ACADEMY</t>
  </si>
  <si>
    <t>WEST ADA JOINT SCHOOL DISTRICT SUMMER ALTERNATIVE SCHOOL</t>
  </si>
  <si>
    <t>MOUNTAIN VIEW SUMMER ALTERNATIVE HIGH SCHOOL</t>
  </si>
  <si>
    <t>MOD</t>
  </si>
  <si>
    <t>Completed updates of 2022-2023 Schools/Districts</t>
  </si>
  <si>
    <t>For updates to the 2022-2023 School Year for ISEE Reporting</t>
  </si>
  <si>
    <t>1489</t>
  </si>
  <si>
    <t>1493</t>
  </si>
  <si>
    <t>CENTRAL ACADEMY SUMMER</t>
  </si>
  <si>
    <t>Missing provider from update list provided on 7/21</t>
  </si>
  <si>
    <t>Added School 1493 - CENTRAL ACADEMY SUMMER</t>
  </si>
  <si>
    <t>Assignment_Endorsements</t>
  </si>
  <si>
    <t>Corrected Endorsement; Add 7999, remove 8230 from 02150</t>
  </si>
  <si>
    <t>Incorrect Endorsement listed for assignment 02150</t>
  </si>
  <si>
    <t>1472</t>
  </si>
  <si>
    <t>ELEVATE ACADEMY NORTH (SUMMER)</t>
  </si>
  <si>
    <t>Added School 1472 Elevate Academy (Summer)</t>
  </si>
  <si>
    <t>1482</t>
  </si>
  <si>
    <t>PRAXIUM MASTERY ACADEMY</t>
  </si>
  <si>
    <t>1494</t>
  </si>
  <si>
    <t>TIGER LEARN PROGRAM</t>
  </si>
  <si>
    <t>1495</t>
  </si>
  <si>
    <t>MINIDOKA JUNIOR HIGH ALTERNATIVE</t>
  </si>
  <si>
    <t>1496</t>
  </si>
  <si>
    <t>CTE PREP SCHOOL</t>
  </si>
  <si>
    <t>Added School 1496 CTE Prep School</t>
  </si>
  <si>
    <t>1498</t>
  </si>
  <si>
    <t>SNAKE RIVER OPPORTUNITIES ALTERNATIVE HIGH SCHOOL</t>
  </si>
  <si>
    <t>Added School 1498 Snake River Opportunities Alternative High School</t>
  </si>
  <si>
    <t>Added School 1482 Praxium Mastery Academy</t>
  </si>
  <si>
    <t>Added School 1494 Tiger Learn Program</t>
  </si>
  <si>
    <t>Added School 1495 Minidoka Junior High Alternative</t>
  </si>
  <si>
    <t>Contract Number 1</t>
  </si>
  <si>
    <t>Contract Number 2</t>
  </si>
  <si>
    <t>Contract Number 3</t>
  </si>
  <si>
    <t>Assignment is associated with Contract number 1</t>
  </si>
  <si>
    <t>Assignment is associated with Contract number 2</t>
  </si>
  <si>
    <t>Assignment is associated with Contract number 3</t>
  </si>
  <si>
    <t>Updated Option Definitions for Contract Numbers 1, 2 and 3</t>
  </si>
  <si>
    <t>Reducing confusion about reporting Contract Type</t>
  </si>
  <si>
    <t>Added endorsement 0110 to assignment 180521</t>
  </si>
  <si>
    <t>Requested by CTE, missing from document.</t>
  </si>
  <si>
    <t>DEL</t>
  </si>
  <si>
    <t>Closed</t>
  </si>
  <si>
    <t>Delete SEITec District/School</t>
  </si>
  <si>
    <t>CTE OS - Programming &amp; Software Development</t>
  </si>
  <si>
    <t>CTE OS - Web Design and Development</t>
  </si>
  <si>
    <t>Add 6158 and 6159 Endorsements to Assignment 100030</t>
  </si>
  <si>
    <t>Update from CTE</t>
  </si>
  <si>
    <t>Add 6154 Endorsement to Assignment 100050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</si>
</sst>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800]dddd\,\ mmmm\ dd\,\ yyyy"/>
    <numFmt numFmtId="165" formatCode="mm/dd/yy;@"/>
    <numFmt numFmtId="166" formatCode="[$-409]d\-mmm;@"/>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MS Reference Sans Serif"/>
      <family val="2"/>
    </font>
    <font>
      <sz val="10"/>
      <name val="MS Sans Serif"/>
      <family val="2"/>
    </font>
    <font>
      <b/>
      <sz val="10"/>
      <color rgb="FFC00000"/>
      <name val="Arial"/>
      <family val="2"/>
    </font>
    <font>
      <sz val="12"/>
      <name val="Helv"/>
    </font>
    <font>
      <i/>
      <sz val="10"/>
      <color theme="6" tint="-0.499984740745262"/>
      <name val="Arial"/>
      <family val="2"/>
    </font>
    <font>
      <b/>
      <sz val="18"/>
      <color theme="3"/>
      <name val="Times New Roman"/>
      <family val="1"/>
    </font>
    <font>
      <sz val="10"/>
      <color rgb="FF7030A0"/>
      <name val="Arial"/>
      <family val="2"/>
    </font>
    <font>
      <sz val="12"/>
      <color theme="3"/>
      <name val="Arial"/>
      <family val="2"/>
    </font>
    <font>
      <sz val="12"/>
      <name val="Arial"/>
      <family val="2"/>
    </font>
    <font>
      <u/>
      <sz val="12"/>
      <color theme="10"/>
      <name val="Arial"/>
      <family val="2"/>
    </font>
    <font>
      <i/>
      <sz val="11"/>
      <name val="Arial"/>
      <family val="2"/>
    </font>
    <font>
      <b/>
      <sz val="10"/>
      <name val="Arial"/>
      <family val="2"/>
    </font>
    <font>
      <sz val="10"/>
      <color theme="1"/>
      <name val="Arial"/>
      <family val="2"/>
    </font>
    <font>
      <u/>
      <sz val="10"/>
      <color rgb="FF00B050"/>
      <name val="Arial"/>
      <family val="2"/>
    </font>
    <font>
      <b/>
      <sz val="10"/>
      <color indexed="9"/>
      <name val="Arial"/>
      <family val="2"/>
    </font>
    <font>
      <sz val="10"/>
      <color theme="6" tint="-0.499984740745262"/>
      <name val="Arial"/>
      <family val="2"/>
    </font>
    <font>
      <b/>
      <sz val="10"/>
      <color rgb="FFFF0000"/>
      <name val="Arial"/>
      <family val="2"/>
    </font>
    <font>
      <b/>
      <u/>
      <sz val="10"/>
      <color theme="10"/>
      <name val="Arial"/>
      <family val="2"/>
    </font>
    <font>
      <b/>
      <sz val="10"/>
      <color rgb="FF00B050"/>
      <name val="Arial"/>
      <family val="2"/>
    </font>
    <font>
      <sz val="10"/>
      <color rgb="FFFFFFFF"/>
      <name val="Arial"/>
      <family val="2"/>
    </font>
    <font>
      <b/>
      <u/>
      <sz val="10"/>
      <name val="Arial"/>
      <family val="2"/>
    </font>
    <font>
      <sz val="10"/>
      <color indexed="9"/>
      <name val="Arial"/>
      <family val="2"/>
    </font>
    <font>
      <sz val="10"/>
      <color rgb="FF00B050"/>
      <name val="Arial"/>
      <family val="2"/>
    </font>
    <font>
      <i/>
      <sz val="10"/>
      <color rgb="FF7030A0"/>
      <name val="Arial"/>
      <family val="2"/>
    </font>
    <font>
      <sz val="10"/>
      <color rgb="FFFF0000"/>
      <name val="Arial"/>
      <family val="2"/>
    </font>
    <font>
      <i/>
      <sz val="10"/>
      <name val="Arial"/>
      <family val="2"/>
    </font>
    <font>
      <b/>
      <sz val="10"/>
      <color rgb="FF385623"/>
      <name val="Arial"/>
      <family val="2"/>
    </font>
    <font>
      <sz val="10"/>
      <color indexed="8"/>
      <name val="Arial"/>
      <family val="2"/>
    </font>
    <font>
      <sz val="10"/>
      <color indexed="10"/>
      <name val="Arial"/>
      <family val="2"/>
    </font>
    <font>
      <b/>
      <sz val="10"/>
      <color indexed="8"/>
      <name val="Arial"/>
      <family val="2"/>
    </font>
    <font>
      <b/>
      <sz val="10"/>
      <color indexed="10"/>
      <name val="Arial"/>
      <family val="2"/>
    </font>
    <font>
      <b/>
      <sz val="10"/>
      <color theme="1"/>
      <name val="Arial"/>
      <family val="2"/>
    </font>
    <font>
      <strike/>
      <sz val="10"/>
      <color rgb="FFFF0000"/>
      <name val="Arial"/>
      <family val="2"/>
    </font>
    <font>
      <sz val="10"/>
      <color rgb="FFC00000"/>
      <name val="Arial"/>
      <family val="2"/>
    </font>
    <font>
      <strike/>
      <sz val="10"/>
      <name val="Arial"/>
      <family val="2"/>
    </font>
    <font>
      <b/>
      <sz val="10"/>
      <color rgb="FF244062"/>
      <name val="Arial"/>
      <family val="2"/>
    </font>
    <font>
      <b/>
      <sz val="10"/>
      <color theme="3"/>
      <name val="Arial"/>
      <family val="2"/>
    </font>
    <font>
      <b/>
      <sz val="10"/>
      <color theme="4" tint="-0.499984740745262"/>
      <name val="Arial"/>
      <family val="2"/>
    </font>
    <font>
      <sz val="10"/>
      <color rgb="FF244062"/>
      <name val="Arial"/>
      <family val="2"/>
    </font>
    <font>
      <sz val="10"/>
      <color theme="3"/>
      <name val="Arial"/>
      <family val="2"/>
    </font>
    <font>
      <sz val="10"/>
      <color theme="4" tint="-0.499984740745262"/>
      <name val="Arial"/>
      <family val="2"/>
    </font>
    <font>
      <strike/>
      <sz val="10"/>
      <color rgb="FFC00000"/>
      <name val="Arial"/>
      <family val="2"/>
    </font>
    <font>
      <b/>
      <strike/>
      <sz val="10"/>
      <color rgb="FFC00000"/>
      <name val="Arial"/>
      <family val="2"/>
    </font>
    <font>
      <sz val="8"/>
      <name val="Arial"/>
      <family val="2"/>
    </font>
    <font>
      <sz val="8"/>
      <name val="Arial"/>
    </font>
  </fonts>
  <fills count="4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7F7F7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29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0" borderId="2" applyNumberFormat="0" applyAlignment="0" applyProtection="0"/>
    <xf numFmtId="0" fontId="23" fillId="0" borderId="7" applyNumberFormat="0" applyFill="0" applyAlignment="0" applyProtection="0"/>
    <xf numFmtId="0" fontId="24"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25" fillId="27"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7"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8" applyNumberFormat="0" applyFont="0" applyAlignment="0" applyProtection="0"/>
    <xf numFmtId="0" fontId="6" fillId="32" borderId="8" applyNumberFormat="0" applyFont="0" applyAlignment="0" applyProtection="0"/>
    <xf numFmtId="0" fontId="6" fillId="32" borderId="8" applyNumberFormat="0" applyFont="0" applyAlignment="0" applyProtection="0"/>
    <xf numFmtId="0" fontId="5"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8" applyNumberFormat="0" applyFont="0" applyAlignment="0" applyProtection="0"/>
    <xf numFmtId="0" fontId="3" fillId="0" borderId="0"/>
    <xf numFmtId="0" fontId="8" fillId="0" borderId="0"/>
    <xf numFmtId="0" fontId="2" fillId="0" borderId="0"/>
    <xf numFmtId="0" fontId="8"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0" borderId="0"/>
    <xf numFmtId="0" fontId="1" fillId="0" borderId="0"/>
    <xf numFmtId="166" fontId="30" fillId="0" borderId="0"/>
    <xf numFmtId="0" fontId="32" fillId="0" borderId="0"/>
  </cellStyleXfs>
  <cellXfs count="430">
    <xf numFmtId="0" fontId="0" fillId="0" borderId="0" xfId="0"/>
    <xf numFmtId="0" fontId="0" fillId="0" borderId="29" xfId="0" applyBorder="1"/>
    <xf numFmtId="0" fontId="0" fillId="0" borderId="28" xfId="0" applyBorder="1"/>
    <xf numFmtId="0" fontId="31" fillId="0" borderId="0" xfId="0" applyFont="1"/>
    <xf numFmtId="164" fontId="31" fillId="0" borderId="0" xfId="0" applyNumberFormat="1" applyFont="1" applyAlignment="1">
      <alignment horizontal="center"/>
    </xf>
    <xf numFmtId="0" fontId="29" fillId="0" borderId="0" xfId="0" applyFont="1" applyAlignment="1">
      <alignment vertical="center"/>
    </xf>
    <xf numFmtId="0" fontId="29" fillId="0" borderId="0" xfId="0" applyFont="1" applyAlignment="1">
      <alignment horizontal="center" vertical="center"/>
    </xf>
    <xf numFmtId="49" fontId="8" fillId="0" borderId="0" xfId="0" applyNumberFormat="1" applyFont="1" applyAlignment="1">
      <alignment horizontal="center" vertical="top" wrapText="1"/>
    </xf>
    <xf numFmtId="0" fontId="31" fillId="0" borderId="23" xfId="0" applyFont="1" applyBorder="1" applyAlignment="1"/>
    <xf numFmtId="164" fontId="31" fillId="0" borderId="24" xfId="0" applyNumberFormat="1" applyFont="1" applyBorder="1" applyAlignment="1">
      <alignment horizontal="left"/>
    </xf>
    <xf numFmtId="0" fontId="0" fillId="0" borderId="25" xfId="0" applyBorder="1" applyAlignment="1">
      <alignment horizontal="left"/>
    </xf>
    <xf numFmtId="0" fontId="35" fillId="0" borderId="0" xfId="0" applyFont="1"/>
    <xf numFmtId="0" fontId="35" fillId="0" borderId="0" xfId="0" applyFont="1" applyAlignment="1">
      <alignment horizontal="center"/>
    </xf>
    <xf numFmtId="0" fontId="36" fillId="0" borderId="28" xfId="0" applyFont="1" applyBorder="1"/>
    <xf numFmtId="0" fontId="36" fillId="0" borderId="0" xfId="0" applyFont="1"/>
    <xf numFmtId="0" fontId="37" fillId="0" borderId="0" xfId="0" applyFont="1"/>
    <xf numFmtId="0" fontId="38" fillId="0" borderId="0" xfId="34" applyFont="1"/>
    <xf numFmtId="0" fontId="36" fillId="0" borderId="26" xfId="0" applyFont="1" applyBorder="1"/>
    <xf numFmtId="0" fontId="38" fillId="0" borderId="14" xfId="34" applyFont="1" applyBorder="1"/>
    <xf numFmtId="0" fontId="37" fillId="0" borderId="14" xfId="0" applyFont="1" applyBorder="1"/>
    <xf numFmtId="0" fontId="29" fillId="0" borderId="0" xfId="0" quotePrefix="1" applyFont="1" applyAlignment="1">
      <alignment vertical="center"/>
    </xf>
    <xf numFmtId="14" fontId="31" fillId="0" borderId="0" xfId="0" applyNumberFormat="1" applyFont="1"/>
    <xf numFmtId="14" fontId="29" fillId="0" borderId="0" xfId="0" applyNumberFormat="1" applyFont="1" applyAlignment="1">
      <alignment vertical="center"/>
    </xf>
    <xf numFmtId="164" fontId="31" fillId="0" borderId="0" xfId="0" applyNumberFormat="1" applyFont="1" applyAlignment="1">
      <alignment horizontal="left"/>
    </xf>
    <xf numFmtId="0" fontId="21" fillId="0" borderId="0" xfId="34" applyFill="1" applyAlignment="1" applyProtection="1">
      <alignment horizontal="left" vertical="center"/>
      <protection locked="0"/>
    </xf>
    <xf numFmtId="0" fontId="21" fillId="0" borderId="0" xfId="34" applyFill="1" applyAlignment="1" applyProtection="1">
      <alignment vertical="top" wrapText="1" readingOrder="1"/>
      <protection locked="0"/>
    </xf>
    <xf numFmtId="0" fontId="21" fillId="0" borderId="0" xfId="34" applyFont="1" applyFill="1" applyAlignment="1" applyProtection="1">
      <alignment vertical="top" wrapText="1" readingOrder="1"/>
      <protection locked="0"/>
    </xf>
    <xf numFmtId="0" fontId="42" fillId="38" borderId="0" xfId="34" applyFont="1" applyFill="1" applyAlignment="1" applyProtection="1">
      <alignment vertical="top" wrapText="1" readingOrder="1"/>
      <protection locked="0"/>
    </xf>
    <xf numFmtId="0" fontId="43" fillId="33" borderId="1" xfId="0" applyFont="1" applyFill="1" applyBorder="1" applyAlignment="1" applyProtection="1">
      <alignment vertical="top" wrapText="1" readingOrder="1"/>
      <protection locked="0"/>
    </xf>
    <xf numFmtId="0" fontId="21" fillId="0" borderId="31" xfId="34" applyFont="1" applyFill="1" applyBorder="1" applyAlignment="1" applyProtection="1">
      <alignment vertical="top" wrapText="1" readingOrder="1"/>
      <protection locked="0"/>
    </xf>
    <xf numFmtId="0" fontId="43" fillId="40" borderId="1" xfId="0" applyFont="1" applyFill="1" applyBorder="1" applyAlignment="1" applyProtection="1">
      <alignment vertical="top" wrapText="1" readingOrder="1"/>
      <protection locked="0"/>
    </xf>
    <xf numFmtId="0" fontId="21" fillId="0" borderId="0" xfId="34" applyFont="1" applyFill="1" applyBorder="1" applyAlignment="1" applyProtection="1">
      <alignment vertical="top" wrapText="1" readingOrder="1"/>
      <protection locked="0"/>
    </xf>
    <xf numFmtId="0" fontId="43" fillId="38" borderId="1" xfId="0" applyFont="1" applyFill="1" applyBorder="1" applyAlignment="1" applyProtection="1">
      <alignment vertical="top" wrapText="1" readingOrder="1"/>
      <protection locked="0"/>
    </xf>
    <xf numFmtId="0" fontId="44" fillId="0" borderId="31" xfId="0" applyFont="1" applyBorder="1" applyAlignment="1" applyProtection="1">
      <alignment vertical="top" wrapText="1" readingOrder="1"/>
      <protection locked="0"/>
    </xf>
    <xf numFmtId="0" fontId="43" fillId="43" borderId="1" xfId="0" applyFont="1" applyFill="1" applyBorder="1" applyAlignment="1" applyProtection="1">
      <alignment vertical="top" wrapText="1" readingOrder="1"/>
      <protection locked="0"/>
    </xf>
    <xf numFmtId="0" fontId="21" fillId="0" borderId="0" xfId="34" applyFont="1" applyFill="1" applyAlignment="1" applyProtection="1">
      <alignment horizontal="left" vertical="center"/>
      <protection locked="0"/>
    </xf>
    <xf numFmtId="0" fontId="31" fillId="33" borderId="31"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164" fontId="45" fillId="0" borderId="34" xfId="0" applyNumberFormat="1" applyFont="1" applyBorder="1" applyAlignment="1">
      <alignment horizontal="left" vertical="center"/>
    </xf>
    <xf numFmtId="0" fontId="45" fillId="0" borderId="0" xfId="39" applyFont="1" applyAlignment="1">
      <alignment vertical="center"/>
    </xf>
    <xf numFmtId="0" fontId="8" fillId="0" borderId="32" xfId="0" applyFont="1" applyBorder="1" applyAlignment="1">
      <alignment vertical="center"/>
    </xf>
    <xf numFmtId="0" fontId="43" fillId="0" borderId="11" xfId="0" applyFont="1" applyBorder="1" applyAlignment="1" applyProtection="1">
      <alignment vertical="center"/>
      <protection locked="0"/>
    </xf>
    <xf numFmtId="0" fontId="43" fillId="0" borderId="11" xfId="0" applyFont="1" applyBorder="1" applyAlignment="1" applyProtection="1">
      <alignment horizontal="center" vertical="center"/>
      <protection locked="0"/>
    </xf>
    <xf numFmtId="0" fontId="21" fillId="33" borderId="11" xfId="34" applyFont="1" applyFill="1" applyBorder="1" applyAlignment="1">
      <alignment vertical="center"/>
    </xf>
    <xf numFmtId="0" fontId="8" fillId="33" borderId="11" xfId="0" applyFont="1" applyFill="1" applyBorder="1" applyAlignment="1">
      <alignment horizontal="center" vertical="center"/>
    </xf>
    <xf numFmtId="0" fontId="8" fillId="33" borderId="11" xfId="0" applyFont="1" applyFill="1" applyBorder="1" applyAlignment="1">
      <alignment vertical="center"/>
    </xf>
    <xf numFmtId="0" fontId="43" fillId="34" borderId="11" xfId="0" applyFont="1" applyFill="1" applyBorder="1" applyAlignment="1" applyProtection="1">
      <alignment vertical="center"/>
      <protection locked="0"/>
    </xf>
    <xf numFmtId="0" fontId="43" fillId="34" borderId="11" xfId="0" applyFont="1" applyFill="1" applyBorder="1" applyAlignment="1" applyProtection="1">
      <alignment horizontal="center" vertical="center"/>
      <protection locked="0"/>
    </xf>
    <xf numFmtId="0" fontId="21" fillId="0" borderId="11" xfId="34" applyFont="1" applyFill="1" applyBorder="1" applyAlignment="1">
      <alignment vertical="center"/>
    </xf>
    <xf numFmtId="0" fontId="40" fillId="0" borderId="11" xfId="0" applyFont="1" applyBorder="1" applyAlignment="1">
      <alignment horizontal="center"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40" fillId="0" borderId="11" xfId="0" applyFont="1" applyBorder="1" applyAlignment="1">
      <alignment vertical="center"/>
    </xf>
    <xf numFmtId="164" fontId="45" fillId="0" borderId="11" xfId="0" applyNumberFormat="1" applyFont="1" applyBorder="1" applyAlignment="1">
      <alignment horizontal="left" vertical="center"/>
    </xf>
    <xf numFmtId="0" fontId="45" fillId="0" borderId="11" xfId="39" applyFont="1" applyBorder="1" applyAlignment="1">
      <alignment vertical="center"/>
    </xf>
    <xf numFmtId="0" fontId="21" fillId="40" borderId="11" xfId="34" applyFont="1" applyFill="1" applyBorder="1" applyAlignment="1">
      <alignment vertical="center"/>
    </xf>
    <xf numFmtId="0" fontId="8" fillId="40" borderId="11" xfId="0" applyFont="1" applyFill="1" applyBorder="1" applyAlignment="1">
      <alignment horizontal="center" vertical="center"/>
    </xf>
    <xf numFmtId="0" fontId="8" fillId="40" borderId="11" xfId="0" applyFont="1" applyFill="1" applyBorder="1" applyAlignment="1">
      <alignment vertical="center"/>
    </xf>
    <xf numFmtId="0" fontId="8" fillId="0" borderId="33" xfId="0" applyFont="1" applyBorder="1" applyAlignment="1">
      <alignment vertical="center"/>
    </xf>
    <xf numFmtId="0" fontId="21" fillId="42" borderId="11" xfId="34" applyFont="1" applyFill="1" applyBorder="1" applyAlignment="1">
      <alignment vertical="center"/>
    </xf>
    <xf numFmtId="0" fontId="8" fillId="42" borderId="11" xfId="0" applyFont="1" applyFill="1" applyBorder="1" applyAlignment="1">
      <alignment horizontal="center" vertical="center"/>
    </xf>
    <xf numFmtId="0" fontId="8" fillId="42" borderId="11" xfId="0" applyFont="1" applyFill="1" applyBorder="1" applyAlignment="1">
      <alignment vertical="center"/>
    </xf>
    <xf numFmtId="0" fontId="47" fillId="38" borderId="11" xfId="0" applyFont="1" applyFill="1" applyBorder="1" applyAlignment="1" applyProtection="1">
      <alignment vertical="center"/>
      <protection locked="0"/>
    </xf>
    <xf numFmtId="0" fontId="47" fillId="38" borderId="11" xfId="0" applyFont="1" applyFill="1" applyBorder="1" applyAlignment="1" applyProtection="1">
      <alignment horizontal="center" vertical="center"/>
      <protection locked="0"/>
    </xf>
    <xf numFmtId="0" fontId="21" fillId="43" borderId="11" xfId="34" applyFont="1" applyFill="1" applyBorder="1" applyAlignment="1">
      <alignment vertical="center"/>
    </xf>
    <xf numFmtId="0" fontId="8" fillId="43" borderId="11" xfId="0" applyFont="1" applyFill="1" applyBorder="1" applyAlignment="1">
      <alignment horizontal="center" vertical="center"/>
    </xf>
    <xf numFmtId="0" fontId="8" fillId="43" borderId="11" xfId="0" applyFont="1" applyFill="1" applyBorder="1" applyAlignment="1">
      <alignment vertical="center"/>
    </xf>
    <xf numFmtId="0" fontId="40" fillId="0" borderId="0" xfId="0" applyFont="1" applyAlignment="1" applyProtection="1">
      <alignment wrapText="1" readingOrder="1"/>
      <protection locked="0"/>
    </xf>
    <xf numFmtId="0" fontId="40" fillId="0" borderId="0" xfId="0" applyFont="1" applyAlignment="1" applyProtection="1">
      <alignment horizontal="center" wrapText="1" readingOrder="1"/>
      <protection locked="0"/>
    </xf>
    <xf numFmtId="0" fontId="40" fillId="0" borderId="0" xfId="0" applyFont="1" applyAlignment="1" applyProtection="1">
      <alignment horizontal="left" wrapText="1" readingOrder="1"/>
      <protection locked="0"/>
    </xf>
    <xf numFmtId="0" fontId="43" fillId="0" borderId="0" xfId="0" applyFont="1" applyAlignment="1" applyProtection="1">
      <alignment horizontal="right" wrapText="1" readingOrder="1"/>
      <protection locked="0"/>
    </xf>
    <xf numFmtId="0" fontId="40" fillId="0" borderId="12" xfId="0" applyFont="1" applyBorder="1" applyAlignment="1" applyProtection="1">
      <alignment wrapText="1" readingOrder="1"/>
      <protection locked="0"/>
    </xf>
    <xf numFmtId="0" fontId="48" fillId="39" borderId="11" xfId="0" applyFont="1" applyFill="1" applyBorder="1" applyAlignment="1">
      <alignment wrapText="1"/>
    </xf>
    <xf numFmtId="0" fontId="48" fillId="39" borderId="11" xfId="0" applyFont="1" applyFill="1" applyBorder="1" applyAlignment="1">
      <alignment horizontal="center" wrapText="1"/>
    </xf>
    <xf numFmtId="0" fontId="8" fillId="0" borderId="0" xfId="0" applyFont="1"/>
    <xf numFmtId="0" fontId="43" fillId="33" borderId="1" xfId="0" applyFont="1" applyFill="1" applyBorder="1" applyAlignment="1" applyProtection="1">
      <alignment horizontal="center" vertical="top" wrapText="1" readingOrder="1"/>
      <protection locked="0"/>
    </xf>
    <xf numFmtId="0" fontId="40" fillId="33" borderId="1" xfId="0" applyFont="1" applyFill="1" applyBorder="1" applyAlignment="1" applyProtection="1">
      <alignment vertical="top" wrapText="1" readingOrder="1"/>
      <protection locked="0"/>
    </xf>
    <xf numFmtId="0" fontId="43" fillId="33" borderId="1" xfId="0" applyFont="1" applyFill="1" applyBorder="1" applyAlignment="1" applyProtection="1">
      <alignment horizontal="left" vertical="top" wrapText="1" readingOrder="1"/>
      <protection locked="0"/>
    </xf>
    <xf numFmtId="0" fontId="43" fillId="33" borderId="13" xfId="0" applyFont="1" applyFill="1" applyBorder="1" applyAlignment="1" applyProtection="1">
      <alignment vertical="top" wrapText="1" readingOrder="1"/>
      <protection locked="0"/>
    </xf>
    <xf numFmtId="0" fontId="43" fillId="33" borderId="14" xfId="0" applyFont="1" applyFill="1" applyBorder="1" applyAlignment="1" applyProtection="1">
      <alignment vertical="top" wrapText="1" readingOrder="1"/>
      <protection locked="0"/>
    </xf>
    <xf numFmtId="0" fontId="43" fillId="33" borderId="14" xfId="0" applyFont="1" applyFill="1" applyBorder="1" applyAlignment="1" applyProtection="1">
      <alignment horizontal="center" vertical="top" wrapText="1" readingOrder="1"/>
      <protection locked="0"/>
    </xf>
    <xf numFmtId="0" fontId="43" fillId="33" borderId="15" xfId="0" applyFont="1" applyFill="1" applyBorder="1" applyAlignment="1" applyProtection="1">
      <alignment vertical="top" wrapText="1" readingOrder="1"/>
      <protection locked="0"/>
    </xf>
    <xf numFmtId="0" fontId="49" fillId="0" borderId="0" xfId="0" applyFont="1"/>
    <xf numFmtId="0" fontId="8" fillId="0" borderId="0" xfId="0" applyFont="1" applyAlignment="1" applyProtection="1">
      <alignment vertical="top" wrapText="1" readingOrder="1"/>
      <protection locked="0"/>
    </xf>
    <xf numFmtId="49" fontId="8" fillId="0" borderId="0" xfId="0" applyNumberFormat="1" applyFont="1" applyAlignment="1" applyProtection="1">
      <alignment horizontal="center" vertical="top" wrapText="1" readingOrder="1"/>
      <protection locked="0"/>
    </xf>
    <xf numFmtId="49" fontId="8" fillId="0" borderId="0" xfId="0" applyNumberFormat="1" applyFont="1" applyAlignment="1" applyProtection="1">
      <alignment horizontal="left" vertical="top" wrapText="1" readingOrder="1"/>
      <protection locked="0"/>
    </xf>
    <xf numFmtId="0" fontId="8" fillId="0" borderId="0" xfId="0" applyFont="1" applyAlignment="1" applyProtection="1">
      <alignment horizontal="center" vertical="top" wrapText="1" readingOrder="1"/>
      <protection locked="0"/>
    </xf>
    <xf numFmtId="0" fontId="8" fillId="0" borderId="0" xfId="0" applyFont="1" applyAlignment="1" applyProtection="1">
      <alignment horizontal="left" vertical="top" wrapText="1" readingOrder="1"/>
      <protection locked="0"/>
    </xf>
    <xf numFmtId="0" fontId="8" fillId="0" borderId="12" xfId="0" applyFont="1" applyBorder="1" applyAlignment="1" applyProtection="1">
      <alignment vertical="top" wrapText="1" readingOrder="1"/>
      <protection locked="0"/>
    </xf>
    <xf numFmtId="0" fontId="8" fillId="0" borderId="16" xfId="0" applyFont="1" applyBorder="1" applyAlignment="1">
      <alignment vertical="top" wrapText="1"/>
    </xf>
    <xf numFmtId="0" fontId="8" fillId="0" borderId="17" xfId="0" applyFont="1" applyBorder="1" applyAlignment="1">
      <alignment horizontal="center" wrapText="1"/>
    </xf>
    <xf numFmtId="0" fontId="8" fillId="0" borderId="17" xfId="0" applyFont="1" applyBorder="1" applyAlignment="1">
      <alignment horizontal="center"/>
    </xf>
    <xf numFmtId="0" fontId="8" fillId="0" borderId="17" xfId="0" applyFont="1" applyBorder="1"/>
    <xf numFmtId="0" fontId="8" fillId="0" borderId="18" xfId="0" applyFont="1" applyBorder="1"/>
    <xf numFmtId="0" fontId="50" fillId="0" borderId="22" xfId="0" applyFont="1" applyBorder="1" applyAlignment="1" applyProtection="1">
      <alignment vertical="top" wrapText="1" readingOrder="1"/>
      <protection locked="0"/>
    </xf>
    <xf numFmtId="0" fontId="50" fillId="0" borderId="0" xfId="0" applyFont="1" applyAlignment="1" applyProtection="1">
      <alignment vertical="top" wrapText="1" readingOrder="1"/>
      <protection locked="0"/>
    </xf>
    <xf numFmtId="0" fontId="50" fillId="0" borderId="0" xfId="0" applyFont="1" applyAlignment="1" applyProtection="1">
      <alignment horizontal="center" vertical="top" wrapText="1" readingOrder="1"/>
      <protection locked="0"/>
    </xf>
    <xf numFmtId="0" fontId="50" fillId="0" borderId="0" xfId="0" applyFont="1" applyAlignment="1" applyProtection="1">
      <alignment horizontal="left" vertical="top" wrapText="1" readingOrder="1"/>
      <protection locked="0"/>
    </xf>
    <xf numFmtId="0" fontId="50" fillId="0" borderId="12" xfId="0" applyFont="1" applyBorder="1" applyAlignment="1" applyProtection="1">
      <alignment vertical="top" wrapText="1" readingOrder="1"/>
      <protection locked="0"/>
    </xf>
    <xf numFmtId="0" fontId="8" fillId="0" borderId="19" xfId="0" applyFont="1" applyBorder="1" applyAlignment="1">
      <alignment horizontal="left" vertical="top" wrapText="1"/>
    </xf>
    <xf numFmtId="0" fontId="8" fillId="0" borderId="20" xfId="0" applyFont="1" applyBorder="1" applyAlignment="1">
      <alignment horizontal="center" wrapText="1"/>
    </xf>
    <xf numFmtId="0" fontId="8" fillId="0" borderId="20" xfId="0" applyFont="1" applyBorder="1" applyAlignment="1">
      <alignment horizontal="center"/>
    </xf>
    <xf numFmtId="0" fontId="8" fillId="0" borderId="20" xfId="0" applyFont="1" applyBorder="1"/>
    <xf numFmtId="0" fontId="8" fillId="0" borderId="21" xfId="0" applyFont="1" applyBorder="1"/>
    <xf numFmtId="0" fontId="51" fillId="34" borderId="0" xfId="0" applyFont="1" applyFill="1" applyAlignment="1" applyProtection="1">
      <alignment vertical="top" wrapText="1" readingOrder="1"/>
      <protection locked="0"/>
    </xf>
    <xf numFmtId="49" fontId="51" fillId="38" borderId="0" xfId="0" applyNumberFormat="1" applyFont="1" applyFill="1" applyAlignment="1" applyProtection="1">
      <alignment horizontal="center" vertical="top" wrapText="1" readingOrder="1"/>
      <protection locked="0"/>
    </xf>
    <xf numFmtId="0" fontId="51" fillId="38" borderId="0" xfId="0" applyFont="1" applyFill="1" applyAlignment="1" applyProtection="1">
      <alignment vertical="top" wrapText="1" readingOrder="1"/>
      <protection locked="0"/>
    </xf>
    <xf numFmtId="49" fontId="51" fillId="38" borderId="0" xfId="0" applyNumberFormat="1" applyFont="1" applyFill="1" applyAlignment="1" applyProtection="1">
      <alignment horizontal="left" vertical="top" wrapText="1" readingOrder="1"/>
      <protection locked="0"/>
    </xf>
    <xf numFmtId="0" fontId="51" fillId="38" borderId="0" xfId="0" applyFont="1" applyFill="1" applyAlignment="1" applyProtection="1">
      <alignment horizontal="left" vertical="top" wrapText="1" readingOrder="1"/>
      <protection locked="0"/>
    </xf>
    <xf numFmtId="0" fontId="51" fillId="38" borderId="0" xfId="0" applyFont="1" applyFill="1" applyAlignment="1" applyProtection="1">
      <alignment horizontal="center" vertical="top" wrapText="1" readingOrder="1"/>
      <protection locked="0"/>
    </xf>
    <xf numFmtId="0" fontId="51" fillId="38" borderId="12" xfId="0" applyFont="1" applyFill="1" applyBorder="1" applyAlignment="1" applyProtection="1">
      <alignment vertical="top" wrapText="1" readingOrder="1"/>
      <protection locked="0"/>
    </xf>
    <xf numFmtId="49" fontId="43" fillId="33" borderId="1" xfId="0" applyNumberFormat="1" applyFont="1" applyFill="1" applyBorder="1" applyAlignment="1" applyProtection="1">
      <alignment horizontal="center" vertical="top" wrapText="1" readingOrder="1"/>
      <protection locked="0"/>
    </xf>
    <xf numFmtId="49" fontId="43" fillId="33" borderId="1" xfId="0" applyNumberFormat="1" applyFont="1" applyFill="1" applyBorder="1" applyAlignment="1" applyProtection="1">
      <alignment horizontal="left" vertical="top" wrapText="1" readingOrder="1"/>
      <protection locked="0"/>
    </xf>
    <xf numFmtId="0" fontId="8" fillId="34" borderId="0" xfId="0" applyFont="1" applyFill="1" applyAlignment="1" applyProtection="1">
      <alignment vertical="top" wrapText="1" readingOrder="1"/>
      <protection locked="0"/>
    </xf>
    <xf numFmtId="0" fontId="50" fillId="0" borderId="0" xfId="0" applyFont="1" applyFill="1" applyAlignment="1" applyProtection="1">
      <alignment horizontal="left" vertical="top" wrapText="1" readingOrder="1"/>
      <protection locked="0"/>
    </xf>
    <xf numFmtId="0" fontId="8" fillId="0" borderId="0" xfId="0" applyFont="1" applyFill="1" applyAlignment="1" applyProtection="1">
      <alignment vertical="top" wrapText="1" readingOrder="1"/>
      <protection locked="0"/>
    </xf>
    <xf numFmtId="0" fontId="50" fillId="34" borderId="12" xfId="0" applyFont="1" applyFill="1" applyBorder="1" applyAlignment="1" applyProtection="1">
      <alignment vertical="top" wrapText="1" readingOrder="1"/>
      <protection locked="0"/>
    </xf>
    <xf numFmtId="0" fontId="8" fillId="0" borderId="0" xfId="0" applyFont="1" applyAlignment="1">
      <alignment horizontal="center"/>
    </xf>
    <xf numFmtId="0" fontId="8" fillId="0" borderId="31" xfId="0" applyFont="1" applyBorder="1" applyAlignment="1" applyProtection="1">
      <alignment vertical="top" wrapText="1" readingOrder="1"/>
      <protection locked="0"/>
    </xf>
    <xf numFmtId="49" fontId="8" fillId="0" borderId="31" xfId="0" applyNumberFormat="1" applyFont="1" applyBorder="1" applyAlignment="1" applyProtection="1">
      <alignment horizontal="center" vertical="top" wrapText="1" readingOrder="1"/>
      <protection locked="0"/>
    </xf>
    <xf numFmtId="0" fontId="50" fillId="0" borderId="31" xfId="0" applyFont="1" applyBorder="1" applyAlignment="1" applyProtection="1">
      <alignment vertical="top" wrapText="1" readingOrder="1"/>
      <protection locked="0"/>
    </xf>
    <xf numFmtId="49" fontId="8" fillId="0" borderId="31" xfId="0" applyNumberFormat="1" applyFont="1" applyBorder="1" applyAlignment="1" applyProtection="1">
      <alignment horizontal="left" vertical="top" wrapText="1" readingOrder="1"/>
      <protection locked="0"/>
    </xf>
    <xf numFmtId="0" fontId="8" fillId="0" borderId="31" xfId="0" applyFont="1" applyBorder="1" applyAlignment="1" applyProtection="1">
      <alignment horizontal="left" vertical="top" wrapText="1" readingOrder="1"/>
      <protection locked="0"/>
    </xf>
    <xf numFmtId="0" fontId="50" fillId="0" borderId="31" xfId="0" applyFont="1" applyBorder="1" applyAlignment="1" applyProtection="1">
      <alignment horizontal="center" vertical="top" wrapText="1" readingOrder="1"/>
      <protection locked="0"/>
    </xf>
    <xf numFmtId="0" fontId="50" fillId="0" borderId="31" xfId="0" applyFont="1" applyBorder="1" applyAlignment="1" applyProtection="1">
      <alignment horizontal="left" vertical="top" wrapText="1" readingOrder="1"/>
      <protection locked="0"/>
    </xf>
    <xf numFmtId="0" fontId="50" fillId="0" borderId="32" xfId="0" applyFont="1" applyBorder="1" applyAlignment="1" applyProtection="1">
      <alignment vertical="top" wrapText="1" readingOrder="1"/>
      <protection locked="0"/>
    </xf>
    <xf numFmtId="0" fontId="8" fillId="0" borderId="0" xfId="0" applyFont="1" applyAlignment="1">
      <alignment horizontal="left" vertical="top" wrapText="1"/>
    </xf>
    <xf numFmtId="0" fontId="8" fillId="0" borderId="0" xfId="0" applyFont="1" applyAlignment="1">
      <alignment horizontal="center" wrapText="1"/>
    </xf>
    <xf numFmtId="49" fontId="43" fillId="40" borderId="1" xfId="0" applyNumberFormat="1" applyFont="1" applyFill="1" applyBorder="1" applyAlignment="1" applyProtection="1">
      <alignment horizontal="center" vertical="top" wrapText="1" readingOrder="1"/>
      <protection locked="0"/>
    </xf>
    <xf numFmtId="0" fontId="40" fillId="40" borderId="1" xfId="0" applyFont="1" applyFill="1" applyBorder="1" applyAlignment="1" applyProtection="1">
      <alignment vertical="top" wrapText="1" readingOrder="1"/>
      <protection locked="0"/>
    </xf>
    <xf numFmtId="0" fontId="43" fillId="40" borderId="1" xfId="0" applyFont="1" applyFill="1" applyBorder="1" applyAlignment="1" applyProtection="1">
      <alignment horizontal="left" vertical="top" wrapText="1" readingOrder="1"/>
      <protection locked="0"/>
    </xf>
    <xf numFmtId="0" fontId="43" fillId="40" borderId="13" xfId="0" applyFont="1" applyFill="1" applyBorder="1" applyAlignment="1" applyProtection="1">
      <alignment vertical="top" wrapText="1" readingOrder="1"/>
      <protection locked="0"/>
    </xf>
    <xf numFmtId="0" fontId="41" fillId="0" borderId="0" xfId="0" applyFont="1" applyAlignment="1" applyProtection="1">
      <alignment vertical="top" wrapText="1" readingOrder="1"/>
      <protection locked="0"/>
    </xf>
    <xf numFmtId="0" fontId="8" fillId="0" borderId="31" xfId="0" applyFont="1" applyBorder="1"/>
    <xf numFmtId="49" fontId="43" fillId="38" borderId="1" xfId="0" applyNumberFormat="1" applyFont="1" applyFill="1" applyBorder="1" applyAlignment="1" applyProtection="1">
      <alignment horizontal="center" vertical="top" wrapText="1" readingOrder="1"/>
      <protection locked="0"/>
    </xf>
    <xf numFmtId="0" fontId="40" fillId="38" borderId="1" xfId="0" applyFont="1" applyFill="1" applyBorder="1" applyAlignment="1" applyProtection="1">
      <alignment vertical="top" wrapText="1" readingOrder="1"/>
      <protection locked="0"/>
    </xf>
    <xf numFmtId="0" fontId="43" fillId="38" borderId="1" xfId="0" applyFont="1" applyFill="1" applyBorder="1" applyAlignment="1" applyProtection="1">
      <alignment horizontal="left" vertical="top" wrapText="1" readingOrder="1"/>
      <protection locked="0"/>
    </xf>
    <xf numFmtId="0" fontId="43" fillId="38" borderId="13" xfId="0" applyFont="1" applyFill="1" applyBorder="1" applyAlignment="1" applyProtection="1">
      <alignment vertical="top" wrapText="1" readingOrder="1"/>
      <protection locked="0"/>
    </xf>
    <xf numFmtId="0" fontId="44" fillId="0" borderId="0" xfId="0" applyFont="1"/>
    <xf numFmtId="49" fontId="44" fillId="0" borderId="0" xfId="0" applyNumberFormat="1" applyFont="1" applyAlignment="1" applyProtection="1">
      <alignment horizontal="center" vertical="top" wrapText="1" readingOrder="1"/>
      <protection locked="0"/>
    </xf>
    <xf numFmtId="0" fontId="44" fillId="0" borderId="24" xfId="0" applyFont="1" applyBorder="1" applyAlignment="1" applyProtection="1">
      <alignment vertical="top" wrapText="1" readingOrder="1"/>
      <protection locked="0"/>
    </xf>
    <xf numFmtId="49" fontId="44" fillId="0" borderId="24" xfId="0" applyNumberFormat="1" applyFont="1" applyBorder="1" applyAlignment="1" applyProtection="1">
      <alignment horizontal="left" vertical="top" wrapText="1" readingOrder="1"/>
      <protection locked="0"/>
    </xf>
    <xf numFmtId="0" fontId="44" fillId="0" borderId="24" xfId="0" applyFont="1" applyBorder="1"/>
    <xf numFmtId="0" fontId="44" fillId="0" borderId="24" xfId="0" applyFont="1" applyBorder="1" applyAlignment="1" applyProtection="1">
      <alignment horizontal="left" vertical="top" wrapText="1" readingOrder="1"/>
      <protection locked="0"/>
    </xf>
    <xf numFmtId="0" fontId="44" fillId="0" borderId="24" xfId="0" applyFont="1" applyBorder="1" applyAlignment="1">
      <alignment horizontal="left" vertical="top" wrapText="1"/>
    </xf>
    <xf numFmtId="0" fontId="44" fillId="0" borderId="24" xfId="0" applyFont="1" applyBorder="1" applyAlignment="1">
      <alignment horizontal="left" readingOrder="1"/>
    </xf>
    <xf numFmtId="0" fontId="44" fillId="0" borderId="24" xfId="0" applyFont="1" applyBorder="1" applyAlignment="1">
      <alignment horizontal="center"/>
    </xf>
    <xf numFmtId="0" fontId="44" fillId="0" borderId="24" xfId="0" applyFont="1" applyBorder="1" applyAlignment="1">
      <alignment horizontal="left"/>
    </xf>
    <xf numFmtId="0" fontId="44" fillId="0" borderId="30" xfId="0" applyFont="1" applyBorder="1" applyAlignment="1">
      <alignment horizontal="left" vertical="center"/>
    </xf>
    <xf numFmtId="0" fontId="44" fillId="0" borderId="0" xfId="0" applyFont="1" applyAlignment="1">
      <alignment horizontal="center"/>
    </xf>
    <xf numFmtId="0" fontId="44" fillId="0" borderId="0" xfId="0" applyFont="1" applyAlignment="1" applyProtection="1">
      <alignment vertical="top" wrapText="1" readingOrder="1"/>
      <protection locked="0"/>
    </xf>
    <xf numFmtId="49" fontId="44" fillId="0" borderId="0" xfId="0" applyNumberFormat="1" applyFont="1" applyAlignment="1" applyProtection="1">
      <alignment horizontal="left" vertical="top" wrapText="1" readingOrder="1"/>
      <protection locked="0"/>
    </xf>
    <xf numFmtId="0" fontId="44" fillId="0" borderId="0" xfId="0" applyFont="1" applyAlignment="1" applyProtection="1">
      <alignment horizontal="left" vertical="top" wrapText="1" readingOrder="1"/>
      <protection locked="0"/>
    </xf>
    <xf numFmtId="0" fontId="44" fillId="0" borderId="0" xfId="200" applyFont="1" applyAlignment="1" applyProtection="1">
      <alignment horizontal="left" vertical="top" wrapText="1"/>
      <protection locked="0"/>
    </xf>
    <xf numFmtId="0" fontId="44" fillId="0" borderId="0" xfId="0" applyFont="1" applyAlignment="1">
      <alignment horizontal="left" readingOrder="1"/>
    </xf>
    <xf numFmtId="0" fontId="44" fillId="0" borderId="0" xfId="0" applyFont="1" applyAlignment="1">
      <alignment horizontal="left"/>
    </xf>
    <xf numFmtId="0" fontId="44" fillId="0" borderId="12" xfId="0" applyFont="1" applyBorder="1" applyAlignment="1">
      <alignment horizontal="left" vertical="center"/>
    </xf>
    <xf numFmtId="0" fontId="44" fillId="0" borderId="12" xfId="0" applyFont="1" applyBorder="1" applyAlignment="1">
      <alignment horizontal="left" vertical="center" wrapText="1"/>
    </xf>
    <xf numFmtId="0" fontId="44" fillId="0" borderId="0" xfId="0" applyFont="1" applyAlignment="1">
      <alignment horizontal="left" vertical="top" wrapText="1"/>
    </xf>
    <xf numFmtId="0" fontId="44" fillId="0" borderId="31" xfId="0" applyFont="1" applyBorder="1"/>
    <xf numFmtId="49" fontId="44" fillId="0" borderId="31" xfId="0" applyNumberFormat="1" applyFont="1" applyBorder="1" applyAlignment="1" applyProtection="1">
      <alignment horizontal="center" vertical="top" wrapText="1" readingOrder="1"/>
      <protection locked="0"/>
    </xf>
    <xf numFmtId="49" fontId="44" fillId="0" borderId="31" xfId="0" applyNumberFormat="1" applyFont="1" applyBorder="1" applyAlignment="1" applyProtection="1">
      <alignment horizontal="left" vertical="top" wrapText="1" readingOrder="1"/>
      <protection locked="0"/>
    </xf>
    <xf numFmtId="0" fontId="44" fillId="0" borderId="31" xfId="0" applyFont="1" applyBorder="1" applyAlignment="1" applyProtection="1">
      <alignment horizontal="left" vertical="top" wrapText="1" readingOrder="1"/>
      <protection locked="0"/>
    </xf>
    <xf numFmtId="0" fontId="44" fillId="0" borderId="31" xfId="0" applyFont="1" applyBorder="1" applyAlignment="1">
      <alignment horizontal="left" vertical="top" wrapText="1"/>
    </xf>
    <xf numFmtId="0" fontId="44" fillId="0" borderId="31" xfId="0" applyFont="1" applyBorder="1" applyAlignment="1">
      <alignment horizontal="left" readingOrder="1"/>
    </xf>
    <xf numFmtId="0" fontId="44" fillId="0" borderId="31" xfId="0" applyFont="1" applyBorder="1" applyAlignment="1">
      <alignment horizontal="center"/>
    </xf>
    <xf numFmtId="1" fontId="44" fillId="0" borderId="31" xfId="0" applyNumberFormat="1" applyFont="1" applyBorder="1" applyAlignment="1">
      <alignment horizontal="left"/>
    </xf>
    <xf numFmtId="0" fontId="44" fillId="0" borderId="32" xfId="0" applyFont="1" applyBorder="1" applyAlignment="1">
      <alignment horizontal="left" vertical="center"/>
    </xf>
    <xf numFmtId="0" fontId="8" fillId="0" borderId="0" xfId="0" applyFont="1" applyAlignment="1">
      <alignment horizontal="left"/>
    </xf>
    <xf numFmtId="0" fontId="8" fillId="0" borderId="0" xfId="0" applyFont="1" applyAlignment="1">
      <alignment horizontal="center" readingOrder="1"/>
    </xf>
    <xf numFmtId="49" fontId="43" fillId="43" borderId="1" xfId="0" applyNumberFormat="1" applyFont="1" applyFill="1" applyBorder="1" applyAlignment="1" applyProtection="1">
      <alignment horizontal="center" vertical="top" wrapText="1" readingOrder="1"/>
      <protection locked="0"/>
    </xf>
    <xf numFmtId="0" fontId="40" fillId="43" borderId="1" xfId="0" applyFont="1" applyFill="1" applyBorder="1" applyAlignment="1" applyProtection="1">
      <alignment vertical="top" wrapText="1" readingOrder="1"/>
      <protection locked="0"/>
    </xf>
    <xf numFmtId="0" fontId="43" fillId="43" borderId="1" xfId="0" applyFont="1" applyFill="1" applyBorder="1" applyAlignment="1" applyProtection="1">
      <alignment horizontal="left" vertical="top" wrapText="1" readingOrder="1"/>
      <protection locked="0"/>
    </xf>
    <xf numFmtId="0" fontId="43" fillId="43" borderId="13" xfId="0" applyFont="1" applyFill="1" applyBorder="1" applyAlignment="1" applyProtection="1">
      <alignment vertical="top" wrapText="1" readingOrder="1"/>
      <protection locked="0"/>
    </xf>
    <xf numFmtId="49" fontId="35" fillId="0" borderId="0" xfId="0" applyNumberFormat="1" applyFont="1" applyAlignment="1" applyProtection="1">
      <alignment horizontal="center" vertical="top" wrapText="1" readingOrder="1"/>
      <protection locked="0"/>
    </xf>
    <xf numFmtId="0" fontId="35" fillId="0" borderId="24" xfId="0" applyFont="1" applyBorder="1" applyAlignment="1" applyProtection="1">
      <alignment vertical="top" wrapText="1" readingOrder="1"/>
      <protection locked="0"/>
    </xf>
    <xf numFmtId="49" fontId="35" fillId="0" borderId="24" xfId="0" applyNumberFormat="1" applyFont="1" applyBorder="1" applyAlignment="1" applyProtection="1">
      <alignment horizontal="left" vertical="top" wrapText="1" readingOrder="1"/>
      <protection locked="0"/>
    </xf>
    <xf numFmtId="0" fontId="35" fillId="0" borderId="24" xfId="0" applyFont="1" applyBorder="1"/>
    <xf numFmtId="0" fontId="35" fillId="0" borderId="24" xfId="0" applyFont="1" applyBorder="1" applyAlignment="1" applyProtection="1">
      <alignment horizontal="left" vertical="top" wrapText="1" readingOrder="1"/>
      <protection locked="0"/>
    </xf>
    <xf numFmtId="0" fontId="35" fillId="0" borderId="24" xfId="0" applyFont="1" applyBorder="1" applyAlignment="1">
      <alignment horizontal="left" vertical="top" wrapText="1"/>
    </xf>
    <xf numFmtId="0" fontId="35" fillId="0" borderId="24" xfId="0" applyFont="1" applyBorder="1" applyAlignment="1">
      <alignment horizontal="left" readingOrder="1"/>
    </xf>
    <xf numFmtId="0" fontId="35" fillId="0" borderId="24" xfId="0" applyFont="1" applyBorder="1" applyAlignment="1">
      <alignment horizontal="center"/>
    </xf>
    <xf numFmtId="0" fontId="35" fillId="0" borderId="24" xfId="0" applyFont="1" applyBorder="1" applyAlignment="1">
      <alignment horizontal="left"/>
    </xf>
    <xf numFmtId="0" fontId="35" fillId="0" borderId="30" xfId="0" applyFont="1" applyBorder="1" applyAlignment="1">
      <alignment horizontal="left" vertical="center"/>
    </xf>
    <xf numFmtId="0" fontId="35" fillId="0" borderId="0" xfId="0" applyFont="1" applyAlignment="1" applyProtection="1">
      <alignment vertical="top" wrapText="1" readingOrder="1"/>
      <protection locked="0"/>
    </xf>
    <xf numFmtId="49" fontId="35" fillId="0" borderId="0" xfId="0" applyNumberFormat="1" applyFont="1" applyAlignment="1" applyProtection="1">
      <alignment horizontal="left" vertical="top" wrapText="1" readingOrder="1"/>
      <protection locked="0"/>
    </xf>
    <xf numFmtId="0" fontId="35" fillId="0" borderId="0" xfId="0" applyFont="1" applyAlignment="1" applyProtection="1">
      <alignment horizontal="left" vertical="top" wrapText="1" readingOrder="1"/>
      <protection locked="0"/>
    </xf>
    <xf numFmtId="0" fontId="35" fillId="0" borderId="0" xfId="200" applyFont="1" applyAlignment="1" applyProtection="1">
      <alignment horizontal="left" vertical="top" wrapText="1"/>
      <protection locked="0"/>
    </xf>
    <xf numFmtId="0" fontId="35" fillId="0" borderId="0" xfId="0" applyFont="1" applyAlignment="1">
      <alignment horizontal="left" readingOrder="1"/>
    </xf>
    <xf numFmtId="0" fontId="35" fillId="0" borderId="0" xfId="0" applyFont="1" applyAlignment="1">
      <alignment horizontal="left"/>
    </xf>
    <xf numFmtId="0" fontId="35" fillId="0" borderId="12" xfId="0" applyFont="1" applyBorder="1" applyAlignment="1">
      <alignment horizontal="left" vertical="center"/>
    </xf>
    <xf numFmtId="0" fontId="35" fillId="0" borderId="0" xfId="0" applyFont="1" applyAlignment="1">
      <alignment horizontal="left" vertical="top" wrapText="1"/>
    </xf>
    <xf numFmtId="0" fontId="35" fillId="0" borderId="12" xfId="0" applyFont="1" applyBorder="1" applyAlignment="1">
      <alignment horizontal="left" vertical="top" wrapText="1"/>
    </xf>
    <xf numFmtId="14" fontId="35" fillId="0" borderId="0" xfId="0" applyNumberFormat="1" applyFont="1" applyAlignment="1">
      <alignment horizontal="left"/>
    </xf>
    <xf numFmtId="0" fontId="35" fillId="0" borderId="0" xfId="0" applyFont="1" applyAlignment="1" applyProtection="1">
      <alignment horizontal="center" vertical="top" wrapText="1" readingOrder="1"/>
      <protection locked="0"/>
    </xf>
    <xf numFmtId="0" fontId="35" fillId="0" borderId="31" xfId="0" applyFont="1" applyBorder="1"/>
    <xf numFmtId="49" fontId="35" fillId="0" borderId="31" xfId="0" applyNumberFormat="1" applyFont="1" applyBorder="1" applyAlignment="1" applyProtection="1">
      <alignment horizontal="center" vertical="top" wrapText="1" readingOrder="1"/>
      <protection locked="0"/>
    </xf>
    <xf numFmtId="0" fontId="35" fillId="0" borderId="31" xfId="0" applyFont="1" applyBorder="1" applyAlignment="1" applyProtection="1">
      <alignment vertical="top" wrapText="1" readingOrder="1"/>
      <protection locked="0"/>
    </xf>
    <xf numFmtId="49" fontId="35" fillId="0" borderId="31" xfId="0" applyNumberFormat="1" applyFont="1" applyBorder="1" applyAlignment="1" applyProtection="1">
      <alignment horizontal="left" vertical="top" wrapText="1" readingOrder="1"/>
      <protection locked="0"/>
    </xf>
    <xf numFmtId="0" fontId="35" fillId="0" borderId="31" xfId="0" applyFont="1" applyBorder="1" applyAlignment="1">
      <alignment horizontal="left" vertical="top" wrapText="1"/>
    </xf>
    <xf numFmtId="0" fontId="35" fillId="0" borderId="31" xfId="0" applyFont="1" applyBorder="1" applyAlignment="1" applyProtection="1">
      <alignment horizontal="center" vertical="top" wrapText="1" readingOrder="1"/>
      <protection locked="0"/>
    </xf>
    <xf numFmtId="0" fontId="35" fillId="0" borderId="32" xfId="0" applyFont="1" applyBorder="1" applyAlignment="1">
      <alignment horizontal="left" vertical="center"/>
    </xf>
    <xf numFmtId="0" fontId="43" fillId="0" borderId="0" xfId="39" applyFont="1" applyAlignment="1" applyProtection="1">
      <alignment vertical="top"/>
      <protection locked="0"/>
    </xf>
    <xf numFmtId="0" fontId="8" fillId="0" borderId="0" xfId="39" applyFont="1"/>
    <xf numFmtId="0" fontId="21" fillId="0" borderId="0" xfId="34" applyFont="1" applyAlignment="1"/>
    <xf numFmtId="0" fontId="40" fillId="0" borderId="0" xfId="0" applyFont="1"/>
    <xf numFmtId="0" fontId="40" fillId="0" borderId="0" xfId="39" applyFont="1"/>
    <xf numFmtId="0" fontId="40" fillId="0" borderId="38" xfId="0" applyFont="1" applyBorder="1"/>
    <xf numFmtId="0" fontId="40" fillId="0" borderId="39" xfId="39" applyFont="1" applyBorder="1"/>
    <xf numFmtId="0" fontId="40" fillId="0" borderId="23" xfId="0" applyFont="1" applyBorder="1"/>
    <xf numFmtId="0" fontId="40" fillId="0" borderId="25" xfId="39" applyFont="1" applyBorder="1"/>
    <xf numFmtId="0" fontId="8" fillId="34" borderId="11" xfId="0" applyFont="1" applyFill="1" applyBorder="1"/>
    <xf numFmtId="0" fontId="8" fillId="34" borderId="11" xfId="0" applyFont="1" applyFill="1" applyBorder="1" applyAlignment="1">
      <alignment horizontal="center"/>
    </xf>
    <xf numFmtId="0" fontId="8" fillId="38" borderId="37" xfId="0" applyFont="1" applyFill="1" applyBorder="1" applyAlignment="1">
      <alignment horizontal="center"/>
    </xf>
    <xf numFmtId="0" fontId="8" fillId="43" borderId="36" xfId="0" applyFont="1" applyFill="1" applyBorder="1" applyAlignment="1">
      <alignment horizontal="center"/>
    </xf>
    <xf numFmtId="0" fontId="50" fillId="33" borderId="36" xfId="0" applyFont="1" applyFill="1" applyBorder="1" applyAlignment="1" applyProtection="1">
      <alignment vertical="top" wrapText="1" readingOrder="1"/>
      <protection locked="0"/>
    </xf>
    <xf numFmtId="0" fontId="50" fillId="33" borderId="37" xfId="0" applyFont="1" applyFill="1" applyBorder="1" applyAlignment="1" applyProtection="1">
      <alignment vertical="top" wrapText="1" readingOrder="1"/>
      <protection locked="0"/>
    </xf>
    <xf numFmtId="0" fontId="43" fillId="0" borderId="0" xfId="39" applyFont="1" applyAlignment="1" applyProtection="1">
      <alignment vertical="top" wrapText="1"/>
      <protection locked="0"/>
    </xf>
    <xf numFmtId="0" fontId="8" fillId="40" borderId="36" xfId="0" applyFont="1" applyFill="1" applyBorder="1"/>
    <xf numFmtId="0" fontId="8" fillId="40" borderId="37" xfId="0" applyFont="1" applyFill="1" applyBorder="1"/>
    <xf numFmtId="0" fontId="8" fillId="38" borderId="36" xfId="0" applyFont="1" applyFill="1" applyBorder="1"/>
    <xf numFmtId="0" fontId="8" fillId="38" borderId="37" xfId="0" applyFont="1" applyFill="1" applyBorder="1"/>
    <xf numFmtId="0" fontId="8" fillId="43" borderId="36" xfId="0" applyFont="1" applyFill="1" applyBorder="1"/>
    <xf numFmtId="0" fontId="8" fillId="43" borderId="37" xfId="0" applyFont="1" applyFill="1" applyBorder="1"/>
    <xf numFmtId="0" fontId="8" fillId="44" borderId="40" xfId="0" applyFont="1" applyFill="1" applyBorder="1"/>
    <xf numFmtId="0" fontId="8" fillId="44" borderId="41" xfId="0" applyFont="1" applyFill="1" applyBorder="1"/>
    <xf numFmtId="0" fontId="8" fillId="0" borderId="0" xfId="0" applyFont="1" applyAlignment="1">
      <alignment horizontal="left" vertical="center"/>
    </xf>
    <xf numFmtId="49" fontId="8" fillId="0" borderId="0" xfId="0" applyNumberFormat="1" applyFont="1" applyAlignment="1">
      <alignment horizontal="center"/>
    </xf>
    <xf numFmtId="49" fontId="8" fillId="0" borderId="0" xfId="0" applyNumberFormat="1" applyFont="1"/>
    <xf numFmtId="0" fontId="8" fillId="0" borderId="0" xfId="39" applyFont="1" applyAlignment="1" applyProtection="1">
      <alignment vertical="top" wrapText="1" readingOrder="1"/>
      <protection locked="0"/>
    </xf>
    <xf numFmtId="0" fontId="40" fillId="0" borderId="0" xfId="39" applyFont="1" applyAlignment="1" applyProtection="1">
      <alignment horizontal="center" vertical="top" wrapText="1" readingOrder="1"/>
      <protection locked="0"/>
    </xf>
    <xf numFmtId="0" fontId="8" fillId="0" borderId="0" xfId="0" applyFont="1" applyAlignment="1">
      <alignment wrapText="1"/>
    </xf>
    <xf numFmtId="0" fontId="8" fillId="34" borderId="0" xfId="0" applyFont="1" applyFill="1"/>
    <xf numFmtId="0" fontId="53" fillId="0" borderId="0" xfId="0" applyFont="1"/>
    <xf numFmtId="0" fontId="53" fillId="37" borderId="0" xfId="0" applyFont="1" applyFill="1"/>
    <xf numFmtId="0" fontId="41" fillId="0" borderId="0" xfId="0" applyFont="1"/>
    <xf numFmtId="0" fontId="53" fillId="35" borderId="0" xfId="0" applyFont="1" applyFill="1"/>
    <xf numFmtId="0" fontId="8" fillId="37" borderId="0" xfId="0" applyFont="1" applyFill="1"/>
    <xf numFmtId="0" fontId="51" fillId="36" borderId="0" xfId="0" applyFont="1" applyFill="1"/>
    <xf numFmtId="0" fontId="31" fillId="0" borderId="0" xfId="39" applyFont="1" applyAlignment="1" applyProtection="1">
      <alignment vertical="top" wrapText="1" readingOrder="1"/>
      <protection locked="0"/>
    </xf>
    <xf numFmtId="49" fontId="40" fillId="0" borderId="0" xfId="39" applyNumberFormat="1" applyFont="1" applyAlignment="1" applyProtection="1">
      <alignment horizontal="center" vertical="top" wrapText="1" readingOrder="1"/>
      <protection locked="0"/>
    </xf>
    <xf numFmtId="0" fontId="8" fillId="0" borderId="0" xfId="39" applyFont="1" applyAlignment="1">
      <alignment vertical="top"/>
    </xf>
    <xf numFmtId="0" fontId="8" fillId="0" borderId="0" xfId="39" applyFont="1" applyAlignment="1" applyProtection="1">
      <alignment horizontal="left" vertical="top" wrapText="1" readingOrder="1"/>
      <protection locked="0"/>
    </xf>
    <xf numFmtId="0" fontId="8" fillId="34" borderId="0" xfId="39" applyFont="1" applyFill="1" applyAlignment="1" applyProtection="1">
      <alignment horizontal="left" vertical="top" wrapText="1" readingOrder="1"/>
      <protection locked="0"/>
    </xf>
    <xf numFmtId="0" fontId="40" fillId="0" borderId="0" xfId="39" applyFont="1" applyAlignment="1" applyProtection="1">
      <alignment horizontal="center" vertical="top" readingOrder="1"/>
      <protection locked="0"/>
    </xf>
    <xf numFmtId="0" fontId="8" fillId="0" borderId="0" xfId="39" applyFont="1" applyAlignment="1" applyProtection="1">
      <alignment horizontal="left" vertical="top" readingOrder="1"/>
      <protection locked="0"/>
    </xf>
    <xf numFmtId="0" fontId="8" fillId="34" borderId="0" xfId="39" applyFont="1" applyFill="1" applyAlignment="1" applyProtection="1">
      <alignment horizontal="left" vertical="top" readingOrder="1"/>
      <protection locked="0"/>
    </xf>
    <xf numFmtId="0" fontId="51" fillId="34" borderId="0" xfId="39" applyFont="1" applyFill="1" applyAlignment="1" applyProtection="1">
      <alignment horizontal="left" vertical="top" wrapText="1" readingOrder="1"/>
      <protection locked="0"/>
    </xf>
    <xf numFmtId="0" fontId="47" fillId="38" borderId="0" xfId="39" applyFont="1" applyFill="1" applyAlignment="1" applyProtection="1">
      <alignment horizontal="center" vertical="top" readingOrder="1"/>
      <protection locked="0"/>
    </xf>
    <xf numFmtId="0" fontId="51" fillId="38" borderId="0" xfId="39" applyFont="1" applyFill="1" applyAlignment="1" applyProtection="1">
      <alignment horizontal="left" vertical="top" readingOrder="1"/>
      <protection locked="0"/>
    </xf>
    <xf numFmtId="0" fontId="31" fillId="0" borderId="0" xfId="39" applyFont="1" applyAlignment="1" applyProtection="1">
      <alignment horizontal="center" wrapText="1" readingOrder="1"/>
      <protection locked="0"/>
    </xf>
    <xf numFmtId="0" fontId="8" fillId="0" borderId="0" xfId="0" applyFont="1" applyAlignment="1">
      <alignment vertical="top" wrapText="1"/>
    </xf>
    <xf numFmtId="0" fontId="8" fillId="34" borderId="0" xfId="39" applyFont="1" applyFill="1" applyAlignment="1" applyProtection="1">
      <alignment vertical="top" wrapText="1" readingOrder="1"/>
      <protection locked="0"/>
    </xf>
    <xf numFmtId="0" fontId="8" fillId="0" borderId="0" xfId="297" applyFont="1" applyAlignment="1">
      <alignment horizontal="left"/>
    </xf>
    <xf numFmtId="49" fontId="40" fillId="0" borderId="0" xfId="297" applyNumberFormat="1" applyFont="1" applyAlignment="1">
      <alignment horizontal="center"/>
    </xf>
    <xf numFmtId="0" fontId="40" fillId="0" borderId="0" xfId="297" applyFont="1" applyAlignment="1">
      <alignment horizontal="left"/>
    </xf>
    <xf numFmtId="0" fontId="8" fillId="0" borderId="0" xfId="297" applyFont="1"/>
    <xf numFmtId="0" fontId="8" fillId="0" borderId="0" xfId="297" applyFont="1" applyAlignment="1">
      <alignment wrapText="1"/>
    </xf>
    <xf numFmtId="0" fontId="8" fillId="0" borderId="0" xfId="0" applyFont="1" applyAlignment="1">
      <alignment vertical="top"/>
    </xf>
    <xf numFmtId="0" fontId="8" fillId="0" borderId="0" xfId="39" applyFont="1" applyFill="1" applyAlignment="1" applyProtection="1">
      <alignment vertical="top" wrapText="1" readingOrder="1"/>
      <protection locked="0"/>
    </xf>
    <xf numFmtId="0" fontId="55" fillId="0" borderId="0" xfId="0" applyFont="1" applyAlignment="1">
      <alignment horizontal="center" vertical="center"/>
    </xf>
    <xf numFmtId="0" fontId="40" fillId="0" borderId="0" xfId="0" applyFont="1" applyAlignment="1">
      <alignment horizontal="center"/>
    </xf>
    <xf numFmtId="0" fontId="8" fillId="0" borderId="0" xfId="0" applyFont="1" applyAlignment="1">
      <alignment horizontal="left" vertical="top"/>
    </xf>
    <xf numFmtId="0" fontId="51" fillId="38" borderId="0" xfId="0" applyFont="1" applyFill="1" applyAlignment="1">
      <alignment horizontal="left" vertical="top"/>
    </xf>
    <xf numFmtId="49" fontId="8" fillId="0" borderId="0" xfId="0" applyNumberFormat="1" applyFont="1" applyAlignment="1">
      <alignment horizontal="center" vertical="top"/>
    </xf>
    <xf numFmtId="49" fontId="8" fillId="0" borderId="0" xfId="0" applyNumberFormat="1" applyFont="1" applyAlignment="1">
      <alignment horizontal="left" vertical="top" wrapText="1"/>
    </xf>
    <xf numFmtId="49" fontId="35" fillId="0" borderId="0" xfId="0" applyNumberFormat="1" applyFont="1"/>
    <xf numFmtId="49" fontId="35" fillId="0" borderId="0" xfId="0" applyNumberFormat="1" applyFont="1" applyAlignment="1">
      <alignment horizontal="center" vertical="top" wrapText="1"/>
    </xf>
    <xf numFmtId="49" fontId="35" fillId="0" borderId="0" xfId="0" applyNumberFormat="1" applyFont="1" applyAlignment="1">
      <alignment horizontal="left" vertical="top" wrapText="1"/>
    </xf>
    <xf numFmtId="0" fontId="35" fillId="0" borderId="0" xfId="0" applyFont="1" applyAlignment="1">
      <alignment horizontal="left" vertical="top"/>
    </xf>
    <xf numFmtId="49" fontId="35" fillId="0" borderId="0" xfId="0" applyNumberFormat="1" applyFont="1" applyAlignment="1">
      <alignment horizontal="center" vertical="top"/>
    </xf>
    <xf numFmtId="0" fontId="8" fillId="0" borderId="0" xfId="0" applyFont="1" applyAlignment="1">
      <alignment horizontal="center" vertical="top"/>
    </xf>
    <xf numFmtId="49" fontId="8" fillId="0" borderId="0" xfId="0" applyNumberFormat="1" applyFont="1" applyAlignment="1">
      <alignment horizontal="center" vertical="center"/>
    </xf>
    <xf numFmtId="0" fontId="51" fillId="34" borderId="0" xfId="0" applyFont="1" applyFill="1" applyAlignment="1">
      <alignment horizontal="center"/>
    </xf>
    <xf numFmtId="49" fontId="51" fillId="38" borderId="0" xfId="0" applyNumberFormat="1" applyFont="1" applyFill="1" applyAlignment="1">
      <alignment horizontal="center" vertical="top"/>
    </xf>
    <xf numFmtId="0" fontId="51" fillId="38" borderId="0" xfId="0" applyFont="1" applyFill="1" applyAlignment="1">
      <alignment vertical="top"/>
    </xf>
    <xf numFmtId="0" fontId="60" fillId="0" borderId="0" xfId="0" applyFont="1" applyAlignment="1">
      <alignment horizontal="left" vertical="center"/>
    </xf>
    <xf numFmtId="49" fontId="8" fillId="0" borderId="0" xfId="0" quotePrefix="1" applyNumberFormat="1" applyFont="1" applyAlignment="1">
      <alignment horizontal="center" vertical="top"/>
    </xf>
    <xf numFmtId="49" fontId="61" fillId="0" borderId="0" xfId="0" applyNumberFormat="1" applyFont="1" applyAlignment="1">
      <alignment horizontal="center" vertical="top"/>
    </xf>
    <xf numFmtId="0" fontId="61" fillId="0" borderId="0" xfId="0" applyFont="1" applyAlignment="1">
      <alignment horizontal="left" vertical="top"/>
    </xf>
    <xf numFmtId="49" fontId="62" fillId="0" borderId="0" xfId="0" applyNumberFormat="1" applyFont="1" applyAlignment="1">
      <alignment horizontal="center" vertical="top"/>
    </xf>
    <xf numFmtId="0" fontId="62" fillId="0" borderId="0" xfId="0" applyFont="1" applyAlignment="1">
      <alignment horizontal="left" vertical="top"/>
    </xf>
    <xf numFmtId="0" fontId="63" fillId="0" borderId="0" xfId="0" applyFont="1" applyAlignment="1">
      <alignment horizontal="left" vertical="top"/>
    </xf>
    <xf numFmtId="0" fontId="51" fillId="0" borderId="0" xfId="0" applyFont="1" applyAlignment="1">
      <alignment horizontal="left" vertical="top"/>
    </xf>
    <xf numFmtId="0" fontId="45" fillId="0" borderId="0" xfId="0" applyFont="1" applyAlignment="1">
      <alignment horizontal="center" vertical="top"/>
    </xf>
    <xf numFmtId="0" fontId="8" fillId="34" borderId="0" xfId="0" applyFont="1" applyFill="1" applyAlignment="1">
      <alignment horizontal="center" vertical="top"/>
    </xf>
    <xf numFmtId="49" fontId="8" fillId="34" borderId="0" xfId="0" applyNumberFormat="1" applyFont="1" applyFill="1" applyAlignment="1">
      <alignment horizontal="left" vertical="top" wrapText="1"/>
    </xf>
    <xf numFmtId="0" fontId="35" fillId="0" borderId="0" xfId="0" applyFont="1" applyAlignment="1">
      <alignment horizontal="center" vertical="top"/>
    </xf>
    <xf numFmtId="49" fontId="35" fillId="0" borderId="0" xfId="0" applyNumberFormat="1" applyFont="1" applyAlignment="1">
      <alignment horizontal="left" vertical="top"/>
    </xf>
    <xf numFmtId="49" fontId="8" fillId="0" borderId="0" xfId="0" applyNumberFormat="1" applyFont="1" applyAlignment="1">
      <alignment horizontal="left" vertical="top"/>
    </xf>
    <xf numFmtId="0" fontId="8" fillId="34" borderId="0" xfId="0" applyFont="1" applyFill="1" applyAlignment="1">
      <alignment vertical="top"/>
    </xf>
    <xf numFmtId="49" fontId="8" fillId="34" borderId="0" xfId="0" applyNumberFormat="1" applyFont="1" applyFill="1" applyAlignment="1">
      <alignment horizontal="left" vertical="top"/>
    </xf>
    <xf numFmtId="0" fontId="8" fillId="38" borderId="0" xfId="0" applyFont="1" applyFill="1" applyAlignment="1">
      <alignment horizontal="center" vertical="top"/>
    </xf>
    <xf numFmtId="49" fontId="8" fillId="38" borderId="0" xfId="0" applyNumberFormat="1" applyFont="1" applyFill="1" applyAlignment="1">
      <alignment horizontal="center" vertical="top"/>
    </xf>
    <xf numFmtId="0" fontId="8" fillId="38" borderId="0" xfId="0" applyFont="1" applyFill="1" applyAlignment="1">
      <alignment vertical="top"/>
    </xf>
    <xf numFmtId="0" fontId="51" fillId="38" borderId="0" xfId="0" applyFont="1" applyFill="1" applyAlignment="1">
      <alignment horizontal="center" vertical="top"/>
    </xf>
    <xf numFmtId="0" fontId="51" fillId="34" borderId="0" xfId="0" applyFont="1" applyFill="1" applyAlignment="1">
      <alignment horizontal="center" vertical="top"/>
    </xf>
    <xf numFmtId="49" fontId="51" fillId="38" borderId="0" xfId="0" applyNumberFormat="1" applyFont="1" applyFill="1" applyAlignment="1">
      <alignment horizontal="left" vertical="top"/>
    </xf>
    <xf numFmtId="49" fontId="8" fillId="34" borderId="0" xfId="0" applyNumberFormat="1" applyFont="1" applyFill="1" applyAlignment="1">
      <alignment horizontal="center" vertical="top"/>
    </xf>
    <xf numFmtId="49" fontId="40" fillId="33" borderId="0" xfId="0" applyNumberFormat="1" applyFont="1" applyFill="1"/>
    <xf numFmtId="0" fontId="40" fillId="33" borderId="0" xfId="0" applyFont="1" applyFill="1"/>
    <xf numFmtId="49" fontId="40" fillId="0" borderId="0" xfId="39" applyNumberFormat="1" applyFont="1" applyAlignment="1">
      <alignment horizontal="center"/>
    </xf>
    <xf numFmtId="49" fontId="8" fillId="0" borderId="0" xfId="39" applyNumberFormat="1" applyFont="1" applyAlignment="1">
      <alignment horizontal="center"/>
    </xf>
    <xf numFmtId="49" fontId="8" fillId="0" borderId="0" xfId="39" applyNumberFormat="1" applyFont="1" applyAlignment="1">
      <alignment horizontal="left"/>
    </xf>
    <xf numFmtId="49" fontId="51" fillId="34" borderId="0" xfId="39" applyNumberFormat="1" applyFont="1" applyFill="1" applyAlignment="1">
      <alignment horizontal="center"/>
    </xf>
    <xf numFmtId="49" fontId="51" fillId="38" borderId="0" xfId="39" applyNumberFormat="1" applyFont="1" applyFill="1" applyAlignment="1">
      <alignment horizontal="left"/>
    </xf>
    <xf numFmtId="49" fontId="51" fillId="38" borderId="0" xfId="39" applyNumberFormat="1" applyFont="1" applyFill="1" applyAlignment="1">
      <alignment horizontal="center"/>
    </xf>
    <xf numFmtId="49" fontId="8" fillId="0" borderId="0" xfId="39" applyNumberFormat="1" applyFont="1"/>
    <xf numFmtId="165" fontId="64" fillId="0" borderId="0" xfId="0" applyNumberFormat="1" applyFont="1" applyAlignment="1">
      <alignment horizontal="center" vertical="center"/>
    </xf>
    <xf numFmtId="0" fontId="65" fillId="0" borderId="0" xfId="0" applyFont="1" applyAlignment="1">
      <alignment horizontal="left" vertical="center"/>
    </xf>
    <xf numFmtId="0" fontId="65" fillId="0" borderId="0" xfId="0" applyFont="1" applyAlignment="1">
      <alignment horizontal="center" vertical="center"/>
    </xf>
    <xf numFmtId="0" fontId="66" fillId="0" borderId="0" xfId="0" applyFont="1" applyAlignment="1">
      <alignment horizontal="center" vertical="top" wrapText="1"/>
    </xf>
    <xf numFmtId="49" fontId="66" fillId="0" borderId="0" xfId="0" applyNumberFormat="1" applyFont="1" applyAlignment="1">
      <alignment horizontal="center" vertical="center"/>
    </xf>
    <xf numFmtId="0" fontId="66" fillId="0" borderId="0" xfId="0" applyFont="1" applyAlignment="1">
      <alignment horizontal="left" vertical="center"/>
    </xf>
    <xf numFmtId="0" fontId="40" fillId="0" borderId="0" xfId="0" applyFont="1" applyAlignment="1">
      <alignment horizontal="left" vertical="center"/>
    </xf>
    <xf numFmtId="165" fontId="67" fillId="0" borderId="0" xfId="0" applyNumberFormat="1" applyFont="1" applyAlignment="1">
      <alignment horizontal="center" vertical="center"/>
    </xf>
    <xf numFmtId="0" fontId="68" fillId="0" borderId="0" xfId="0" applyFont="1" applyAlignment="1">
      <alignment horizontal="left" vertical="center"/>
    </xf>
    <xf numFmtId="0" fontId="68" fillId="0" borderId="0" xfId="0" applyFont="1" applyAlignment="1">
      <alignment horizontal="center" vertical="center"/>
    </xf>
    <xf numFmtId="0" fontId="69" fillId="0" borderId="0" xfId="0" applyFont="1" applyAlignment="1">
      <alignment horizontal="center" vertical="top" wrapText="1"/>
    </xf>
    <xf numFmtId="49" fontId="69" fillId="0" borderId="0" xfId="0" applyNumberFormat="1" applyFont="1" applyAlignment="1">
      <alignment horizontal="center" vertical="center"/>
    </xf>
    <xf numFmtId="0" fontId="69" fillId="0" borderId="0" xfId="0" applyFont="1" applyAlignment="1">
      <alignment horizontal="left" vertical="center"/>
    </xf>
    <xf numFmtId="0" fontId="68" fillId="0" borderId="0" xfId="0" applyFont="1"/>
    <xf numFmtId="14" fontId="8" fillId="0" borderId="0" xfId="0" applyNumberFormat="1" applyFont="1" applyAlignment="1">
      <alignment horizontal="center"/>
    </xf>
    <xf numFmtId="0" fontId="8" fillId="0" borderId="0" xfId="0" applyFont="1" applyAlignment="1">
      <alignment horizontal="center" vertical="top" wrapText="1"/>
    </xf>
    <xf numFmtId="0" fontId="8" fillId="0" borderId="0" xfId="0" applyFont="1" applyAlignment="1" applyProtection="1">
      <alignment horizontal="center" vertical="center" wrapText="1" readingOrder="1"/>
      <protection locked="0"/>
    </xf>
    <xf numFmtId="0" fontId="8" fillId="0" borderId="0" xfId="34" applyFont="1" applyFill="1"/>
    <xf numFmtId="165" fontId="67" fillId="0" borderId="0" xfId="0" applyNumberFormat="1" applyFont="1" applyAlignment="1">
      <alignment horizontal="center"/>
    </xf>
    <xf numFmtId="0" fontId="68" fillId="0" borderId="0" xfId="0" applyFont="1" applyAlignment="1">
      <alignment horizontal="center" vertical="top"/>
    </xf>
    <xf numFmtId="0" fontId="69" fillId="0" borderId="0" xfId="0" applyFont="1"/>
    <xf numFmtId="0" fontId="53" fillId="0" borderId="0" xfId="39" applyFont="1"/>
    <xf numFmtId="0" fontId="61" fillId="41" borderId="0" xfId="0" applyFont="1" applyFill="1"/>
    <xf numFmtId="0" fontId="53" fillId="41" borderId="11" xfId="0" applyFont="1" applyFill="1" applyBorder="1"/>
    <xf numFmtId="0" fontId="53" fillId="41" borderId="11" xfId="0" applyFont="1" applyFill="1" applyBorder="1" applyAlignment="1">
      <alignment horizontal="center"/>
    </xf>
    <xf numFmtId="0" fontId="51" fillId="38" borderId="11" xfId="0" applyFont="1" applyFill="1" applyBorder="1"/>
    <xf numFmtId="0" fontId="51" fillId="38" borderId="11" xfId="0" applyFont="1" applyFill="1" applyBorder="1" applyAlignment="1">
      <alignment horizontal="center"/>
    </xf>
    <xf numFmtId="0" fontId="8" fillId="40" borderId="37" xfId="0" applyFont="1" applyFill="1" applyBorder="1" applyAlignment="1">
      <alignment horizontal="center"/>
    </xf>
    <xf numFmtId="0" fontId="47" fillId="38" borderId="0" xfId="39" applyFont="1" applyFill="1" applyAlignment="1" applyProtection="1">
      <alignment horizontal="center" vertical="top" wrapText="1" readingOrder="1"/>
      <protection locked="0"/>
    </xf>
    <xf numFmtId="0" fontId="51" fillId="38" borderId="0" xfId="39" applyFont="1" applyFill="1" applyAlignment="1" applyProtection="1">
      <alignment horizontal="left" vertical="top" wrapText="1" readingOrder="1"/>
      <protection locked="0"/>
    </xf>
    <xf numFmtId="0" fontId="51" fillId="38" borderId="0" xfId="39" applyFont="1" applyFill="1" applyAlignment="1" applyProtection="1">
      <alignment vertical="top" wrapText="1" readingOrder="1"/>
      <protection locked="0"/>
    </xf>
    <xf numFmtId="0" fontId="21" fillId="38" borderId="0" xfId="34" applyFill="1" applyAlignment="1" applyProtection="1">
      <alignment horizontal="left" vertical="center"/>
      <protection locked="0"/>
    </xf>
    <xf numFmtId="0" fontId="21" fillId="0" borderId="31" xfId="34" applyFill="1" applyBorder="1" applyAlignment="1" applyProtection="1">
      <alignment vertical="top" wrapText="1" readingOrder="1"/>
      <protection locked="0"/>
    </xf>
    <xf numFmtId="49" fontId="40" fillId="0" borderId="0" xfId="0" applyNumberFormat="1" applyFont="1" applyAlignment="1">
      <alignment horizontal="center"/>
    </xf>
    <xf numFmtId="0" fontId="40" fillId="0" borderId="0" xfId="0" applyFont="1" applyAlignment="1">
      <alignment wrapText="1"/>
    </xf>
    <xf numFmtId="0" fontId="70" fillId="34" borderId="0" xfId="39" applyFont="1" applyFill="1" applyAlignment="1" applyProtection="1">
      <alignment horizontal="left" vertical="top" wrapText="1" readingOrder="1"/>
      <protection locked="0"/>
    </xf>
    <xf numFmtId="0" fontId="71" fillId="41" borderId="0" xfId="39" applyFont="1" applyFill="1" applyAlignment="1" applyProtection="1">
      <alignment horizontal="center" vertical="top" readingOrder="1"/>
      <protection locked="0"/>
    </xf>
    <xf numFmtId="0" fontId="70" fillId="41" borderId="0" xfId="39" applyFont="1" applyFill="1" applyAlignment="1" applyProtection="1">
      <alignment horizontal="left" vertical="top" readingOrder="1"/>
      <protection locked="0"/>
    </xf>
    <xf numFmtId="0" fontId="50" fillId="34" borderId="0" xfId="0" applyFont="1" applyFill="1" applyAlignment="1" applyProtection="1">
      <alignment vertical="top" wrapText="1" readingOrder="1"/>
      <protection locked="0"/>
    </xf>
    <xf numFmtId="0" fontId="21" fillId="34" borderId="0" xfId="34" applyFill="1" applyAlignment="1" applyProtection="1">
      <alignment vertical="top" wrapText="1" readingOrder="1"/>
      <protection locked="0"/>
    </xf>
    <xf numFmtId="49" fontId="51" fillId="34" borderId="0" xfId="0" applyNumberFormat="1" applyFont="1" applyFill="1" applyAlignment="1">
      <alignment horizontal="center" vertical="top"/>
    </xf>
    <xf numFmtId="49" fontId="51" fillId="38" borderId="0" xfId="0" applyNumberFormat="1" applyFont="1" applyFill="1" applyAlignment="1">
      <alignment horizontal="left" vertical="top" wrapText="1"/>
    </xf>
    <xf numFmtId="0" fontId="51" fillId="38" borderId="0" xfId="0" applyFont="1" applyFill="1" applyAlignment="1">
      <alignment horizontal="left" vertical="top" wrapText="1"/>
    </xf>
    <xf numFmtId="49" fontId="8" fillId="38" borderId="0" xfId="0" applyNumberFormat="1" applyFont="1" applyFill="1" applyAlignment="1">
      <alignment horizontal="center"/>
    </xf>
    <xf numFmtId="49" fontId="8" fillId="38" borderId="0" xfId="0" applyNumberFormat="1" applyFont="1" applyFill="1" applyAlignment="1">
      <alignment horizontal="left" vertical="top" wrapText="1"/>
    </xf>
    <xf numFmtId="49" fontId="51" fillId="38" borderId="0" xfId="0" applyNumberFormat="1" applyFont="1" applyFill="1" applyAlignment="1">
      <alignment horizontal="center" vertical="top" wrapText="1"/>
    </xf>
    <xf numFmtId="49" fontId="51" fillId="38" borderId="0" xfId="0" quotePrefix="1" applyNumberFormat="1" applyFont="1" applyFill="1" applyAlignment="1">
      <alignment horizontal="center" vertical="top"/>
    </xf>
    <xf numFmtId="49" fontId="8" fillId="34" borderId="0" xfId="0" quotePrefix="1" applyNumberFormat="1" applyFont="1" applyFill="1" applyAlignment="1">
      <alignment horizontal="center" vertical="top"/>
    </xf>
    <xf numFmtId="49" fontId="8" fillId="38" borderId="0" xfId="0" quotePrefix="1" applyNumberFormat="1" applyFont="1" applyFill="1" applyAlignment="1">
      <alignment horizontal="center" vertical="top"/>
    </xf>
    <xf numFmtId="0" fontId="70" fillId="0" borderId="0" xfId="0" applyFont="1" applyAlignment="1">
      <alignment horizontal="left" vertical="top"/>
    </xf>
    <xf numFmtId="0" fontId="70" fillId="34" borderId="0" xfId="0" applyFont="1" applyFill="1" applyAlignment="1">
      <alignment horizontal="center" vertical="top"/>
    </xf>
    <xf numFmtId="0" fontId="70" fillId="41" borderId="0" xfId="0" applyFont="1" applyFill="1" applyAlignment="1">
      <alignment horizontal="center" vertical="top"/>
    </xf>
    <xf numFmtId="49" fontId="70" fillId="41" borderId="0" xfId="0" applyNumberFormat="1" applyFont="1" applyFill="1" applyAlignment="1">
      <alignment horizontal="center" vertical="top"/>
    </xf>
    <xf numFmtId="49" fontId="70" fillId="41" borderId="0" xfId="0" applyNumberFormat="1" applyFont="1" applyFill="1" applyAlignment="1">
      <alignment horizontal="left" vertical="top" wrapText="1"/>
    </xf>
    <xf numFmtId="49" fontId="70" fillId="41" borderId="0" xfId="0" applyNumberFormat="1" applyFont="1" applyFill="1" applyAlignment="1">
      <alignment horizontal="center" vertical="top" wrapText="1"/>
    </xf>
    <xf numFmtId="49" fontId="70" fillId="41" borderId="0" xfId="0" quotePrefix="1" applyNumberFormat="1" applyFont="1" applyFill="1" applyAlignment="1">
      <alignment horizontal="center" vertical="top"/>
    </xf>
    <xf numFmtId="0" fontId="70" fillId="41" borderId="0" xfId="0" applyFont="1" applyFill="1" applyAlignment="1">
      <alignment horizontal="left" vertical="top"/>
    </xf>
    <xf numFmtId="49" fontId="8" fillId="38" borderId="0" xfId="0" applyNumberFormat="1" applyFont="1" applyFill="1" applyAlignment="1">
      <alignment horizontal="center" vertical="top" wrapText="1"/>
    </xf>
    <xf numFmtId="0" fontId="8" fillId="38" borderId="0" xfId="0" applyFont="1" applyFill="1" applyAlignment="1">
      <alignment horizontal="left" vertical="top"/>
    </xf>
    <xf numFmtId="0" fontId="45" fillId="38" borderId="0" xfId="0" applyFont="1" applyFill="1" applyAlignment="1">
      <alignment horizontal="center" vertical="top"/>
    </xf>
    <xf numFmtId="0" fontId="8" fillId="34" borderId="0" xfId="0" applyFont="1" applyFill="1" applyAlignment="1">
      <alignment horizontal="center"/>
    </xf>
    <xf numFmtId="0" fontId="51" fillId="38" borderId="0" xfId="0" applyFont="1" applyFill="1"/>
    <xf numFmtId="0" fontId="51" fillId="34" borderId="0" xfId="39" applyFont="1" applyFill="1" applyAlignment="1" applyProtection="1">
      <alignment vertical="top" wrapText="1" readingOrder="1"/>
      <protection locked="0"/>
    </xf>
    <xf numFmtId="49" fontId="8" fillId="34" borderId="0" xfId="39" applyNumberFormat="1" applyFont="1" applyFill="1" applyAlignment="1">
      <alignment horizontal="center"/>
    </xf>
    <xf numFmtId="0" fontId="70" fillId="34" borderId="0" xfId="0" applyFont="1" applyFill="1" applyAlignment="1">
      <alignment horizontal="center"/>
    </xf>
    <xf numFmtId="49" fontId="62" fillId="34" borderId="0" xfId="39" applyNumberFormat="1" applyFont="1" applyFill="1" applyAlignment="1">
      <alignment horizontal="center"/>
    </xf>
    <xf numFmtId="49" fontId="70" fillId="41" borderId="0" xfId="39" applyNumberFormat="1" applyFont="1" applyFill="1" applyAlignment="1">
      <alignment horizontal="center"/>
    </xf>
    <xf numFmtId="49" fontId="70" fillId="41" borderId="0" xfId="39" applyNumberFormat="1" applyFont="1" applyFill="1" applyAlignment="1">
      <alignment horizontal="left"/>
    </xf>
    <xf numFmtId="49" fontId="8" fillId="34" borderId="0" xfId="39" applyNumberFormat="1" applyFont="1" applyFill="1" applyAlignment="1">
      <alignment horizontal="left"/>
    </xf>
    <xf numFmtId="49" fontId="8" fillId="0" borderId="0" xfId="39" applyNumberFormat="1" applyFont="1" applyFill="1" applyAlignment="1">
      <alignment horizontal="left"/>
    </xf>
    <xf numFmtId="0" fontId="8" fillId="41" borderId="0" xfId="0" applyFont="1" applyFill="1" applyAlignment="1">
      <alignment horizontal="center" vertical="top"/>
    </xf>
    <xf numFmtId="49" fontId="8" fillId="41" borderId="0" xfId="0" applyNumberFormat="1" applyFont="1" applyFill="1" applyAlignment="1">
      <alignment horizontal="center" vertical="top"/>
    </xf>
    <xf numFmtId="49" fontId="8" fillId="41" borderId="0" xfId="0" applyNumberFormat="1" applyFont="1" applyFill="1" applyAlignment="1">
      <alignment horizontal="left" vertical="top" wrapText="1"/>
    </xf>
    <xf numFmtId="0" fontId="8" fillId="41" borderId="0" xfId="0" applyFont="1" applyFill="1" applyAlignment="1">
      <alignment horizontal="center" vertical="top" wrapText="1"/>
    </xf>
    <xf numFmtId="49" fontId="8" fillId="41" borderId="0" xfId="0" applyNumberFormat="1" applyFont="1" applyFill="1" applyAlignment="1">
      <alignment horizontal="center" vertical="top" wrapText="1"/>
    </xf>
    <xf numFmtId="49" fontId="8" fillId="41" borderId="0" xfId="0" quotePrefix="1" applyNumberFormat="1" applyFont="1" applyFill="1" applyAlignment="1">
      <alignment horizontal="center" vertical="top" wrapText="1"/>
    </xf>
    <xf numFmtId="49" fontId="8" fillId="41" borderId="0" xfId="0" quotePrefix="1" applyNumberFormat="1" applyFont="1" applyFill="1" applyAlignment="1">
      <alignment horizontal="center" vertical="top"/>
    </xf>
    <xf numFmtId="49" fontId="51" fillId="0" borderId="0" xfId="39" applyNumberFormat="1" applyFont="1" applyAlignment="1">
      <alignment horizontal="center"/>
    </xf>
    <xf numFmtId="49" fontId="8" fillId="45" borderId="0" xfId="39" applyNumberFormat="1" applyFont="1" applyFill="1" applyAlignment="1">
      <alignment horizontal="left"/>
    </xf>
    <xf numFmtId="49" fontId="62" fillId="0" borderId="0" xfId="39" applyNumberFormat="1" applyFont="1" applyAlignment="1">
      <alignment horizontal="center"/>
    </xf>
    <xf numFmtId="49" fontId="70" fillId="34" borderId="0" xfId="39" applyNumberFormat="1" applyFont="1" applyFill="1" applyAlignment="1">
      <alignment horizont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14" xfId="0" applyFont="1" applyBorder="1" applyAlignment="1">
      <alignment horizontal="center" vertical="center"/>
    </xf>
    <xf numFmtId="0" fontId="34" fillId="0" borderId="27" xfId="0" applyFont="1" applyBorder="1" applyAlignment="1">
      <alignment horizontal="center" vertical="center"/>
    </xf>
    <xf numFmtId="0" fontId="39" fillId="0" borderId="0" xfId="0" applyFont="1" applyAlignment="1"/>
    <xf numFmtId="0" fontId="39" fillId="0" borderId="29" xfId="0" applyFont="1" applyBorder="1" applyAlignment="1"/>
    <xf numFmtId="0" fontId="39" fillId="0" borderId="14" xfId="0" applyFont="1" applyBorder="1" applyAlignment="1"/>
    <xf numFmtId="0" fontId="39" fillId="0" borderId="27" xfId="0" applyFont="1" applyBorder="1" applyAlignment="1"/>
    <xf numFmtId="0" fontId="43" fillId="33" borderId="34" xfId="0" applyFont="1" applyFill="1" applyBorder="1" applyAlignment="1" applyProtection="1">
      <alignment vertical="center" readingOrder="1"/>
      <protection locked="0"/>
    </xf>
    <xf numFmtId="0" fontId="8" fillId="0" borderId="35" xfId="0" applyFont="1" applyBorder="1" applyAlignment="1">
      <alignment vertical="center"/>
    </xf>
    <xf numFmtId="164" fontId="31" fillId="33" borderId="31" xfId="0" applyNumberFormat="1" applyFont="1" applyFill="1" applyBorder="1" applyAlignment="1">
      <alignment horizontal="left" vertical="center"/>
    </xf>
    <xf numFmtId="164" fontId="40" fillId="0" borderId="31" xfId="0" applyNumberFormat="1" applyFont="1" applyBorder="1" applyAlignment="1">
      <alignment horizontal="left" vertical="center"/>
    </xf>
    <xf numFmtId="164" fontId="40" fillId="0" borderId="32" xfId="0" applyNumberFormat="1" applyFont="1" applyBorder="1" applyAlignment="1">
      <alignment horizontal="left" vertical="center"/>
    </xf>
    <xf numFmtId="0" fontId="43" fillId="42" borderId="34" xfId="0" applyFont="1" applyFill="1" applyBorder="1" applyAlignment="1" applyProtection="1">
      <alignment vertical="center" readingOrder="1"/>
      <protection locked="0"/>
    </xf>
    <xf numFmtId="0" fontId="8" fillId="42" borderId="35" xfId="0" applyFont="1" applyFill="1" applyBorder="1" applyAlignment="1">
      <alignment vertical="center"/>
    </xf>
    <xf numFmtId="0" fontId="46" fillId="42" borderId="35" xfId="34" applyFont="1" applyFill="1" applyBorder="1" applyAlignment="1">
      <alignment vertical="center"/>
    </xf>
    <xf numFmtId="0" fontId="46" fillId="42" borderId="33" xfId="34" applyFont="1" applyFill="1" applyBorder="1" applyAlignment="1">
      <alignment vertical="center"/>
    </xf>
    <xf numFmtId="0" fontId="43" fillId="43" borderId="34" xfId="0" applyFont="1" applyFill="1" applyBorder="1" applyAlignment="1" applyProtection="1">
      <alignment vertical="center" readingOrder="1"/>
      <protection locked="0"/>
    </xf>
    <xf numFmtId="0" fontId="8" fillId="43" borderId="35" xfId="0" applyFont="1" applyFill="1" applyBorder="1" applyAlignment="1">
      <alignment vertical="center"/>
    </xf>
    <xf numFmtId="0" fontId="46" fillId="43" borderId="35" xfId="34" applyFont="1" applyFill="1" applyBorder="1" applyAlignment="1">
      <alignment vertical="center"/>
    </xf>
    <xf numFmtId="0" fontId="46" fillId="43" borderId="33" xfId="34" applyFont="1" applyFill="1" applyBorder="1" applyAlignment="1">
      <alignment vertical="center"/>
    </xf>
    <xf numFmtId="0" fontId="43" fillId="40" borderId="34" xfId="0" applyFont="1" applyFill="1" applyBorder="1" applyAlignment="1" applyProtection="1">
      <alignment vertical="center" readingOrder="1"/>
      <protection locked="0"/>
    </xf>
    <xf numFmtId="0" fontId="8" fillId="40" borderId="35" xfId="0" applyFont="1" applyFill="1" applyBorder="1" applyAlignment="1">
      <alignment vertical="center"/>
    </xf>
    <xf numFmtId="0" fontId="46" fillId="40" borderId="35" xfId="34" applyFont="1" applyFill="1" applyBorder="1" applyAlignment="1">
      <alignment vertical="center"/>
    </xf>
    <xf numFmtId="0" fontId="46" fillId="40" borderId="33" xfId="34" applyFont="1" applyFill="1" applyBorder="1" applyAlignment="1">
      <alignment vertical="center"/>
    </xf>
    <xf numFmtId="0" fontId="50" fillId="33" borderId="11" xfId="0" applyFont="1" applyFill="1" applyBorder="1" applyAlignment="1" applyProtection="1">
      <alignment horizontal="center" vertical="top" wrapText="1" readingOrder="1"/>
      <protection locked="0"/>
    </xf>
    <xf numFmtId="0" fontId="8" fillId="0" borderId="11" xfId="0" applyFont="1" applyBorder="1" applyAlignment="1">
      <alignment horizontal="center" vertical="top" wrapText="1" readingOrder="1"/>
    </xf>
    <xf numFmtId="0" fontId="0" fillId="0" borderId="11" xfId="0" applyBorder="1" applyAlignment="1"/>
    <xf numFmtId="0" fontId="50" fillId="33" borderId="34" xfId="0" applyFont="1" applyFill="1" applyBorder="1" applyAlignment="1" applyProtection="1">
      <alignment horizontal="center" vertical="top" wrapText="1" readingOrder="1"/>
      <protection locked="0"/>
    </xf>
    <xf numFmtId="0" fontId="0" fillId="0" borderId="42" xfId="0" applyBorder="1" applyAlignment="1">
      <alignment horizontal="center"/>
    </xf>
    <xf numFmtId="0" fontId="50" fillId="44" borderId="11" xfId="0" applyFont="1" applyFill="1" applyBorder="1" applyAlignment="1" applyProtection="1">
      <alignment horizontal="center" vertical="top" wrapText="1" readingOrder="1"/>
      <protection locked="0"/>
    </xf>
    <xf numFmtId="0" fontId="8" fillId="44" borderId="11" xfId="0" applyFont="1" applyFill="1" applyBorder="1" applyAlignment="1">
      <alignment horizontal="center" vertical="top" wrapText="1" readingOrder="1"/>
    </xf>
    <xf numFmtId="0" fontId="8" fillId="38" borderId="34" xfId="0" applyFont="1" applyFill="1" applyBorder="1" applyAlignment="1">
      <alignment horizontal="center"/>
    </xf>
    <xf numFmtId="0" fontId="40" fillId="0" borderId="31" xfId="39" applyFont="1" applyBorder="1" applyAlignment="1">
      <alignment horizontal="center"/>
    </xf>
    <xf numFmtId="0" fontId="8" fillId="0" borderId="31" xfId="0" applyFont="1" applyBorder="1" applyAlignment="1">
      <alignment horizontal="center"/>
    </xf>
    <xf numFmtId="0" fontId="61" fillId="41" borderId="11" xfId="0" applyFont="1" applyFill="1" applyBorder="1" applyAlignment="1" applyProtection="1">
      <alignment horizontal="center" vertical="top" wrapText="1" readingOrder="1"/>
      <protection locked="0"/>
    </xf>
    <xf numFmtId="0" fontId="50" fillId="40" borderId="11" xfId="0" applyFont="1" applyFill="1" applyBorder="1" applyAlignment="1" applyProtection="1">
      <alignment horizontal="center" vertical="top" wrapText="1" readingOrder="1"/>
      <protection locked="0"/>
    </xf>
    <xf numFmtId="0" fontId="8" fillId="40" borderId="11" xfId="0" applyFont="1" applyFill="1" applyBorder="1" applyAlignment="1">
      <alignment horizontal="center" vertical="top" wrapText="1" readingOrder="1"/>
    </xf>
  </cellXfs>
  <cellStyles count="298">
    <cellStyle name="20% - Accent1" xfId="1" builtinId="30" customBuiltin="1"/>
    <cellStyle name="20% - Accent1 2" xfId="143" xr:uid="{00000000-0005-0000-0000-000001000000}"/>
    <cellStyle name="20% - Accent1 2 2" xfId="238" xr:uid="{00000000-0005-0000-0000-000001000000}"/>
    <cellStyle name="20% - Accent1 3" xfId="178" xr:uid="{00000000-0005-0000-0000-000002000000}"/>
    <cellStyle name="20% - Accent1 3 2" xfId="273" xr:uid="{00000000-0005-0000-0000-000002000000}"/>
    <cellStyle name="20% - Accent1 4" xfId="203" xr:uid="{00000000-0005-0000-0000-0000D4000000}"/>
    <cellStyle name="20% - Accent2" xfId="2" builtinId="34" customBuiltin="1"/>
    <cellStyle name="20% - Accent2 2" xfId="144" xr:uid="{00000000-0005-0000-0000-000004000000}"/>
    <cellStyle name="20% - Accent2 2 2" xfId="239" xr:uid="{00000000-0005-0000-0000-000004000000}"/>
    <cellStyle name="20% - Accent2 3" xfId="179" xr:uid="{00000000-0005-0000-0000-000005000000}"/>
    <cellStyle name="20% - Accent2 3 2" xfId="274" xr:uid="{00000000-0005-0000-0000-000005000000}"/>
    <cellStyle name="20% - Accent2 4" xfId="204" xr:uid="{00000000-0005-0000-0000-0000D7000000}"/>
    <cellStyle name="20% - Accent3" xfId="3" builtinId="38" customBuiltin="1"/>
    <cellStyle name="20% - Accent3 2" xfId="145" xr:uid="{00000000-0005-0000-0000-000007000000}"/>
    <cellStyle name="20% - Accent3 2 2" xfId="240" xr:uid="{00000000-0005-0000-0000-000007000000}"/>
    <cellStyle name="20% - Accent3 3" xfId="180" xr:uid="{00000000-0005-0000-0000-000008000000}"/>
    <cellStyle name="20% - Accent3 3 2" xfId="275" xr:uid="{00000000-0005-0000-0000-000008000000}"/>
    <cellStyle name="20% - Accent3 4" xfId="205" xr:uid="{00000000-0005-0000-0000-0000DA000000}"/>
    <cellStyle name="20% - Accent4" xfId="4" builtinId="42" customBuiltin="1"/>
    <cellStyle name="20% - Accent4 2" xfId="146" xr:uid="{00000000-0005-0000-0000-00000A000000}"/>
    <cellStyle name="20% - Accent4 2 2" xfId="241" xr:uid="{00000000-0005-0000-0000-00000A000000}"/>
    <cellStyle name="20% - Accent4 3" xfId="181" xr:uid="{00000000-0005-0000-0000-00000B000000}"/>
    <cellStyle name="20% - Accent4 3 2" xfId="276" xr:uid="{00000000-0005-0000-0000-00000B000000}"/>
    <cellStyle name="20% - Accent4 4" xfId="206" xr:uid="{00000000-0005-0000-0000-0000DD000000}"/>
    <cellStyle name="20% - Accent5" xfId="5" builtinId="46" customBuiltin="1"/>
    <cellStyle name="20% - Accent5 2" xfId="147" xr:uid="{00000000-0005-0000-0000-00000D000000}"/>
    <cellStyle name="20% - Accent5 2 2" xfId="242" xr:uid="{00000000-0005-0000-0000-00000D000000}"/>
    <cellStyle name="20% - Accent5 3" xfId="182" xr:uid="{00000000-0005-0000-0000-00000E000000}"/>
    <cellStyle name="20% - Accent5 3 2" xfId="277" xr:uid="{00000000-0005-0000-0000-00000E000000}"/>
    <cellStyle name="20% - Accent5 4" xfId="207" xr:uid="{00000000-0005-0000-0000-0000E0000000}"/>
    <cellStyle name="20% - Accent6" xfId="6" builtinId="50" customBuiltin="1"/>
    <cellStyle name="20% - Accent6 2" xfId="148" xr:uid="{00000000-0005-0000-0000-000010000000}"/>
    <cellStyle name="20% - Accent6 2 2" xfId="243" xr:uid="{00000000-0005-0000-0000-000010000000}"/>
    <cellStyle name="20% - Accent6 3" xfId="183" xr:uid="{00000000-0005-0000-0000-000011000000}"/>
    <cellStyle name="20% - Accent6 3 2" xfId="278" xr:uid="{00000000-0005-0000-0000-000011000000}"/>
    <cellStyle name="20% - Accent6 4" xfId="208" xr:uid="{00000000-0005-0000-0000-0000E3000000}"/>
    <cellStyle name="40% - Accent1" xfId="7" builtinId="31" customBuiltin="1"/>
    <cellStyle name="40% - Accent1 2" xfId="149" xr:uid="{00000000-0005-0000-0000-000013000000}"/>
    <cellStyle name="40% - Accent1 2 2" xfId="244" xr:uid="{00000000-0005-0000-0000-000013000000}"/>
    <cellStyle name="40% - Accent1 3" xfId="184" xr:uid="{00000000-0005-0000-0000-000014000000}"/>
    <cellStyle name="40% - Accent1 3 2" xfId="279" xr:uid="{00000000-0005-0000-0000-000014000000}"/>
    <cellStyle name="40% - Accent1 4" xfId="209" xr:uid="{00000000-0005-0000-0000-0000E6000000}"/>
    <cellStyle name="40% - Accent2" xfId="8" builtinId="35" customBuiltin="1"/>
    <cellStyle name="40% - Accent2 2" xfId="150" xr:uid="{00000000-0005-0000-0000-000016000000}"/>
    <cellStyle name="40% - Accent2 2 2" xfId="245" xr:uid="{00000000-0005-0000-0000-000016000000}"/>
    <cellStyle name="40% - Accent2 3" xfId="185" xr:uid="{00000000-0005-0000-0000-000017000000}"/>
    <cellStyle name="40% - Accent2 3 2" xfId="280" xr:uid="{00000000-0005-0000-0000-000017000000}"/>
    <cellStyle name="40% - Accent2 4" xfId="210" xr:uid="{00000000-0005-0000-0000-0000E9000000}"/>
    <cellStyle name="40% - Accent3" xfId="9" builtinId="39" customBuiltin="1"/>
    <cellStyle name="40% - Accent3 2" xfId="151" xr:uid="{00000000-0005-0000-0000-000019000000}"/>
    <cellStyle name="40% - Accent3 2 2" xfId="246" xr:uid="{00000000-0005-0000-0000-000019000000}"/>
    <cellStyle name="40% - Accent3 3" xfId="186" xr:uid="{00000000-0005-0000-0000-00001A000000}"/>
    <cellStyle name="40% - Accent3 3 2" xfId="281" xr:uid="{00000000-0005-0000-0000-00001A000000}"/>
    <cellStyle name="40% - Accent3 4" xfId="211" xr:uid="{00000000-0005-0000-0000-0000EC000000}"/>
    <cellStyle name="40% - Accent4" xfId="10" builtinId="43" customBuiltin="1"/>
    <cellStyle name="40% - Accent4 2" xfId="152" xr:uid="{00000000-0005-0000-0000-00001C000000}"/>
    <cellStyle name="40% - Accent4 2 2" xfId="247" xr:uid="{00000000-0005-0000-0000-00001C000000}"/>
    <cellStyle name="40% - Accent4 3" xfId="187" xr:uid="{00000000-0005-0000-0000-00001D000000}"/>
    <cellStyle name="40% - Accent4 3 2" xfId="282" xr:uid="{00000000-0005-0000-0000-00001D000000}"/>
    <cellStyle name="40% - Accent4 4" xfId="212" xr:uid="{00000000-0005-0000-0000-0000EF000000}"/>
    <cellStyle name="40% - Accent5" xfId="11" builtinId="47" customBuiltin="1"/>
    <cellStyle name="40% - Accent5 2" xfId="153" xr:uid="{00000000-0005-0000-0000-00001F000000}"/>
    <cellStyle name="40% - Accent5 2 2" xfId="248" xr:uid="{00000000-0005-0000-0000-00001F000000}"/>
    <cellStyle name="40% - Accent5 3" xfId="188" xr:uid="{00000000-0005-0000-0000-000020000000}"/>
    <cellStyle name="40% - Accent5 3 2" xfId="283" xr:uid="{00000000-0005-0000-0000-000020000000}"/>
    <cellStyle name="40% - Accent5 4" xfId="213" xr:uid="{00000000-0005-0000-0000-0000F2000000}"/>
    <cellStyle name="40% - Accent6" xfId="12" builtinId="51" customBuiltin="1"/>
    <cellStyle name="40% - Accent6 2" xfId="154" xr:uid="{00000000-0005-0000-0000-000022000000}"/>
    <cellStyle name="40% - Accent6 2 2" xfId="249" xr:uid="{00000000-0005-0000-0000-000022000000}"/>
    <cellStyle name="40% - Accent6 3" xfId="189" xr:uid="{00000000-0005-0000-0000-000023000000}"/>
    <cellStyle name="40% - Accent6 3 2" xfId="284" xr:uid="{00000000-0005-0000-0000-000023000000}"/>
    <cellStyle name="40% - Accent6 4" xfId="214" xr:uid="{00000000-0005-0000-0000-0000F5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3A000000}"/>
    <cellStyle name="Input" xfId="36" builtinId="20" customBuiltin="1"/>
    <cellStyle name="Linked Cell" xfId="37" builtinId="24" customBuiltin="1"/>
    <cellStyle name="Neutral" xfId="38" builtinId="28" customBuiltin="1"/>
    <cellStyle name="Normal" xfId="0" builtinId="0"/>
    <cellStyle name="Normal 10" xfId="39" xr:uid="{00000000-0005-0000-0000-00003F000000}"/>
    <cellStyle name="Normal 10 2" xfId="40" xr:uid="{00000000-0005-0000-0000-000040000000}"/>
    <cellStyle name="Normal 10 3" xfId="41" xr:uid="{00000000-0005-0000-0000-000041000000}"/>
    <cellStyle name="Normal 11" xfId="177" xr:uid="{00000000-0005-0000-0000-000042000000}"/>
    <cellStyle name="Normal 11 2" xfId="272" xr:uid="{00000000-0005-0000-0000-000042000000}"/>
    <cellStyle name="Normal 12" xfId="200" xr:uid="{5F3AF86D-3A53-4BF7-ADC4-E75565F9AEC7}"/>
    <cellStyle name="Normal 13" xfId="201" xr:uid="{00000000-0005-0000-0000-0000D2000000}"/>
    <cellStyle name="Normal 13 2" xfId="295" xr:uid="{00000000-0005-0000-0000-0000D2000000}"/>
    <cellStyle name="Normal 14" xfId="42" xr:uid="{00000000-0005-0000-0000-000043000000}"/>
    <cellStyle name="Normal 14 2" xfId="43" xr:uid="{00000000-0005-0000-0000-000044000000}"/>
    <cellStyle name="Normal 14 3" xfId="44" xr:uid="{00000000-0005-0000-0000-000045000000}"/>
    <cellStyle name="Normal 15" xfId="202" xr:uid="{8985F4BE-83FC-4197-829E-7D1D3E752339}"/>
    <cellStyle name="Normal 2" xfId="45" xr:uid="{00000000-0005-0000-0000-000046000000}"/>
    <cellStyle name="Normal 2 10" xfId="46" xr:uid="{00000000-0005-0000-0000-000047000000}"/>
    <cellStyle name="Normal 2 10 2" xfId="155" xr:uid="{00000000-0005-0000-0000-000048000000}"/>
    <cellStyle name="Normal 2 10 2 2" xfId="250" xr:uid="{00000000-0005-0000-0000-000048000000}"/>
    <cellStyle name="Normal 2 10 3" xfId="199" xr:uid="{00000000-0005-0000-0000-000049000000}"/>
    <cellStyle name="Normal 2 10 3 2" xfId="294" xr:uid="{00000000-0005-0000-0000-000049000000}"/>
    <cellStyle name="Normal 2 10 4" xfId="215" xr:uid="{00000000-0005-0000-0000-000047000000}"/>
    <cellStyle name="Normal 2 11" xfId="47" xr:uid="{00000000-0005-0000-0000-00004A000000}"/>
    <cellStyle name="Normal 2 11 2" xfId="156" xr:uid="{00000000-0005-0000-0000-00004B000000}"/>
    <cellStyle name="Normal 2 11 2 2" xfId="251" xr:uid="{00000000-0005-0000-0000-00004B000000}"/>
    <cellStyle name="Normal 2 11 3" xfId="216" xr:uid="{00000000-0005-0000-0000-00004A000000}"/>
    <cellStyle name="Normal 2 12" xfId="48" xr:uid="{00000000-0005-0000-0000-00004C000000}"/>
    <cellStyle name="Normal 2 12 2" xfId="157" xr:uid="{00000000-0005-0000-0000-00004D000000}"/>
    <cellStyle name="Normal 2 12 2 2" xfId="252" xr:uid="{00000000-0005-0000-0000-00004D000000}"/>
    <cellStyle name="Normal 2 12 3" xfId="217" xr:uid="{00000000-0005-0000-0000-00004C000000}"/>
    <cellStyle name="Normal 2 13" xfId="49" xr:uid="{00000000-0005-0000-0000-00004E000000}"/>
    <cellStyle name="Normal 2 13 2" xfId="158" xr:uid="{00000000-0005-0000-0000-00004F000000}"/>
    <cellStyle name="Normal 2 13 2 2" xfId="253" xr:uid="{00000000-0005-0000-0000-00004F000000}"/>
    <cellStyle name="Normal 2 13 3" xfId="218" xr:uid="{00000000-0005-0000-0000-00004E000000}"/>
    <cellStyle name="Normal 2 14" xfId="50" xr:uid="{00000000-0005-0000-0000-000050000000}"/>
    <cellStyle name="Normal 2 14 2" xfId="159" xr:uid="{00000000-0005-0000-0000-000051000000}"/>
    <cellStyle name="Normal 2 14 2 2" xfId="254" xr:uid="{00000000-0005-0000-0000-000051000000}"/>
    <cellStyle name="Normal 2 14 3" xfId="219" xr:uid="{00000000-0005-0000-0000-000050000000}"/>
    <cellStyle name="Normal 2 15" xfId="51" xr:uid="{00000000-0005-0000-0000-000052000000}"/>
    <cellStyle name="Normal 2 15 2" xfId="160" xr:uid="{00000000-0005-0000-0000-000053000000}"/>
    <cellStyle name="Normal 2 15 2 2" xfId="255" xr:uid="{00000000-0005-0000-0000-000053000000}"/>
    <cellStyle name="Normal 2 15 3" xfId="220" xr:uid="{00000000-0005-0000-0000-000052000000}"/>
    <cellStyle name="Normal 2 16" xfId="52" xr:uid="{00000000-0005-0000-0000-000054000000}"/>
    <cellStyle name="Normal 2 16 2" xfId="161" xr:uid="{00000000-0005-0000-0000-000055000000}"/>
    <cellStyle name="Normal 2 16 2 2" xfId="256" xr:uid="{00000000-0005-0000-0000-000055000000}"/>
    <cellStyle name="Normal 2 16 3" xfId="221" xr:uid="{00000000-0005-0000-0000-000054000000}"/>
    <cellStyle name="Normal 2 17" xfId="53" xr:uid="{00000000-0005-0000-0000-000056000000}"/>
    <cellStyle name="Normal 2 17 2" xfId="162" xr:uid="{00000000-0005-0000-0000-000057000000}"/>
    <cellStyle name="Normal 2 17 2 2" xfId="257" xr:uid="{00000000-0005-0000-0000-000057000000}"/>
    <cellStyle name="Normal 2 17 3" xfId="222" xr:uid="{00000000-0005-0000-0000-000056000000}"/>
    <cellStyle name="Normal 2 18" xfId="54" xr:uid="{00000000-0005-0000-0000-000058000000}"/>
    <cellStyle name="Normal 2 18 2" xfId="163" xr:uid="{00000000-0005-0000-0000-000059000000}"/>
    <cellStyle name="Normal 2 18 2 2" xfId="258" xr:uid="{00000000-0005-0000-0000-000059000000}"/>
    <cellStyle name="Normal 2 18 3" xfId="223" xr:uid="{00000000-0005-0000-0000-000058000000}"/>
    <cellStyle name="Normal 2 19" xfId="55" xr:uid="{00000000-0005-0000-0000-00005A000000}"/>
    <cellStyle name="Normal 2 19 2" xfId="164" xr:uid="{00000000-0005-0000-0000-00005B000000}"/>
    <cellStyle name="Normal 2 19 2 2" xfId="259" xr:uid="{00000000-0005-0000-0000-00005B000000}"/>
    <cellStyle name="Normal 2 19 3" xfId="224" xr:uid="{00000000-0005-0000-0000-00005A000000}"/>
    <cellStyle name="Normal 2 2" xfId="56" xr:uid="{00000000-0005-0000-0000-00005C000000}"/>
    <cellStyle name="Normal 2 2 2" xfId="57" xr:uid="{00000000-0005-0000-0000-00005D000000}"/>
    <cellStyle name="Normal 2 2 3" xfId="58" xr:uid="{00000000-0005-0000-0000-00005E000000}"/>
    <cellStyle name="Normal 2 20" xfId="59" xr:uid="{00000000-0005-0000-0000-00005F000000}"/>
    <cellStyle name="Normal 2 20 2" xfId="165" xr:uid="{00000000-0005-0000-0000-000060000000}"/>
    <cellStyle name="Normal 2 20 2 2" xfId="260" xr:uid="{00000000-0005-0000-0000-000060000000}"/>
    <cellStyle name="Normal 2 20 3" xfId="225" xr:uid="{00000000-0005-0000-0000-00005F000000}"/>
    <cellStyle name="Normal 2 3" xfId="60" xr:uid="{00000000-0005-0000-0000-000061000000}"/>
    <cellStyle name="Normal 2 3 2" xfId="61" xr:uid="{00000000-0005-0000-0000-000062000000}"/>
    <cellStyle name="Normal 2 3 3" xfId="62" xr:uid="{00000000-0005-0000-0000-000063000000}"/>
    <cellStyle name="Normal 2 4" xfId="63" xr:uid="{00000000-0005-0000-0000-000064000000}"/>
    <cellStyle name="Normal 2 4 2" xfId="64" xr:uid="{00000000-0005-0000-0000-000065000000}"/>
    <cellStyle name="Normal 2 4 3" xfId="65" xr:uid="{00000000-0005-0000-0000-000066000000}"/>
    <cellStyle name="Normal 2 5" xfId="66" xr:uid="{00000000-0005-0000-0000-000067000000}"/>
    <cellStyle name="Normal 2 6" xfId="67" xr:uid="{00000000-0005-0000-0000-000068000000}"/>
    <cellStyle name="Normal 2 7" xfId="68" xr:uid="{00000000-0005-0000-0000-000069000000}"/>
    <cellStyle name="Normal 2 7 2" xfId="69" xr:uid="{00000000-0005-0000-0000-00006A000000}"/>
    <cellStyle name="Normal 2 7 3" xfId="70" xr:uid="{00000000-0005-0000-0000-00006B000000}"/>
    <cellStyle name="Normal 2 7 3 2" xfId="71" xr:uid="{00000000-0005-0000-0000-00006C000000}"/>
    <cellStyle name="Normal 2 8" xfId="72" xr:uid="{00000000-0005-0000-0000-00006D000000}"/>
    <cellStyle name="Normal 2 9" xfId="73" xr:uid="{00000000-0005-0000-0000-00006E000000}"/>
    <cellStyle name="Normal 2 9 2" xfId="74" xr:uid="{00000000-0005-0000-0000-00006F000000}"/>
    <cellStyle name="Normal 3" xfId="75" xr:uid="{00000000-0005-0000-0000-000070000000}"/>
    <cellStyle name="Normal 3 10" xfId="226" xr:uid="{00000000-0005-0000-0000-000070000000}"/>
    <cellStyle name="Normal 3 2" xfId="76" xr:uid="{00000000-0005-0000-0000-000071000000}"/>
    <cellStyle name="Normal 3 2 2" xfId="167" xr:uid="{00000000-0005-0000-0000-000072000000}"/>
    <cellStyle name="Normal 3 2 2 2" xfId="262" xr:uid="{00000000-0005-0000-0000-000072000000}"/>
    <cellStyle name="Normal 3 2 3" xfId="191" xr:uid="{00000000-0005-0000-0000-000073000000}"/>
    <cellStyle name="Normal 3 2 3 2" xfId="286" xr:uid="{00000000-0005-0000-0000-000073000000}"/>
    <cellStyle name="Normal 3 2 4" xfId="227" xr:uid="{00000000-0005-0000-0000-000071000000}"/>
    <cellStyle name="Normal 3 3" xfId="77" xr:uid="{00000000-0005-0000-0000-000074000000}"/>
    <cellStyle name="Normal 3 3 2" xfId="168" xr:uid="{00000000-0005-0000-0000-000075000000}"/>
    <cellStyle name="Normal 3 3 2 2" xfId="263" xr:uid="{00000000-0005-0000-0000-000075000000}"/>
    <cellStyle name="Normal 3 3 3" xfId="192" xr:uid="{00000000-0005-0000-0000-000076000000}"/>
    <cellStyle name="Normal 3 3 3 2" xfId="287" xr:uid="{00000000-0005-0000-0000-000076000000}"/>
    <cellStyle name="Normal 3 3 34" xfId="296" xr:uid="{CA82A8BD-8EE4-46D3-9A3B-8F2D7F9B1D4F}"/>
    <cellStyle name="Normal 3 3 4" xfId="228" xr:uid="{00000000-0005-0000-0000-000074000000}"/>
    <cellStyle name="Normal 3 4" xfId="78" xr:uid="{00000000-0005-0000-0000-000077000000}"/>
    <cellStyle name="Normal 3 4 2" xfId="169" xr:uid="{00000000-0005-0000-0000-000078000000}"/>
    <cellStyle name="Normal 3 4 2 2" xfId="264" xr:uid="{00000000-0005-0000-0000-000078000000}"/>
    <cellStyle name="Normal 3 4 3" xfId="193" xr:uid="{00000000-0005-0000-0000-000079000000}"/>
    <cellStyle name="Normal 3 4 3 2" xfId="288" xr:uid="{00000000-0005-0000-0000-000079000000}"/>
    <cellStyle name="Normal 3 4 4" xfId="229" xr:uid="{00000000-0005-0000-0000-000077000000}"/>
    <cellStyle name="Normal 3 5" xfId="79" xr:uid="{00000000-0005-0000-0000-00007A000000}"/>
    <cellStyle name="Normal 3 5 2" xfId="170" xr:uid="{00000000-0005-0000-0000-00007B000000}"/>
    <cellStyle name="Normal 3 5 2 2" xfId="265" xr:uid="{00000000-0005-0000-0000-00007B000000}"/>
    <cellStyle name="Normal 3 5 3" xfId="194" xr:uid="{00000000-0005-0000-0000-00007C000000}"/>
    <cellStyle name="Normal 3 5 3 2" xfId="289" xr:uid="{00000000-0005-0000-0000-00007C000000}"/>
    <cellStyle name="Normal 3 5 4" xfId="230" xr:uid="{00000000-0005-0000-0000-00007A000000}"/>
    <cellStyle name="Normal 3 6" xfId="80" xr:uid="{00000000-0005-0000-0000-00007D000000}"/>
    <cellStyle name="Normal 3 6 2" xfId="171" xr:uid="{00000000-0005-0000-0000-00007E000000}"/>
    <cellStyle name="Normal 3 6 2 2" xfId="266" xr:uid="{00000000-0005-0000-0000-00007E000000}"/>
    <cellStyle name="Normal 3 6 3" xfId="195" xr:uid="{00000000-0005-0000-0000-00007F000000}"/>
    <cellStyle name="Normal 3 6 3 2" xfId="290" xr:uid="{00000000-0005-0000-0000-00007F000000}"/>
    <cellStyle name="Normal 3 6 4" xfId="231" xr:uid="{00000000-0005-0000-0000-00007D000000}"/>
    <cellStyle name="Normal 3 7" xfId="81" xr:uid="{00000000-0005-0000-0000-000080000000}"/>
    <cellStyle name="Normal 3 7 2" xfId="172" xr:uid="{00000000-0005-0000-0000-000081000000}"/>
    <cellStyle name="Normal 3 7 2 2" xfId="267" xr:uid="{00000000-0005-0000-0000-000081000000}"/>
    <cellStyle name="Normal 3 7 3" xfId="196" xr:uid="{00000000-0005-0000-0000-000082000000}"/>
    <cellStyle name="Normal 3 7 3 2" xfId="291" xr:uid="{00000000-0005-0000-0000-000082000000}"/>
    <cellStyle name="Normal 3 7 4" xfId="232" xr:uid="{00000000-0005-0000-0000-000080000000}"/>
    <cellStyle name="Normal 3 8" xfId="166" xr:uid="{00000000-0005-0000-0000-000083000000}"/>
    <cellStyle name="Normal 3 8 2" xfId="261" xr:uid="{00000000-0005-0000-0000-000083000000}"/>
    <cellStyle name="Normal 3 9" xfId="190" xr:uid="{00000000-0005-0000-0000-000084000000}"/>
    <cellStyle name="Normal 3 9 2" xfId="285" xr:uid="{00000000-0005-0000-0000-000084000000}"/>
    <cellStyle name="Normal 4" xfId="82" xr:uid="{00000000-0005-0000-0000-000085000000}"/>
    <cellStyle name="Normal 5" xfId="83" xr:uid="{00000000-0005-0000-0000-000086000000}"/>
    <cellStyle name="Normal 6" xfId="84" xr:uid="{00000000-0005-0000-0000-000087000000}"/>
    <cellStyle name="Normal 7" xfId="85" xr:uid="{00000000-0005-0000-0000-000088000000}"/>
    <cellStyle name="Normal 7 2" xfId="86" xr:uid="{00000000-0005-0000-0000-000089000000}"/>
    <cellStyle name="Normal 7 3" xfId="87" xr:uid="{00000000-0005-0000-0000-00008A000000}"/>
    <cellStyle name="Normal 7 4" xfId="88" xr:uid="{00000000-0005-0000-0000-00008B000000}"/>
    <cellStyle name="Normal 7 5" xfId="89" xr:uid="{00000000-0005-0000-0000-00008C000000}"/>
    <cellStyle name="Normal 7 6" xfId="90" xr:uid="{00000000-0005-0000-0000-00008D000000}"/>
    <cellStyle name="Normal 7 7" xfId="91" xr:uid="{00000000-0005-0000-0000-00008E000000}"/>
    <cellStyle name="Normal 8" xfId="92" xr:uid="{00000000-0005-0000-0000-00008F000000}"/>
    <cellStyle name="Normal 8 2" xfId="93" xr:uid="{00000000-0005-0000-0000-000090000000}"/>
    <cellStyle name="Normal 8 2 2" xfId="94" xr:uid="{00000000-0005-0000-0000-000091000000}"/>
    <cellStyle name="Normal 8 2 3" xfId="95" xr:uid="{00000000-0005-0000-0000-000092000000}"/>
    <cellStyle name="Normal 8 3" xfId="96" xr:uid="{00000000-0005-0000-0000-000093000000}"/>
    <cellStyle name="Normal 8 3 2" xfId="97" xr:uid="{00000000-0005-0000-0000-000094000000}"/>
    <cellStyle name="Normal 8 3 3" xfId="98" xr:uid="{00000000-0005-0000-0000-000095000000}"/>
    <cellStyle name="Normal 8 4" xfId="99" xr:uid="{00000000-0005-0000-0000-000096000000}"/>
    <cellStyle name="Normal 8 4 2" xfId="100" xr:uid="{00000000-0005-0000-0000-000097000000}"/>
    <cellStyle name="Normal 8 4 3" xfId="101" xr:uid="{00000000-0005-0000-0000-000098000000}"/>
    <cellStyle name="Normal 8 5" xfId="173" xr:uid="{00000000-0005-0000-0000-000099000000}"/>
    <cellStyle name="Normal 8 5 2" xfId="268" xr:uid="{00000000-0005-0000-0000-000099000000}"/>
    <cellStyle name="Normal 8 6" xfId="197" xr:uid="{00000000-0005-0000-0000-00009A000000}"/>
    <cellStyle name="Normal 8 6 2" xfId="292" xr:uid="{00000000-0005-0000-0000-00009A000000}"/>
    <cellStyle name="Normal 8 7" xfId="233" xr:uid="{00000000-0005-0000-0000-00008F000000}"/>
    <cellStyle name="Normal 9" xfId="142" xr:uid="{00000000-0005-0000-0000-00009B000000}"/>
    <cellStyle name="Normal 9 2" xfId="102" xr:uid="{00000000-0005-0000-0000-00009C000000}"/>
    <cellStyle name="Normal 9 2 2" xfId="103" xr:uid="{00000000-0005-0000-0000-00009D000000}"/>
    <cellStyle name="Normal 9 2 3" xfId="104" xr:uid="{00000000-0005-0000-0000-00009E000000}"/>
    <cellStyle name="Normal 9 3" xfId="105" xr:uid="{00000000-0005-0000-0000-00009F000000}"/>
    <cellStyle name="Normal 9 3 2" xfId="106" xr:uid="{00000000-0005-0000-0000-0000A0000000}"/>
    <cellStyle name="Normal 9 3 3" xfId="107" xr:uid="{00000000-0005-0000-0000-0000A1000000}"/>
    <cellStyle name="Normal 9 4" xfId="237" xr:uid="{00000000-0005-0000-0000-00009B000000}"/>
    <cellStyle name="Normal_2007-2008 Fund  Numbers - Fcn Prog Codes - Object Codes" xfId="297" xr:uid="{8CA0E32E-B151-4499-892C-0347542A21AF}"/>
    <cellStyle name="Note 10" xfId="108" xr:uid="{00000000-0005-0000-0000-0000A3000000}"/>
    <cellStyle name="Note 11" xfId="109" xr:uid="{00000000-0005-0000-0000-0000A4000000}"/>
    <cellStyle name="Note 11 2" xfId="174" xr:uid="{00000000-0005-0000-0000-0000A5000000}"/>
    <cellStyle name="Note 11 2 2" xfId="269" xr:uid="{00000000-0005-0000-0000-0000A5000000}"/>
    <cellStyle name="Note 11 3" xfId="234" xr:uid="{00000000-0005-0000-0000-0000A4000000}"/>
    <cellStyle name="Note 12" xfId="110" xr:uid="{00000000-0005-0000-0000-0000A6000000}"/>
    <cellStyle name="Note 2" xfId="111" xr:uid="{00000000-0005-0000-0000-0000A7000000}"/>
    <cellStyle name="Note 2 10" xfId="112" xr:uid="{00000000-0005-0000-0000-0000A8000000}"/>
    <cellStyle name="Note 2 11" xfId="113" xr:uid="{00000000-0005-0000-0000-0000A9000000}"/>
    <cellStyle name="Note 2 12" xfId="114" xr:uid="{00000000-0005-0000-0000-0000AA000000}"/>
    <cellStyle name="Note 2 13" xfId="115" xr:uid="{00000000-0005-0000-0000-0000AB000000}"/>
    <cellStyle name="Note 2 14" xfId="116" xr:uid="{00000000-0005-0000-0000-0000AC000000}"/>
    <cellStyle name="Note 2 15" xfId="117" xr:uid="{00000000-0005-0000-0000-0000AD000000}"/>
    <cellStyle name="Note 2 16" xfId="118" xr:uid="{00000000-0005-0000-0000-0000AE000000}"/>
    <cellStyle name="Note 2 17" xfId="119" xr:uid="{00000000-0005-0000-0000-0000AF000000}"/>
    <cellStyle name="Note 2 18" xfId="120" xr:uid="{00000000-0005-0000-0000-0000B0000000}"/>
    <cellStyle name="Note 2 19" xfId="121" xr:uid="{00000000-0005-0000-0000-0000B1000000}"/>
    <cellStyle name="Note 2 2" xfId="122" xr:uid="{00000000-0005-0000-0000-0000B2000000}"/>
    <cellStyle name="Note 2 2 2" xfId="176" xr:uid="{00000000-0005-0000-0000-0000B3000000}"/>
    <cellStyle name="Note 2 2 2 2" xfId="271" xr:uid="{00000000-0005-0000-0000-0000B3000000}"/>
    <cellStyle name="Note 2 2 3" xfId="236" xr:uid="{00000000-0005-0000-0000-0000B2000000}"/>
    <cellStyle name="Note 2 20" xfId="123" xr:uid="{00000000-0005-0000-0000-0000B4000000}"/>
    <cellStyle name="Note 2 21" xfId="175" xr:uid="{00000000-0005-0000-0000-0000B5000000}"/>
    <cellStyle name="Note 2 21 2" xfId="270" xr:uid="{00000000-0005-0000-0000-0000B5000000}"/>
    <cellStyle name="Note 2 22" xfId="198" xr:uid="{00000000-0005-0000-0000-0000B6000000}"/>
    <cellStyle name="Note 2 22 2" xfId="293" xr:uid="{00000000-0005-0000-0000-0000B6000000}"/>
    <cellStyle name="Note 2 23" xfId="235" xr:uid="{00000000-0005-0000-0000-0000A7000000}"/>
    <cellStyle name="Note 2 3" xfId="124" xr:uid="{00000000-0005-0000-0000-0000B7000000}"/>
    <cellStyle name="Note 2 4" xfId="125" xr:uid="{00000000-0005-0000-0000-0000B8000000}"/>
    <cellStyle name="Note 2 5" xfId="126" xr:uid="{00000000-0005-0000-0000-0000B9000000}"/>
    <cellStyle name="Note 2 6" xfId="127" xr:uid="{00000000-0005-0000-0000-0000BA000000}"/>
    <cellStyle name="Note 2 7" xfId="128" xr:uid="{00000000-0005-0000-0000-0000BB000000}"/>
    <cellStyle name="Note 2 8" xfId="129" xr:uid="{00000000-0005-0000-0000-0000BC000000}"/>
    <cellStyle name="Note 2 9" xfId="130" xr:uid="{00000000-0005-0000-0000-0000BD000000}"/>
    <cellStyle name="Note 3" xfId="131" xr:uid="{00000000-0005-0000-0000-0000BE000000}"/>
    <cellStyle name="Note 4" xfId="132" xr:uid="{00000000-0005-0000-0000-0000BF000000}"/>
    <cellStyle name="Note 5" xfId="133" xr:uid="{00000000-0005-0000-0000-0000C0000000}"/>
    <cellStyle name="Note 6" xfId="134" xr:uid="{00000000-0005-0000-0000-0000C1000000}"/>
    <cellStyle name="Note 7" xfId="135" xr:uid="{00000000-0005-0000-0000-0000C2000000}"/>
    <cellStyle name="Note 8" xfId="136" xr:uid="{00000000-0005-0000-0000-0000C3000000}"/>
    <cellStyle name="Note 9" xfId="137" xr:uid="{00000000-0005-0000-0000-0000C4000000}"/>
    <cellStyle name="Output" xfId="138" builtinId="21" customBuiltin="1"/>
    <cellStyle name="Title" xfId="139" builtinId="15" customBuiltin="1"/>
    <cellStyle name="Total" xfId="140" builtinId="25" customBuiltin="1"/>
    <cellStyle name="Warning Text" xfId="141" builtinId="11" customBuiltin="1"/>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FF"/>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29ADC"/>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A54D9-CA0D-4555-8AAE-FEB230A9400C}">
  <dimension ref="A1:G14"/>
  <sheetViews>
    <sheetView tabSelected="1" workbookViewId="0">
      <selection sqref="A1:E2"/>
    </sheetView>
  </sheetViews>
  <sheetFormatPr defaultRowHeight="13.2" x14ac:dyDescent="0.25"/>
  <cols>
    <col min="1" max="1" width="13.6640625" customWidth="1"/>
    <col min="2" max="2" width="28.5546875" customWidth="1"/>
    <col min="3" max="3" width="2.6640625" customWidth="1"/>
    <col min="4" max="5" width="19.6640625" customWidth="1"/>
    <col min="7" max="7" width="8.88671875" bestFit="1" customWidth="1"/>
  </cols>
  <sheetData>
    <row r="1" spans="1:7" x14ac:dyDescent="0.25">
      <c r="A1" s="390" t="s">
        <v>0</v>
      </c>
      <c r="B1" s="391"/>
      <c r="C1" s="391"/>
      <c r="D1" s="391"/>
      <c r="E1" s="392"/>
    </row>
    <row r="2" spans="1:7" ht="13.8" thickBot="1" x14ac:dyDescent="0.3">
      <c r="A2" s="393"/>
      <c r="B2" s="394"/>
      <c r="C2" s="394"/>
      <c r="D2" s="394"/>
      <c r="E2" s="395"/>
      <c r="G2" s="21"/>
    </row>
    <row r="3" spans="1:7" x14ac:dyDescent="0.25">
      <c r="A3" s="8" t="s">
        <v>1</v>
      </c>
      <c r="B3" s="23">
        <v>44872</v>
      </c>
      <c r="C3" s="9"/>
      <c r="D3" s="9"/>
      <c r="E3" s="10"/>
    </row>
    <row r="4" spans="1:7" x14ac:dyDescent="0.25">
      <c r="A4" s="2"/>
      <c r="B4" s="3"/>
      <c r="C4" s="4"/>
      <c r="D4" s="4"/>
      <c r="E4" s="1"/>
    </row>
    <row r="5" spans="1:7" s="15" customFormat="1" ht="16.5" customHeight="1" x14ac:dyDescent="0.3">
      <c r="A5" s="13" t="s">
        <v>2</v>
      </c>
      <c r="B5" s="14" t="s">
        <v>3</v>
      </c>
      <c r="D5" s="396" t="s">
        <v>13400</v>
      </c>
      <c r="E5" s="397"/>
    </row>
    <row r="6" spans="1:7" s="15" customFormat="1" ht="16.5" customHeight="1" x14ac:dyDescent="0.3">
      <c r="A6" s="13" t="s">
        <v>4</v>
      </c>
      <c r="B6" s="16" t="s">
        <v>5</v>
      </c>
      <c r="D6" s="396" t="s">
        <v>13402</v>
      </c>
      <c r="E6" s="397"/>
    </row>
    <row r="7" spans="1:7" s="15" customFormat="1" ht="16.5" customHeight="1" x14ac:dyDescent="0.3">
      <c r="A7" s="13" t="s">
        <v>6</v>
      </c>
      <c r="B7" s="16" t="s">
        <v>7</v>
      </c>
      <c r="D7" s="396" t="s">
        <v>13403</v>
      </c>
      <c r="E7" s="397"/>
    </row>
    <row r="8" spans="1:7" s="15" customFormat="1" ht="16.5" customHeight="1" x14ac:dyDescent="0.3">
      <c r="A8" s="13" t="s">
        <v>8</v>
      </c>
      <c r="B8" s="16" t="s">
        <v>9</v>
      </c>
      <c r="D8" s="396" t="s">
        <v>13401</v>
      </c>
      <c r="E8" s="397"/>
    </row>
    <row r="9" spans="1:7" s="15" customFormat="1" ht="16.5" customHeight="1" x14ac:dyDescent="0.3">
      <c r="A9" s="13" t="s">
        <v>10</v>
      </c>
      <c r="B9" s="16" t="s">
        <v>11</v>
      </c>
      <c r="D9" s="396" t="s">
        <v>13404</v>
      </c>
      <c r="E9" s="397"/>
    </row>
    <row r="10" spans="1:7" s="15" customFormat="1" ht="16.5" customHeight="1" x14ac:dyDescent="0.3">
      <c r="A10" s="13" t="s">
        <v>12</v>
      </c>
      <c r="B10" s="16" t="s">
        <v>13</v>
      </c>
      <c r="D10" s="396" t="s">
        <v>13405</v>
      </c>
      <c r="E10" s="397"/>
    </row>
    <row r="11" spans="1:7" s="15" customFormat="1" ht="16.5" customHeight="1" x14ac:dyDescent="0.3">
      <c r="A11" s="13" t="s">
        <v>14</v>
      </c>
      <c r="B11" s="16" t="s">
        <v>15</v>
      </c>
      <c r="D11" s="396" t="s">
        <v>13406</v>
      </c>
      <c r="E11" s="397"/>
    </row>
    <row r="12" spans="1:7" s="15" customFormat="1" ht="16.5" customHeight="1" x14ac:dyDescent="0.3">
      <c r="A12" s="13" t="s">
        <v>16</v>
      </c>
      <c r="B12" s="16" t="s">
        <v>17</v>
      </c>
      <c r="D12" s="396" t="s">
        <v>13407</v>
      </c>
      <c r="E12" s="397"/>
    </row>
    <row r="13" spans="1:7" s="15" customFormat="1" ht="16.5" customHeight="1" x14ac:dyDescent="0.3">
      <c r="A13" s="13" t="s">
        <v>18</v>
      </c>
      <c r="B13" s="16" t="s">
        <v>19</v>
      </c>
      <c r="D13" s="396" t="s">
        <v>13408</v>
      </c>
      <c r="E13" s="397"/>
    </row>
    <row r="14" spans="1:7" s="15" customFormat="1" ht="16.5" customHeight="1" thickBot="1" x14ac:dyDescent="0.35">
      <c r="A14" s="17" t="s">
        <v>20</v>
      </c>
      <c r="B14" s="18" t="s">
        <v>21</v>
      </c>
      <c r="C14" s="19"/>
      <c r="D14" s="398" t="s">
        <v>13409</v>
      </c>
      <c r="E14" s="399"/>
    </row>
  </sheetData>
  <mergeCells count="11">
    <mergeCell ref="D14:E14"/>
    <mergeCell ref="D7:E7"/>
    <mergeCell ref="D8:E8"/>
    <mergeCell ref="D9:E9"/>
    <mergeCell ref="D10:E10"/>
    <mergeCell ref="D11:E11"/>
    <mergeCell ref="A1:E2"/>
    <mergeCell ref="D5:E5"/>
    <mergeCell ref="D6:E6"/>
    <mergeCell ref="D12:E12"/>
    <mergeCell ref="D13:E13"/>
  </mergeCells>
  <hyperlinks>
    <hyperlink ref="B6" location="'Items Document Map'!A1" display="Items Document Map" xr:uid="{4DD89416-D519-4DB5-9244-880C5DFFB978}"/>
    <hyperlink ref="B7" location="'Items Details'!A1" display="Items Details" xr:uid="{A2AA524E-32C7-4D9D-9CE1-5DE198D326F6}"/>
    <hyperlink ref="B8" location="'Option Sets Map'!A1" display="Option Sets Map" xr:uid="{11F00ECC-6931-469B-BC64-B985AD154130}"/>
    <hyperlink ref="B9" location="'Option Sets Details'!A1" display="Option Sets Details" xr:uid="{5EF5EF0B-ADD9-46C4-9612-2EC384623496}"/>
    <hyperlink ref="B10" location="'IDCTE Certs'!A1" display="IDCTE Certs" xr:uid="{B14492B3-D819-405F-BE97-D448ED3D6254}"/>
    <hyperlink ref="B11" location="'Assignment Changes'!A1" display="Assignment Changes" xr:uid="{43D3D604-13BF-42DD-BFED-B53639A2C4C6}"/>
    <hyperlink ref="B12" location="Assignment_Endorsements!A1" display="Assignments_Endorsements" xr:uid="{2581DD42-3A6E-4E02-AEFF-A7F1F7CB7AD3}"/>
    <hyperlink ref="B13" location="'Districts and Schools'!A1" display="Districts and Schools" xr:uid="{3741C7EA-EDDB-4F4D-B92A-DE7DB123A79F}"/>
    <hyperlink ref="B14" location="'Changes (after July)'!A1" display="Changes" xr:uid="{407E6449-0078-4AFC-ADD2-28018322B71C}"/>
  </hyperlink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68"/>
  <sheetViews>
    <sheetView zoomScaleNormal="100" workbookViewId="0">
      <pane ySplit="1" topLeftCell="A2" activePane="bottomLeft" state="frozen"/>
      <selection pane="bottomLeft"/>
    </sheetView>
  </sheetViews>
  <sheetFormatPr defaultColWidth="9.21875" defaultRowHeight="13.5" customHeight="1" x14ac:dyDescent="0.25"/>
  <cols>
    <col min="1" max="1" width="15.77734375" style="327" bestFit="1" customWidth="1"/>
    <col min="2" max="2" width="1.77734375" style="322" customWidth="1"/>
    <col min="3" max="3" width="17.77734375" style="328" bestFit="1" customWidth="1"/>
    <col min="4" max="4" width="1.77734375" style="322" customWidth="1"/>
    <col min="5" max="5" width="28.77734375" style="319" bestFit="1" customWidth="1"/>
    <col min="6" max="6" width="1.77734375" style="322" customWidth="1"/>
    <col min="7" max="7" width="8.77734375" style="319" customWidth="1"/>
    <col min="8" max="8" width="1.77734375" style="322" customWidth="1"/>
    <col min="9" max="9" width="21.21875" style="320" bestFit="1" customWidth="1"/>
    <col min="10" max="10" width="1.77734375" style="329" customWidth="1"/>
    <col min="11" max="11" width="58.5546875" style="75" bestFit="1" customWidth="1"/>
    <col min="12" max="12" width="1.77734375" style="329" customWidth="1"/>
    <col min="13" max="13" width="54.77734375" style="252" bestFit="1" customWidth="1"/>
    <col min="14" max="16384" width="9.21875" style="75"/>
  </cols>
  <sheetData>
    <row r="1" spans="1:13" s="315" customFormat="1" ht="12.75" customHeight="1" x14ac:dyDescent="0.25">
      <c r="A1" s="309" t="s">
        <v>13348</v>
      </c>
      <c r="B1" s="310"/>
      <c r="C1" s="311" t="s">
        <v>13349</v>
      </c>
      <c r="D1" s="310"/>
      <c r="E1" s="312" t="s">
        <v>13350</v>
      </c>
      <c r="F1" s="310"/>
      <c r="G1" s="312" t="s">
        <v>13351</v>
      </c>
      <c r="H1" s="310"/>
      <c r="I1" s="313" t="s">
        <v>13352</v>
      </c>
      <c r="J1" s="314"/>
      <c r="K1" s="314" t="s">
        <v>13353</v>
      </c>
      <c r="L1" s="314"/>
      <c r="M1" s="314" t="s">
        <v>13354</v>
      </c>
    </row>
    <row r="2" spans="1:13" s="227" customFormat="1" ht="12.6" customHeight="1" x14ac:dyDescent="0.25">
      <c r="A2" s="316">
        <v>44775</v>
      </c>
      <c r="B2" s="317"/>
      <c r="C2" s="318" t="s">
        <v>13529</v>
      </c>
      <c r="D2" s="317"/>
      <c r="E2" s="319" t="s">
        <v>19</v>
      </c>
      <c r="F2" s="317"/>
      <c r="G2" s="320"/>
      <c r="H2" s="317"/>
      <c r="I2" s="320"/>
      <c r="J2" s="321"/>
      <c r="K2" s="321" t="s">
        <v>13530</v>
      </c>
      <c r="L2" s="321"/>
      <c r="M2" s="321" t="s">
        <v>13531</v>
      </c>
    </row>
    <row r="3" spans="1:13" s="227" customFormat="1" ht="12.6" customHeight="1" x14ac:dyDescent="0.25">
      <c r="A3" s="316">
        <v>44810</v>
      </c>
      <c r="B3" s="317"/>
      <c r="C3" s="318" t="s">
        <v>13529</v>
      </c>
      <c r="D3" s="317"/>
      <c r="E3" s="319" t="s">
        <v>19</v>
      </c>
      <c r="F3" s="317"/>
      <c r="G3" s="320"/>
      <c r="H3" s="317"/>
      <c r="I3" s="320"/>
      <c r="J3" s="321"/>
      <c r="K3" s="321" t="s">
        <v>13536</v>
      </c>
      <c r="L3" s="321"/>
      <c r="M3" s="321" t="s">
        <v>13535</v>
      </c>
    </row>
    <row r="4" spans="1:13" s="227" customFormat="1" ht="12.6" customHeight="1" x14ac:dyDescent="0.25">
      <c r="A4" s="316">
        <v>44825</v>
      </c>
      <c r="B4" s="317"/>
      <c r="C4" s="318" t="s">
        <v>13529</v>
      </c>
      <c r="D4" s="317"/>
      <c r="E4" s="319" t="s">
        <v>13537</v>
      </c>
      <c r="F4" s="317"/>
      <c r="G4" s="320"/>
      <c r="H4" s="317"/>
      <c r="I4" s="320"/>
      <c r="J4" s="321"/>
      <c r="K4" s="321" t="s">
        <v>13538</v>
      </c>
      <c r="L4" s="321"/>
      <c r="M4" s="321" t="s">
        <v>13539</v>
      </c>
    </row>
    <row r="5" spans="1:13" s="227" customFormat="1" ht="12.6" customHeight="1" x14ac:dyDescent="0.25">
      <c r="A5" s="316">
        <v>44841</v>
      </c>
      <c r="B5" s="317"/>
      <c r="C5" s="318" t="s">
        <v>13529</v>
      </c>
      <c r="D5" s="317"/>
      <c r="E5" s="319" t="s">
        <v>19</v>
      </c>
      <c r="F5" s="317"/>
      <c r="G5" s="320"/>
      <c r="H5" s="317"/>
      <c r="I5" s="320"/>
      <c r="J5" s="321"/>
      <c r="K5" s="321" t="s">
        <v>13542</v>
      </c>
      <c r="L5" s="321"/>
      <c r="M5" s="321" t="s">
        <v>13535</v>
      </c>
    </row>
    <row r="6" spans="1:13" s="227" customFormat="1" ht="12.6" customHeight="1" x14ac:dyDescent="0.25">
      <c r="A6" s="316">
        <v>44841</v>
      </c>
      <c r="B6" s="317"/>
      <c r="C6" s="318" t="s">
        <v>13529</v>
      </c>
      <c r="D6" s="317"/>
      <c r="E6" s="319" t="s">
        <v>19</v>
      </c>
      <c r="F6" s="317"/>
      <c r="G6" s="320"/>
      <c r="H6" s="317"/>
      <c r="I6" s="320"/>
      <c r="J6" s="321"/>
      <c r="K6" s="321" t="s">
        <v>13555</v>
      </c>
      <c r="L6" s="321"/>
      <c r="M6" s="321" t="s">
        <v>13535</v>
      </c>
    </row>
    <row r="7" spans="1:13" s="227" customFormat="1" ht="12.6" customHeight="1" x14ac:dyDescent="0.25">
      <c r="A7" s="316">
        <v>44841</v>
      </c>
      <c r="B7" s="317"/>
      <c r="C7" s="318" t="s">
        <v>13529</v>
      </c>
      <c r="D7" s="317"/>
      <c r="E7" s="319" t="s">
        <v>19</v>
      </c>
      <c r="F7" s="317"/>
      <c r="G7" s="320"/>
      <c r="H7" s="317"/>
      <c r="I7" s="320"/>
      <c r="J7" s="321"/>
      <c r="K7" s="321" t="s">
        <v>13556</v>
      </c>
      <c r="L7" s="321"/>
      <c r="M7" s="321" t="s">
        <v>13535</v>
      </c>
    </row>
    <row r="8" spans="1:13" s="227" customFormat="1" ht="12.6" customHeight="1" x14ac:dyDescent="0.25">
      <c r="A8" s="316">
        <v>44841</v>
      </c>
      <c r="B8" s="317"/>
      <c r="C8" s="318" t="s">
        <v>13529</v>
      </c>
      <c r="D8" s="317"/>
      <c r="E8" s="319" t="s">
        <v>19</v>
      </c>
      <c r="F8" s="317"/>
      <c r="G8" s="320"/>
      <c r="H8" s="317"/>
      <c r="I8" s="320"/>
      <c r="J8" s="321"/>
      <c r="K8" s="321" t="s">
        <v>13557</v>
      </c>
      <c r="L8" s="321"/>
      <c r="M8" s="321" t="s">
        <v>13535</v>
      </c>
    </row>
    <row r="9" spans="1:13" s="227" customFormat="1" ht="12.6" customHeight="1" x14ac:dyDescent="0.25">
      <c r="A9" s="316">
        <v>44841</v>
      </c>
      <c r="B9" s="317"/>
      <c r="C9" s="318" t="s">
        <v>13529</v>
      </c>
      <c r="D9" s="317"/>
      <c r="E9" s="319" t="s">
        <v>19</v>
      </c>
      <c r="F9" s="317"/>
      <c r="G9" s="320"/>
      <c r="H9" s="317"/>
      <c r="I9" s="320"/>
      <c r="J9" s="321"/>
      <c r="K9" s="321" t="s">
        <v>13551</v>
      </c>
      <c r="L9" s="321"/>
      <c r="M9" s="321" t="s">
        <v>13535</v>
      </c>
    </row>
    <row r="10" spans="1:13" s="227" customFormat="1" ht="12.6" customHeight="1" x14ac:dyDescent="0.25">
      <c r="A10" s="316">
        <v>44841</v>
      </c>
      <c r="B10" s="317"/>
      <c r="C10" s="318" t="s">
        <v>13529</v>
      </c>
      <c r="D10" s="317"/>
      <c r="E10" s="319" t="s">
        <v>19</v>
      </c>
      <c r="F10" s="317"/>
      <c r="G10" s="320"/>
      <c r="H10" s="317"/>
      <c r="I10" s="320"/>
      <c r="J10" s="321"/>
      <c r="K10" s="321" t="s">
        <v>13554</v>
      </c>
      <c r="L10" s="321"/>
      <c r="M10" s="321" t="s">
        <v>13535</v>
      </c>
    </row>
    <row r="11" spans="1:13" s="227" customFormat="1" ht="12.6" customHeight="1" x14ac:dyDescent="0.25">
      <c r="A11" s="316">
        <v>44844</v>
      </c>
      <c r="B11" s="317"/>
      <c r="C11" s="318" t="s">
        <v>13529</v>
      </c>
      <c r="D11" s="317"/>
      <c r="E11" s="319" t="s">
        <v>11</v>
      </c>
      <c r="F11" s="317"/>
      <c r="G11" s="320"/>
      <c r="H11" s="317"/>
      <c r="I11" s="320"/>
      <c r="J11" s="321"/>
      <c r="K11" s="321" t="s">
        <v>13564</v>
      </c>
      <c r="L11" s="321"/>
      <c r="M11" s="321" t="s">
        <v>13565</v>
      </c>
    </row>
    <row r="12" spans="1:13" s="227" customFormat="1" ht="12.6" customHeight="1" x14ac:dyDescent="0.25">
      <c r="A12" s="316">
        <v>44845</v>
      </c>
      <c r="B12" s="317"/>
      <c r="C12" s="318" t="s">
        <v>13529</v>
      </c>
      <c r="D12" s="317"/>
      <c r="E12" s="319" t="s">
        <v>13537</v>
      </c>
      <c r="F12" s="317"/>
      <c r="G12" s="320"/>
      <c r="H12" s="317"/>
      <c r="I12" s="320"/>
      <c r="J12" s="321"/>
      <c r="K12" s="321" t="s">
        <v>13566</v>
      </c>
      <c r="L12" s="321"/>
      <c r="M12" s="321" t="s">
        <v>13567</v>
      </c>
    </row>
    <row r="13" spans="1:13" s="227" customFormat="1" ht="12.6" customHeight="1" x14ac:dyDescent="0.25">
      <c r="A13" s="316">
        <v>44859</v>
      </c>
      <c r="B13" s="317"/>
      <c r="C13" s="318" t="s">
        <v>13568</v>
      </c>
      <c r="D13" s="317"/>
      <c r="E13" s="319" t="s">
        <v>19</v>
      </c>
      <c r="F13" s="317"/>
      <c r="G13" s="320"/>
      <c r="H13" s="317"/>
      <c r="I13" s="320"/>
      <c r="J13" s="321"/>
      <c r="K13" s="321" t="s">
        <v>13570</v>
      </c>
      <c r="L13" s="321"/>
      <c r="M13" s="321" t="s">
        <v>13569</v>
      </c>
    </row>
    <row r="14" spans="1:13" s="227" customFormat="1" ht="12.6" customHeight="1" x14ac:dyDescent="0.25">
      <c r="A14" s="316">
        <v>44859</v>
      </c>
      <c r="B14" s="317"/>
      <c r="C14" s="318" t="s">
        <v>13529</v>
      </c>
      <c r="D14" s="317"/>
      <c r="E14" s="319" t="s">
        <v>13537</v>
      </c>
      <c r="F14" s="317"/>
      <c r="G14" s="320"/>
      <c r="H14" s="317"/>
      <c r="I14" s="320"/>
      <c r="J14" s="321"/>
      <c r="K14" s="321" t="s">
        <v>13573</v>
      </c>
      <c r="L14" s="321"/>
      <c r="M14" s="321" t="s">
        <v>13574</v>
      </c>
    </row>
    <row r="15" spans="1:13" s="227" customFormat="1" ht="12.6" customHeight="1" x14ac:dyDescent="0.25">
      <c r="A15" s="316">
        <v>44872</v>
      </c>
      <c r="B15" s="317"/>
      <c r="C15" s="318" t="s">
        <v>13529</v>
      </c>
      <c r="D15" s="317"/>
      <c r="E15" s="319" t="s">
        <v>13537</v>
      </c>
      <c r="F15" s="317"/>
      <c r="G15" s="320"/>
      <c r="H15" s="317"/>
      <c r="I15" s="320"/>
      <c r="J15" s="321"/>
      <c r="K15" s="321" t="s">
        <v>13575</v>
      </c>
      <c r="L15" s="321"/>
      <c r="M15" s="321" t="s">
        <v>13574</v>
      </c>
    </row>
    <row r="16" spans="1:13" s="227" customFormat="1" ht="12.6" customHeight="1" x14ac:dyDescent="0.25">
      <c r="A16" s="316"/>
      <c r="B16" s="317"/>
      <c r="C16" s="318"/>
      <c r="D16" s="317"/>
      <c r="E16" s="319"/>
      <c r="F16" s="317"/>
      <c r="G16" s="320"/>
      <c r="H16" s="317"/>
      <c r="I16" s="320"/>
      <c r="J16" s="321"/>
      <c r="K16" s="321"/>
      <c r="L16" s="321"/>
      <c r="M16" s="321"/>
    </row>
    <row r="17" spans="1:13" s="227" customFormat="1" ht="12.6" customHeight="1" x14ac:dyDescent="0.25">
      <c r="A17" s="316"/>
      <c r="B17" s="317"/>
      <c r="C17" s="318"/>
      <c r="D17" s="317"/>
      <c r="E17" s="319"/>
      <c r="F17" s="317"/>
      <c r="G17" s="320"/>
      <c r="H17" s="317"/>
      <c r="I17" s="320"/>
      <c r="J17" s="321"/>
      <c r="K17" s="321"/>
      <c r="L17" s="321"/>
      <c r="M17" s="321"/>
    </row>
    <row r="18" spans="1:13" s="227" customFormat="1" ht="12.6" customHeight="1" x14ac:dyDescent="0.25">
      <c r="A18" s="316"/>
      <c r="B18" s="317"/>
      <c r="C18" s="318"/>
      <c r="D18" s="317"/>
      <c r="E18" s="319"/>
      <c r="F18" s="317"/>
      <c r="G18" s="320"/>
      <c r="H18" s="317"/>
      <c r="I18" s="320"/>
      <c r="J18" s="321"/>
      <c r="K18" s="321"/>
      <c r="L18" s="321"/>
      <c r="M18" s="321"/>
    </row>
    <row r="19" spans="1:13" s="227" customFormat="1" ht="12.6" customHeight="1" x14ac:dyDescent="0.25">
      <c r="A19" s="316"/>
      <c r="B19" s="317"/>
      <c r="C19" s="318"/>
      <c r="D19" s="317"/>
      <c r="E19" s="319"/>
      <c r="F19" s="317"/>
      <c r="G19" s="320"/>
      <c r="H19" s="317"/>
      <c r="I19" s="320"/>
      <c r="J19" s="321"/>
      <c r="K19" s="321"/>
      <c r="L19" s="321"/>
      <c r="M19" s="321"/>
    </row>
    <row r="20" spans="1:13" s="227" customFormat="1" ht="12.6" customHeight="1" x14ac:dyDescent="0.25">
      <c r="A20" s="316"/>
      <c r="B20" s="317"/>
      <c r="C20" s="318"/>
      <c r="D20" s="317"/>
      <c r="E20" s="319"/>
      <c r="F20" s="317"/>
      <c r="G20" s="320"/>
      <c r="H20" s="317"/>
      <c r="I20" s="320"/>
      <c r="J20" s="321"/>
      <c r="K20" s="321"/>
      <c r="L20" s="321"/>
      <c r="M20" s="321"/>
    </row>
    <row r="21" spans="1:13" s="227" customFormat="1" ht="12.6" customHeight="1" x14ac:dyDescent="0.25">
      <c r="A21" s="316"/>
      <c r="B21" s="317"/>
      <c r="C21" s="318"/>
      <c r="D21" s="317"/>
      <c r="E21" s="319"/>
      <c r="F21" s="317"/>
      <c r="G21" s="320"/>
      <c r="H21" s="317"/>
      <c r="I21" s="320"/>
      <c r="J21" s="321"/>
      <c r="K21" s="321"/>
      <c r="L21" s="321"/>
      <c r="M21" s="321"/>
    </row>
    <row r="22" spans="1:13" s="227" customFormat="1" ht="12.6" customHeight="1" x14ac:dyDescent="0.25">
      <c r="A22" s="316"/>
      <c r="B22" s="317"/>
      <c r="C22" s="318"/>
      <c r="D22" s="317"/>
      <c r="E22" s="319"/>
      <c r="F22" s="317"/>
      <c r="G22" s="320"/>
      <c r="H22" s="317"/>
      <c r="I22" s="320"/>
      <c r="J22" s="321"/>
      <c r="K22" s="321"/>
      <c r="L22" s="321"/>
      <c r="M22" s="321"/>
    </row>
    <row r="23" spans="1:13" s="227" customFormat="1" ht="12.6" customHeight="1" x14ac:dyDescent="0.25">
      <c r="A23" s="316"/>
      <c r="B23" s="317"/>
      <c r="C23" s="318"/>
      <c r="D23" s="317"/>
      <c r="E23" s="319"/>
      <c r="F23" s="317"/>
      <c r="G23" s="320"/>
      <c r="H23" s="317"/>
      <c r="I23" s="320"/>
      <c r="J23" s="321"/>
      <c r="K23" s="321"/>
      <c r="L23" s="321"/>
      <c r="M23" s="321"/>
    </row>
    <row r="24" spans="1:13" s="227" customFormat="1" ht="12.75" customHeight="1" x14ac:dyDescent="0.25">
      <c r="A24" s="316"/>
      <c r="B24" s="317"/>
      <c r="C24" s="318"/>
      <c r="D24" s="317"/>
      <c r="E24" s="319"/>
      <c r="F24" s="317"/>
      <c r="G24" s="320"/>
      <c r="H24" s="317"/>
      <c r="I24" s="320"/>
      <c r="J24" s="321"/>
      <c r="K24" s="321"/>
      <c r="L24" s="321"/>
      <c r="M24" s="321"/>
    </row>
    <row r="25" spans="1:13" s="227" customFormat="1" ht="12.75" customHeight="1" x14ac:dyDescent="0.25">
      <c r="A25" s="316"/>
      <c r="B25" s="317"/>
      <c r="C25" s="318"/>
      <c r="D25" s="317"/>
      <c r="E25" s="319"/>
      <c r="F25" s="317"/>
      <c r="G25" s="319"/>
      <c r="H25" s="317"/>
      <c r="I25" s="320"/>
      <c r="J25" s="321"/>
      <c r="K25" s="321"/>
      <c r="L25" s="321"/>
      <c r="M25" s="321"/>
    </row>
    <row r="26" spans="1:13" s="227" customFormat="1" ht="12.75" customHeight="1" x14ac:dyDescent="0.25">
      <c r="A26" s="316"/>
      <c r="B26" s="317"/>
      <c r="C26" s="318"/>
      <c r="D26" s="317"/>
      <c r="E26" s="319"/>
      <c r="F26" s="317"/>
      <c r="G26" s="320"/>
      <c r="H26" s="317"/>
      <c r="I26" s="320"/>
      <c r="J26" s="321"/>
      <c r="K26" s="321"/>
      <c r="L26" s="321"/>
      <c r="M26" s="321"/>
    </row>
    <row r="27" spans="1:13" ht="13.5" customHeight="1" x14ac:dyDescent="0.25">
      <c r="A27" s="316"/>
      <c r="C27" s="318"/>
      <c r="D27" s="75"/>
      <c r="F27" s="75"/>
      <c r="G27" s="320"/>
      <c r="H27" s="75"/>
      <c r="J27" s="75"/>
      <c r="K27" s="321"/>
      <c r="L27" s="75"/>
      <c r="M27" s="321"/>
    </row>
    <row r="28" spans="1:13" s="227" customFormat="1" ht="12.75" customHeight="1" x14ac:dyDescent="0.25">
      <c r="A28" s="316"/>
      <c r="B28" s="317"/>
      <c r="C28" s="318"/>
      <c r="D28" s="317"/>
      <c r="E28" s="319"/>
      <c r="F28" s="317"/>
      <c r="G28" s="320"/>
      <c r="H28" s="317"/>
      <c r="I28" s="320"/>
      <c r="J28" s="321"/>
      <c r="K28" s="321"/>
      <c r="L28" s="321"/>
      <c r="M28" s="321"/>
    </row>
    <row r="29" spans="1:13" s="227" customFormat="1" ht="12.75" customHeight="1" x14ac:dyDescent="0.25">
      <c r="A29" s="316"/>
      <c r="B29" s="317"/>
      <c r="C29" s="318"/>
      <c r="D29" s="317"/>
      <c r="E29" s="319"/>
      <c r="F29" s="317"/>
      <c r="G29" s="320"/>
      <c r="H29" s="317"/>
      <c r="I29" s="320"/>
      <c r="J29" s="321"/>
      <c r="K29" s="321"/>
      <c r="L29" s="321"/>
      <c r="M29" s="321"/>
    </row>
    <row r="30" spans="1:13" s="227" customFormat="1" ht="12.75" customHeight="1" x14ac:dyDescent="0.25">
      <c r="A30" s="316"/>
      <c r="B30" s="317"/>
      <c r="C30" s="318"/>
      <c r="D30" s="317"/>
      <c r="E30" s="319"/>
      <c r="F30" s="317"/>
      <c r="G30" s="320"/>
      <c r="H30" s="317"/>
      <c r="I30" s="320"/>
      <c r="J30" s="321"/>
      <c r="K30" s="321"/>
      <c r="L30" s="321"/>
      <c r="M30" s="321"/>
    </row>
    <row r="31" spans="1:13" s="227" customFormat="1" ht="12.75" customHeight="1" x14ac:dyDescent="0.25">
      <c r="A31" s="316"/>
      <c r="B31" s="317"/>
      <c r="C31" s="318"/>
      <c r="D31" s="317"/>
      <c r="E31" s="319"/>
      <c r="F31" s="317"/>
      <c r="G31" s="320"/>
      <c r="H31" s="317"/>
      <c r="I31" s="320"/>
      <c r="J31" s="321"/>
      <c r="K31" s="321"/>
      <c r="L31" s="321"/>
      <c r="M31" s="321"/>
    </row>
    <row r="35" spans="1:12" ht="13.5" customHeight="1" x14ac:dyDescent="0.25">
      <c r="A35" s="323"/>
      <c r="C35" s="272"/>
      <c r="D35" s="75"/>
      <c r="E35" s="324"/>
      <c r="F35" s="75"/>
      <c r="G35" s="324"/>
      <c r="H35" s="75"/>
      <c r="I35" s="75"/>
      <c r="J35" s="75"/>
      <c r="L35" s="75"/>
    </row>
    <row r="36" spans="1:12" ht="13.5" customHeight="1" x14ac:dyDescent="0.25">
      <c r="A36" s="323"/>
      <c r="C36" s="272"/>
      <c r="D36" s="75"/>
      <c r="E36" s="324"/>
      <c r="F36" s="75"/>
      <c r="G36" s="324"/>
      <c r="H36" s="75"/>
      <c r="I36" s="75"/>
      <c r="J36" s="75"/>
      <c r="L36" s="75"/>
    </row>
    <row r="37" spans="1:12" ht="13.5" customHeight="1" x14ac:dyDescent="0.25">
      <c r="A37" s="323"/>
      <c r="C37" s="272"/>
      <c r="D37" s="75"/>
      <c r="E37" s="324"/>
      <c r="F37" s="75"/>
      <c r="G37" s="324"/>
      <c r="H37" s="75"/>
      <c r="I37" s="75"/>
      <c r="J37" s="75"/>
      <c r="K37" s="252"/>
      <c r="L37" s="75"/>
    </row>
    <row r="38" spans="1:12" ht="13.5" customHeight="1" x14ac:dyDescent="0.25">
      <c r="A38" s="323"/>
      <c r="C38" s="272"/>
      <c r="D38" s="75"/>
      <c r="E38" s="324"/>
      <c r="F38" s="75"/>
      <c r="G38" s="324"/>
      <c r="H38" s="75"/>
      <c r="I38" s="75"/>
      <c r="J38" s="75"/>
      <c r="K38" s="252"/>
      <c r="L38" s="75"/>
    </row>
    <row r="39" spans="1:12" ht="13.5" customHeight="1" x14ac:dyDescent="0.25">
      <c r="A39" s="323"/>
      <c r="C39" s="272"/>
      <c r="D39" s="75"/>
      <c r="E39" s="324"/>
      <c r="F39" s="75"/>
      <c r="G39" s="324"/>
      <c r="H39" s="75"/>
      <c r="I39" s="273"/>
      <c r="J39" s="75"/>
      <c r="L39" s="75"/>
    </row>
    <row r="40" spans="1:12" ht="13.5" customHeight="1" x14ac:dyDescent="0.25">
      <c r="A40" s="323"/>
      <c r="C40" s="272"/>
      <c r="D40" s="75"/>
      <c r="E40" s="324"/>
      <c r="F40" s="75"/>
      <c r="G40" s="324"/>
      <c r="H40" s="75"/>
      <c r="I40" s="273"/>
      <c r="J40" s="75"/>
      <c r="L40" s="75"/>
    </row>
    <row r="41" spans="1:12" ht="13.5" customHeight="1" x14ac:dyDescent="0.25">
      <c r="A41" s="323"/>
      <c r="C41" s="272"/>
      <c r="D41" s="75"/>
      <c r="E41" s="324"/>
      <c r="F41" s="75"/>
      <c r="G41" s="324"/>
      <c r="H41" s="75"/>
      <c r="I41" s="273"/>
      <c r="J41" s="75"/>
      <c r="L41" s="75"/>
    </row>
    <row r="42" spans="1:12" ht="13.5" customHeight="1" x14ac:dyDescent="0.25">
      <c r="A42" s="323"/>
      <c r="C42" s="272"/>
      <c r="D42" s="75"/>
      <c r="E42" s="324"/>
      <c r="F42" s="75"/>
      <c r="G42" s="324"/>
      <c r="H42" s="75"/>
      <c r="I42" s="273"/>
      <c r="J42" s="75"/>
      <c r="L42" s="75"/>
    </row>
    <row r="43" spans="1:12" ht="13.5" customHeight="1" x14ac:dyDescent="0.25">
      <c r="A43" s="323"/>
      <c r="C43" s="272"/>
      <c r="D43" s="75"/>
      <c r="E43" s="324"/>
      <c r="F43" s="75"/>
      <c r="G43" s="324"/>
      <c r="H43" s="75"/>
      <c r="I43" s="273"/>
      <c r="J43" s="75"/>
      <c r="L43" s="75"/>
    </row>
    <row r="44" spans="1:12" ht="13.5" customHeight="1" x14ac:dyDescent="0.25">
      <c r="A44" s="323"/>
      <c r="C44" s="272"/>
      <c r="D44" s="75"/>
      <c r="E44" s="324"/>
      <c r="F44" s="75"/>
      <c r="G44" s="324"/>
      <c r="H44" s="75"/>
      <c r="I44" s="273"/>
      <c r="J44" s="75"/>
      <c r="L44" s="75"/>
    </row>
    <row r="45" spans="1:12" ht="13.5" customHeight="1" x14ac:dyDescent="0.25">
      <c r="A45" s="323"/>
      <c r="C45" s="272"/>
      <c r="D45" s="75"/>
      <c r="E45" s="324"/>
      <c r="F45" s="75"/>
      <c r="G45" s="324"/>
      <c r="H45" s="75"/>
      <c r="I45" s="273"/>
      <c r="J45" s="75"/>
      <c r="L45" s="75"/>
    </row>
    <row r="46" spans="1:12" ht="13.5" customHeight="1" x14ac:dyDescent="0.25">
      <c r="A46" s="323"/>
      <c r="C46" s="272"/>
      <c r="D46" s="75"/>
      <c r="E46" s="324"/>
      <c r="F46" s="75"/>
      <c r="G46" s="324"/>
      <c r="H46" s="75"/>
      <c r="I46" s="273"/>
      <c r="J46" s="75"/>
      <c r="L46" s="75"/>
    </row>
    <row r="47" spans="1:12" ht="13.5" customHeight="1" x14ac:dyDescent="0.25">
      <c r="A47" s="323"/>
      <c r="C47" s="272"/>
      <c r="D47" s="75"/>
      <c r="E47" s="324"/>
      <c r="F47" s="75"/>
      <c r="G47" s="324"/>
      <c r="H47" s="75"/>
      <c r="I47" s="273"/>
      <c r="J47" s="75"/>
      <c r="L47" s="75"/>
    </row>
    <row r="48" spans="1:12" ht="13.5" customHeight="1" x14ac:dyDescent="0.25">
      <c r="A48" s="323"/>
      <c r="C48" s="272"/>
      <c r="D48" s="75"/>
      <c r="E48" s="324"/>
      <c r="F48" s="75"/>
      <c r="G48" s="324"/>
      <c r="H48" s="75"/>
      <c r="I48" s="273"/>
      <c r="J48" s="75"/>
      <c r="L48" s="75"/>
    </row>
    <row r="49" spans="1:12" ht="13.5" customHeight="1" x14ac:dyDescent="0.25">
      <c r="A49" s="323"/>
      <c r="C49" s="272"/>
      <c r="D49" s="75"/>
      <c r="E49" s="324"/>
      <c r="F49" s="75"/>
      <c r="G49" s="324"/>
      <c r="H49" s="75"/>
      <c r="I49" s="273"/>
      <c r="J49" s="75"/>
      <c r="L49" s="75"/>
    </row>
    <row r="50" spans="1:12" ht="13.5" customHeight="1" x14ac:dyDescent="0.25">
      <c r="A50" s="323"/>
      <c r="C50" s="272"/>
      <c r="D50" s="75"/>
      <c r="E50" s="324"/>
      <c r="F50" s="75"/>
      <c r="G50" s="324"/>
      <c r="H50" s="75"/>
      <c r="I50" s="273"/>
      <c r="J50" s="75"/>
      <c r="L50" s="75"/>
    </row>
    <row r="51" spans="1:12" ht="12.75" customHeight="1" x14ac:dyDescent="0.25">
      <c r="A51" s="323"/>
      <c r="C51" s="272"/>
      <c r="D51" s="75"/>
      <c r="E51" s="324"/>
      <c r="F51" s="75"/>
      <c r="G51" s="324"/>
      <c r="H51" s="75"/>
      <c r="I51" s="273"/>
      <c r="J51" s="75"/>
      <c r="L51" s="75"/>
    </row>
    <row r="52" spans="1:12" ht="13.5" customHeight="1" x14ac:dyDescent="0.25">
      <c r="A52" s="323"/>
      <c r="C52" s="272"/>
      <c r="D52" s="75"/>
      <c r="E52" s="324"/>
      <c r="F52" s="75"/>
      <c r="G52" s="324"/>
      <c r="H52" s="75"/>
      <c r="I52" s="273"/>
      <c r="J52" s="75"/>
      <c r="L52" s="75"/>
    </row>
    <row r="53" spans="1:12" ht="13.5" customHeight="1" x14ac:dyDescent="0.25">
      <c r="A53" s="323"/>
      <c r="C53" s="272"/>
      <c r="D53" s="75"/>
      <c r="E53" s="324"/>
      <c r="F53" s="75"/>
      <c r="G53" s="324"/>
      <c r="H53" s="75"/>
      <c r="I53" s="273"/>
      <c r="J53" s="75"/>
      <c r="L53" s="75"/>
    </row>
    <row r="54" spans="1:12" ht="12.75" customHeight="1" x14ac:dyDescent="0.25">
      <c r="A54" s="323"/>
      <c r="C54" s="272"/>
      <c r="D54" s="75"/>
      <c r="E54" s="324"/>
      <c r="F54" s="75"/>
      <c r="G54" s="324"/>
      <c r="H54" s="75"/>
      <c r="I54" s="273"/>
      <c r="J54" s="75"/>
      <c r="L54" s="75"/>
    </row>
    <row r="55" spans="1:12" ht="12.75" customHeight="1" x14ac:dyDescent="0.25">
      <c r="A55" s="323"/>
      <c r="C55" s="272"/>
      <c r="D55" s="75"/>
      <c r="E55" s="324"/>
      <c r="F55" s="75"/>
      <c r="G55" s="324"/>
      <c r="H55" s="75"/>
      <c r="I55" s="273"/>
      <c r="J55" s="75"/>
      <c r="L55" s="75"/>
    </row>
    <row r="56" spans="1:12" ht="12.75" customHeight="1" x14ac:dyDescent="0.25">
      <c r="A56" s="323"/>
      <c r="C56" s="272"/>
      <c r="D56" s="75"/>
      <c r="E56" s="324"/>
      <c r="F56" s="75"/>
      <c r="G56" s="324"/>
      <c r="H56" s="75"/>
      <c r="I56" s="273"/>
      <c r="J56" s="75"/>
      <c r="L56" s="75"/>
    </row>
    <row r="57" spans="1:12" ht="12.75" customHeight="1" x14ac:dyDescent="0.25">
      <c r="A57" s="323"/>
      <c r="C57" s="272"/>
      <c r="D57" s="75"/>
      <c r="E57" s="324"/>
      <c r="F57" s="75"/>
      <c r="G57" s="324"/>
      <c r="H57" s="75"/>
      <c r="I57" s="273"/>
      <c r="J57" s="75"/>
      <c r="L57" s="75"/>
    </row>
    <row r="58" spans="1:12" ht="12.75" customHeight="1" x14ac:dyDescent="0.25">
      <c r="A58" s="323"/>
      <c r="C58" s="272"/>
      <c r="D58" s="75"/>
      <c r="E58" s="324"/>
      <c r="F58" s="75"/>
      <c r="G58" s="324"/>
      <c r="H58" s="75"/>
      <c r="I58" s="273"/>
      <c r="J58" s="75"/>
      <c r="L58" s="75"/>
    </row>
    <row r="59" spans="1:12" ht="12.75" customHeight="1" x14ac:dyDescent="0.25">
      <c r="A59" s="323"/>
      <c r="C59" s="272"/>
      <c r="D59" s="75"/>
      <c r="E59" s="324"/>
      <c r="F59" s="75"/>
      <c r="G59" s="324"/>
      <c r="H59" s="75"/>
      <c r="I59" s="273"/>
      <c r="J59" s="75"/>
      <c r="L59" s="75"/>
    </row>
    <row r="60" spans="1:12" ht="12.75" customHeight="1" x14ac:dyDescent="0.25">
      <c r="A60" s="323"/>
      <c r="C60" s="272"/>
      <c r="D60" s="75"/>
      <c r="E60" s="324"/>
      <c r="F60" s="75"/>
      <c r="G60" s="324"/>
      <c r="H60" s="75"/>
      <c r="I60" s="273"/>
      <c r="J60" s="75"/>
      <c r="L60" s="75"/>
    </row>
    <row r="61" spans="1:12" ht="12.75" customHeight="1" x14ac:dyDescent="0.25">
      <c r="A61" s="323"/>
      <c r="C61" s="272"/>
      <c r="D61" s="75"/>
      <c r="E61" s="324"/>
      <c r="F61" s="75"/>
      <c r="G61" s="324"/>
      <c r="H61" s="75"/>
      <c r="I61" s="273"/>
      <c r="J61" s="75"/>
      <c r="L61" s="75"/>
    </row>
    <row r="62" spans="1:12" ht="12.75" customHeight="1" x14ac:dyDescent="0.25">
      <c r="A62" s="323"/>
      <c r="C62" s="272"/>
      <c r="D62" s="75"/>
      <c r="E62" s="324"/>
      <c r="F62" s="75"/>
      <c r="G62" s="324"/>
      <c r="H62" s="75"/>
      <c r="I62" s="273"/>
      <c r="J62" s="75"/>
      <c r="L62" s="75"/>
    </row>
    <row r="63" spans="1:12" ht="12.75" customHeight="1" x14ac:dyDescent="0.25">
      <c r="A63" s="323"/>
      <c r="C63" s="272"/>
      <c r="D63" s="75"/>
      <c r="E63" s="324"/>
      <c r="F63" s="75"/>
      <c r="G63" s="324"/>
      <c r="H63" s="75"/>
      <c r="I63" s="273"/>
      <c r="J63" s="75"/>
      <c r="L63" s="75"/>
    </row>
    <row r="64" spans="1:12" ht="13.5" customHeight="1" x14ac:dyDescent="0.25">
      <c r="A64" s="323"/>
      <c r="C64" s="325"/>
      <c r="D64" s="75"/>
      <c r="E64" s="324"/>
      <c r="F64" s="75"/>
      <c r="G64" s="324"/>
      <c r="H64" s="75"/>
      <c r="I64" s="273"/>
      <c r="J64" s="75"/>
      <c r="K64" s="326"/>
      <c r="L64" s="75"/>
    </row>
    <row r="65" spans="1:12" ht="13.5" customHeight="1" x14ac:dyDescent="0.25">
      <c r="A65" s="323"/>
      <c r="C65" s="325"/>
      <c r="D65" s="75"/>
      <c r="E65" s="324"/>
      <c r="F65" s="75"/>
      <c r="G65" s="324"/>
      <c r="H65" s="75"/>
      <c r="I65" s="273"/>
      <c r="J65" s="75"/>
      <c r="K65" s="326"/>
      <c r="L65" s="75"/>
    </row>
    <row r="66" spans="1:12" ht="13.5" customHeight="1" x14ac:dyDescent="0.25">
      <c r="A66" s="323"/>
      <c r="C66" s="272"/>
      <c r="D66" s="75"/>
      <c r="E66" s="324"/>
      <c r="F66" s="75"/>
      <c r="G66" s="324"/>
      <c r="H66" s="75"/>
      <c r="I66" s="273"/>
      <c r="J66" s="75"/>
      <c r="L66" s="75"/>
    </row>
    <row r="67" spans="1:12" ht="13.5" customHeight="1" x14ac:dyDescent="0.25">
      <c r="A67" s="323"/>
      <c r="C67" s="272"/>
      <c r="D67" s="75"/>
      <c r="E67" s="324"/>
      <c r="F67" s="75"/>
      <c r="G67" s="324"/>
      <c r="H67" s="75"/>
      <c r="I67" s="273"/>
      <c r="J67" s="75"/>
      <c r="L67" s="75"/>
    </row>
    <row r="68" spans="1:12" ht="13.5" customHeight="1" x14ac:dyDescent="0.25">
      <c r="A68" s="323"/>
      <c r="C68" s="272"/>
      <c r="D68" s="75"/>
      <c r="E68" s="324"/>
      <c r="F68" s="75"/>
      <c r="G68" s="324"/>
      <c r="H68" s="75"/>
      <c r="I68" s="273"/>
      <c r="J68" s="75"/>
      <c r="L68" s="75"/>
    </row>
    <row r="69" spans="1:12" ht="13.5" customHeight="1" x14ac:dyDescent="0.25">
      <c r="A69" s="323"/>
      <c r="C69" s="272"/>
      <c r="D69" s="75"/>
      <c r="E69" s="324"/>
      <c r="F69" s="75"/>
      <c r="G69" s="324"/>
      <c r="H69" s="75"/>
      <c r="I69" s="273"/>
      <c r="J69" s="75"/>
      <c r="L69" s="75"/>
    </row>
    <row r="70" spans="1:12" ht="13.5" customHeight="1" x14ac:dyDescent="0.25">
      <c r="A70" s="323"/>
      <c r="C70" s="272"/>
      <c r="D70" s="75"/>
      <c r="E70" s="324"/>
      <c r="F70" s="75"/>
      <c r="G70" s="324"/>
      <c r="H70" s="75"/>
      <c r="I70" s="273"/>
      <c r="J70" s="75"/>
      <c r="L70" s="75"/>
    </row>
    <row r="71" spans="1:12" ht="13.5" customHeight="1" x14ac:dyDescent="0.25">
      <c r="A71" s="323"/>
      <c r="C71" s="272"/>
      <c r="D71" s="75"/>
      <c r="E71" s="324"/>
      <c r="F71" s="75"/>
      <c r="G71" s="324"/>
      <c r="H71" s="75"/>
      <c r="I71" s="273"/>
      <c r="J71" s="75"/>
      <c r="L71" s="75"/>
    </row>
    <row r="72" spans="1:12" ht="13.5" customHeight="1" x14ac:dyDescent="0.25">
      <c r="A72" s="323"/>
      <c r="C72" s="272"/>
      <c r="D72" s="75"/>
      <c r="E72" s="324"/>
      <c r="F72" s="75"/>
      <c r="G72" s="324"/>
      <c r="H72" s="75"/>
      <c r="I72" s="273"/>
      <c r="J72" s="75"/>
      <c r="L72" s="75"/>
    </row>
    <row r="73" spans="1:12" ht="13.5" customHeight="1" x14ac:dyDescent="0.25">
      <c r="A73" s="323"/>
      <c r="C73" s="272"/>
      <c r="D73" s="75"/>
      <c r="E73" s="324"/>
      <c r="F73" s="75"/>
      <c r="G73" s="324"/>
      <c r="H73" s="75"/>
      <c r="I73" s="273"/>
      <c r="J73" s="75"/>
      <c r="L73" s="75"/>
    </row>
    <row r="74" spans="1:12" ht="13.5" customHeight="1" x14ac:dyDescent="0.25">
      <c r="A74" s="323"/>
      <c r="C74" s="272"/>
      <c r="D74" s="75"/>
      <c r="E74" s="324"/>
      <c r="F74" s="75"/>
      <c r="G74" s="324"/>
      <c r="H74" s="75"/>
      <c r="I74" s="273"/>
      <c r="J74" s="75"/>
      <c r="L74" s="75"/>
    </row>
    <row r="75" spans="1:12" ht="13.5" customHeight="1" x14ac:dyDescent="0.25">
      <c r="A75" s="323"/>
      <c r="C75" s="272"/>
      <c r="D75" s="75"/>
      <c r="E75" s="324"/>
      <c r="F75" s="75"/>
      <c r="G75" s="324"/>
      <c r="H75" s="75"/>
      <c r="I75" s="273"/>
      <c r="J75" s="75"/>
      <c r="L75" s="75"/>
    </row>
    <row r="76" spans="1:12" ht="13.5" customHeight="1" x14ac:dyDescent="0.25">
      <c r="A76" s="323"/>
      <c r="C76" s="272"/>
      <c r="D76" s="75"/>
      <c r="E76" s="324"/>
      <c r="F76" s="75"/>
      <c r="G76" s="324"/>
      <c r="H76" s="75"/>
      <c r="I76" s="273"/>
      <c r="J76" s="75"/>
      <c r="K76" s="326"/>
      <c r="L76" s="75"/>
    </row>
    <row r="77" spans="1:12" ht="12" customHeight="1" x14ac:dyDescent="0.25">
      <c r="A77" s="323"/>
      <c r="C77" s="272"/>
      <c r="D77" s="75"/>
      <c r="E77" s="324"/>
      <c r="F77" s="75"/>
      <c r="G77" s="324"/>
      <c r="H77" s="75"/>
      <c r="I77" s="273"/>
      <c r="J77" s="75"/>
      <c r="K77" s="326"/>
      <c r="L77" s="75"/>
    </row>
    <row r="78" spans="1:12" ht="12" customHeight="1" x14ac:dyDescent="0.25">
      <c r="A78" s="323"/>
      <c r="C78" s="272"/>
      <c r="D78" s="75"/>
      <c r="E78" s="324"/>
      <c r="F78" s="75"/>
      <c r="G78" s="324"/>
      <c r="H78" s="75"/>
      <c r="I78" s="273"/>
      <c r="J78" s="75"/>
      <c r="K78" s="326"/>
      <c r="L78" s="75"/>
    </row>
    <row r="79" spans="1:12" ht="12" customHeight="1" x14ac:dyDescent="0.25">
      <c r="A79" s="323"/>
      <c r="C79" s="272"/>
      <c r="D79" s="75"/>
      <c r="E79" s="324"/>
      <c r="F79" s="75"/>
      <c r="G79" s="324"/>
      <c r="H79" s="75"/>
      <c r="I79" s="273"/>
      <c r="J79" s="75"/>
      <c r="L79" s="75"/>
    </row>
    <row r="80" spans="1:12" ht="12" customHeight="1" x14ac:dyDescent="0.25">
      <c r="A80" s="323"/>
      <c r="C80" s="272"/>
      <c r="D80" s="75"/>
      <c r="E80" s="324"/>
      <c r="F80" s="75"/>
      <c r="G80" s="324"/>
      <c r="H80" s="75"/>
      <c r="I80" s="273"/>
      <c r="J80" s="75"/>
      <c r="L80" s="75"/>
    </row>
    <row r="81" spans="1:12" ht="12" customHeight="1" x14ac:dyDescent="0.25">
      <c r="A81" s="323"/>
      <c r="C81" s="272"/>
      <c r="D81" s="75"/>
      <c r="E81" s="324"/>
      <c r="F81" s="75"/>
      <c r="G81" s="324"/>
      <c r="H81" s="75"/>
      <c r="I81" s="273"/>
      <c r="J81" s="75"/>
      <c r="L81" s="75"/>
    </row>
    <row r="82" spans="1:12" ht="12.75" customHeight="1" x14ac:dyDescent="0.25">
      <c r="A82" s="323"/>
      <c r="C82" s="272"/>
      <c r="D82" s="75"/>
      <c r="E82" s="324"/>
      <c r="F82" s="75"/>
      <c r="G82" s="324"/>
      <c r="H82" s="75"/>
      <c r="I82" s="273"/>
      <c r="J82" s="75"/>
      <c r="L82" s="75"/>
    </row>
    <row r="83" spans="1:12" ht="12" customHeight="1" x14ac:dyDescent="0.25">
      <c r="A83" s="323"/>
      <c r="C83" s="272"/>
      <c r="D83" s="75"/>
      <c r="E83" s="324"/>
      <c r="F83" s="75"/>
      <c r="G83" s="324"/>
      <c r="H83" s="75"/>
      <c r="I83" s="273"/>
      <c r="J83" s="75"/>
      <c r="L83" s="75"/>
    </row>
    <row r="84" spans="1:12" ht="12.75" customHeight="1" x14ac:dyDescent="0.25">
      <c r="A84" s="323"/>
      <c r="C84" s="272"/>
      <c r="D84" s="75"/>
      <c r="E84" s="324"/>
      <c r="F84" s="75"/>
      <c r="G84" s="324"/>
      <c r="H84" s="75"/>
      <c r="I84" s="273"/>
      <c r="J84" s="75"/>
      <c r="L84" s="75"/>
    </row>
    <row r="85" spans="1:12" ht="12.75" customHeight="1" x14ac:dyDescent="0.25">
      <c r="A85" s="323"/>
      <c r="C85" s="272"/>
      <c r="D85" s="75"/>
      <c r="E85" s="324"/>
      <c r="F85" s="75"/>
      <c r="G85" s="324"/>
      <c r="H85" s="75"/>
      <c r="I85" s="273"/>
      <c r="J85" s="75"/>
      <c r="L85" s="75"/>
    </row>
    <row r="86" spans="1:12" ht="12.75" customHeight="1" x14ac:dyDescent="0.25">
      <c r="A86" s="323"/>
      <c r="C86" s="272"/>
      <c r="D86" s="75"/>
      <c r="E86" s="324"/>
      <c r="F86" s="75"/>
      <c r="G86" s="324"/>
      <c r="H86" s="75"/>
      <c r="I86" s="273"/>
      <c r="J86" s="75"/>
      <c r="L86" s="75"/>
    </row>
    <row r="87" spans="1:12" ht="12" customHeight="1" x14ac:dyDescent="0.25">
      <c r="A87" s="323"/>
      <c r="C87" s="272"/>
      <c r="D87" s="75"/>
      <c r="E87" s="324"/>
      <c r="F87" s="75"/>
      <c r="G87" s="324"/>
      <c r="H87" s="75"/>
      <c r="I87" s="273"/>
      <c r="J87" s="75"/>
      <c r="L87" s="75"/>
    </row>
    <row r="88" spans="1:12" ht="12.75" customHeight="1" x14ac:dyDescent="0.25">
      <c r="A88" s="323"/>
      <c r="C88" s="272"/>
      <c r="D88" s="75"/>
      <c r="E88" s="324"/>
      <c r="F88" s="75"/>
      <c r="G88" s="324"/>
      <c r="H88" s="75"/>
      <c r="I88" s="273"/>
      <c r="J88" s="75"/>
      <c r="L88" s="75"/>
    </row>
    <row r="89" spans="1:12" ht="12.75" customHeight="1" x14ac:dyDescent="0.25">
      <c r="A89" s="323"/>
      <c r="C89" s="272"/>
      <c r="D89" s="75"/>
      <c r="E89" s="324"/>
      <c r="F89" s="75"/>
      <c r="G89" s="324"/>
      <c r="H89" s="75"/>
      <c r="I89" s="273"/>
      <c r="J89" s="75"/>
      <c r="L89" s="75"/>
    </row>
    <row r="90" spans="1:12" ht="12.75" customHeight="1" x14ac:dyDescent="0.25">
      <c r="A90" s="323"/>
      <c r="C90" s="272"/>
      <c r="D90" s="75"/>
      <c r="E90" s="324"/>
      <c r="F90" s="75"/>
      <c r="G90" s="324"/>
      <c r="H90" s="75"/>
      <c r="I90" s="273"/>
      <c r="J90" s="75"/>
      <c r="L90" s="75"/>
    </row>
    <row r="91" spans="1:12" ht="12.75" customHeight="1" x14ac:dyDescent="0.25">
      <c r="A91" s="323"/>
      <c r="C91" s="272"/>
      <c r="D91" s="75"/>
      <c r="E91" s="324"/>
      <c r="F91" s="75"/>
      <c r="G91" s="324"/>
      <c r="H91" s="75"/>
      <c r="I91" s="273"/>
      <c r="J91" s="75"/>
      <c r="L91" s="75"/>
    </row>
    <row r="92" spans="1:12" ht="12.75" customHeight="1" x14ac:dyDescent="0.25">
      <c r="A92" s="323"/>
      <c r="C92" s="272"/>
      <c r="D92" s="75"/>
      <c r="E92" s="324"/>
      <c r="F92" s="75"/>
      <c r="G92" s="324"/>
      <c r="H92" s="75"/>
      <c r="I92" s="273"/>
      <c r="J92" s="75"/>
      <c r="L92" s="75"/>
    </row>
    <row r="93" spans="1:12" ht="12.75" customHeight="1" x14ac:dyDescent="0.25">
      <c r="A93" s="323"/>
      <c r="C93" s="272"/>
      <c r="D93" s="75"/>
      <c r="E93" s="324"/>
      <c r="F93" s="75"/>
      <c r="G93" s="324"/>
      <c r="H93" s="75"/>
      <c r="I93" s="273"/>
      <c r="J93" s="75"/>
      <c r="L93" s="75"/>
    </row>
    <row r="94" spans="1:12" ht="13.5" customHeight="1" x14ac:dyDescent="0.25">
      <c r="A94" s="323"/>
      <c r="C94" s="272"/>
      <c r="D94" s="75"/>
      <c r="E94" s="324"/>
      <c r="F94" s="75"/>
      <c r="G94" s="324"/>
      <c r="H94" s="75"/>
      <c r="I94" s="273"/>
      <c r="J94" s="75"/>
      <c r="L94" s="75"/>
    </row>
    <row r="95" spans="1:12" ht="13.5" customHeight="1" x14ac:dyDescent="0.25">
      <c r="A95" s="323"/>
      <c r="C95" s="272"/>
      <c r="D95" s="75"/>
      <c r="E95" s="324"/>
      <c r="F95" s="75"/>
      <c r="G95" s="324"/>
      <c r="H95" s="75"/>
      <c r="I95" s="273"/>
      <c r="J95" s="75"/>
      <c r="L95" s="75"/>
    </row>
    <row r="96" spans="1:12" ht="12.75" customHeight="1" x14ac:dyDescent="0.25">
      <c r="A96" s="323"/>
      <c r="C96" s="272"/>
      <c r="D96" s="75"/>
      <c r="E96" s="324"/>
      <c r="F96" s="75"/>
      <c r="G96" s="324"/>
      <c r="H96" s="75"/>
      <c r="I96" s="273"/>
      <c r="J96" s="75"/>
      <c r="L96" s="75"/>
    </row>
    <row r="97" spans="3:12" ht="12.75" customHeight="1" x14ac:dyDescent="0.25">
      <c r="C97" s="272"/>
      <c r="D97" s="75"/>
      <c r="E97" s="324"/>
      <c r="F97" s="75"/>
      <c r="G97" s="324"/>
      <c r="H97" s="75"/>
      <c r="I97" s="273"/>
      <c r="J97" s="75"/>
      <c r="L97" s="75"/>
    </row>
    <row r="98" spans="3:12" ht="12.75" customHeight="1" x14ac:dyDescent="0.25">
      <c r="C98" s="272"/>
      <c r="D98" s="75"/>
      <c r="E98" s="324"/>
      <c r="F98" s="75"/>
      <c r="G98" s="324"/>
      <c r="H98" s="75"/>
      <c r="I98" s="273"/>
      <c r="J98" s="75"/>
      <c r="L98" s="75"/>
    </row>
    <row r="99" spans="3:12" ht="12.75" customHeight="1" x14ac:dyDescent="0.25">
      <c r="C99" s="272"/>
      <c r="D99" s="75"/>
      <c r="E99" s="324"/>
      <c r="F99" s="75"/>
      <c r="G99" s="324"/>
      <c r="H99" s="75"/>
      <c r="I99" s="273"/>
      <c r="J99" s="75"/>
      <c r="L99" s="75"/>
    </row>
    <row r="100" spans="3:12" ht="12.75" customHeight="1" x14ac:dyDescent="0.25">
      <c r="C100" s="272"/>
      <c r="D100" s="75"/>
      <c r="E100" s="324"/>
      <c r="F100" s="75"/>
      <c r="G100" s="324"/>
      <c r="H100" s="75"/>
      <c r="I100" s="273"/>
      <c r="J100" s="75"/>
      <c r="L100" s="75"/>
    </row>
    <row r="101" spans="3:12" ht="12.75" customHeight="1" x14ac:dyDescent="0.25">
      <c r="C101" s="272"/>
      <c r="D101" s="75"/>
      <c r="E101" s="324"/>
      <c r="F101" s="75"/>
      <c r="G101" s="324"/>
      <c r="H101" s="75"/>
      <c r="I101" s="273"/>
      <c r="J101" s="75"/>
      <c r="L101" s="75"/>
    </row>
    <row r="102" spans="3:12" ht="12.75" customHeight="1" x14ac:dyDescent="0.25">
      <c r="C102" s="272"/>
      <c r="D102" s="75"/>
      <c r="E102" s="324"/>
      <c r="F102" s="75"/>
      <c r="G102" s="324"/>
      <c r="H102" s="75"/>
      <c r="I102" s="273"/>
      <c r="J102" s="75"/>
      <c r="L102" s="75"/>
    </row>
    <row r="103" spans="3:12" ht="12.75" customHeight="1" x14ac:dyDescent="0.25">
      <c r="C103" s="272"/>
      <c r="D103" s="75"/>
      <c r="E103" s="324"/>
      <c r="F103" s="75"/>
      <c r="G103" s="324"/>
      <c r="H103" s="75"/>
      <c r="I103" s="273"/>
      <c r="J103" s="75"/>
      <c r="L103" s="75"/>
    </row>
    <row r="104" spans="3:12" ht="12.75" customHeight="1" x14ac:dyDescent="0.25">
      <c r="C104" s="272"/>
      <c r="D104" s="75"/>
      <c r="E104" s="324"/>
      <c r="F104" s="75"/>
      <c r="G104" s="324"/>
      <c r="H104" s="75"/>
      <c r="I104" s="273"/>
      <c r="J104" s="75"/>
      <c r="L104" s="75"/>
    </row>
    <row r="105" spans="3:12" ht="12.75" customHeight="1" x14ac:dyDescent="0.25">
      <c r="C105" s="272"/>
      <c r="D105" s="75"/>
      <c r="E105" s="324"/>
      <c r="F105" s="75"/>
      <c r="G105" s="324"/>
      <c r="H105" s="75"/>
      <c r="I105" s="273"/>
      <c r="J105" s="75"/>
      <c r="L105" s="75"/>
    </row>
    <row r="106" spans="3:12" ht="12.75" customHeight="1" x14ac:dyDescent="0.25">
      <c r="C106" s="272"/>
      <c r="D106" s="75"/>
      <c r="E106" s="324"/>
      <c r="F106" s="75"/>
      <c r="G106" s="324"/>
      <c r="H106" s="75"/>
      <c r="I106" s="273"/>
      <c r="J106" s="75"/>
      <c r="L106" s="75"/>
    </row>
    <row r="107" spans="3:12" ht="12.75" customHeight="1" x14ac:dyDescent="0.25">
      <c r="C107" s="272"/>
      <c r="D107" s="75"/>
      <c r="E107" s="324"/>
      <c r="F107" s="75"/>
      <c r="G107" s="324"/>
      <c r="H107" s="75"/>
      <c r="I107" s="273"/>
      <c r="J107" s="75"/>
      <c r="L107" s="75"/>
    </row>
    <row r="108" spans="3:12" ht="12.75" customHeight="1" x14ac:dyDescent="0.25">
      <c r="C108" s="272"/>
      <c r="D108" s="75"/>
      <c r="E108" s="324"/>
      <c r="F108" s="75"/>
      <c r="G108" s="324"/>
      <c r="H108" s="75"/>
      <c r="I108" s="273"/>
      <c r="J108" s="75"/>
      <c r="L108" s="75"/>
    </row>
    <row r="109" spans="3:12" ht="12.75" customHeight="1" x14ac:dyDescent="0.25">
      <c r="C109" s="272"/>
      <c r="D109" s="75"/>
      <c r="E109" s="324"/>
      <c r="F109" s="75"/>
      <c r="G109" s="324"/>
      <c r="H109" s="75"/>
      <c r="I109" s="273"/>
      <c r="J109" s="75"/>
      <c r="L109" s="75"/>
    </row>
    <row r="110" spans="3:12" ht="13.5" customHeight="1" x14ac:dyDescent="0.25">
      <c r="C110" s="272"/>
      <c r="D110" s="75"/>
      <c r="E110" s="324"/>
      <c r="F110" s="75"/>
      <c r="G110" s="324"/>
      <c r="H110" s="75"/>
      <c r="I110" s="273"/>
      <c r="J110" s="75"/>
      <c r="L110" s="75"/>
    </row>
    <row r="111" spans="3:12" ht="13.5" customHeight="1" x14ac:dyDescent="0.25">
      <c r="C111" s="272"/>
      <c r="D111" s="75"/>
      <c r="E111" s="324"/>
      <c r="F111" s="75"/>
      <c r="G111" s="324"/>
      <c r="H111" s="75"/>
      <c r="I111" s="273"/>
      <c r="J111" s="75"/>
      <c r="L111" s="75"/>
    </row>
    <row r="112" spans="3:12" ht="13.5" customHeight="1" x14ac:dyDescent="0.25">
      <c r="C112" s="272"/>
      <c r="D112" s="75"/>
      <c r="E112" s="324"/>
      <c r="F112" s="75"/>
      <c r="G112" s="324"/>
      <c r="H112" s="75"/>
      <c r="I112" s="273"/>
      <c r="J112" s="75"/>
      <c r="L112" s="75"/>
    </row>
    <row r="113" spans="3:12" ht="13.5" customHeight="1" x14ac:dyDescent="0.25">
      <c r="C113" s="272"/>
      <c r="D113" s="75"/>
      <c r="E113" s="324"/>
      <c r="F113" s="75"/>
      <c r="G113" s="324"/>
      <c r="H113" s="75"/>
      <c r="I113" s="273"/>
      <c r="J113" s="75"/>
      <c r="L113" s="75"/>
    </row>
    <row r="114" spans="3:12" ht="13.5" customHeight="1" x14ac:dyDescent="0.25">
      <c r="C114" s="272"/>
      <c r="D114" s="75"/>
      <c r="E114" s="324"/>
      <c r="F114" s="75"/>
      <c r="G114" s="324"/>
      <c r="H114" s="75"/>
      <c r="I114" s="273"/>
      <c r="J114" s="75"/>
      <c r="L114" s="75"/>
    </row>
    <row r="115" spans="3:12" ht="13.5" customHeight="1" x14ac:dyDescent="0.25">
      <c r="C115" s="272"/>
      <c r="D115" s="75"/>
      <c r="E115" s="324"/>
      <c r="F115" s="75"/>
      <c r="G115" s="324"/>
      <c r="H115" s="75"/>
      <c r="I115" s="273"/>
      <c r="J115" s="75"/>
      <c r="L115" s="75"/>
    </row>
    <row r="116" spans="3:12" ht="13.5" customHeight="1" x14ac:dyDescent="0.25">
      <c r="C116" s="272"/>
      <c r="D116" s="75"/>
      <c r="E116" s="324"/>
      <c r="F116" s="75"/>
      <c r="G116" s="324"/>
      <c r="H116" s="75"/>
      <c r="I116" s="273"/>
      <c r="J116" s="75"/>
      <c r="L116" s="75"/>
    </row>
    <row r="117" spans="3:12" ht="13.5" customHeight="1" x14ac:dyDescent="0.25">
      <c r="C117" s="272"/>
      <c r="D117" s="75"/>
      <c r="E117" s="324"/>
      <c r="F117" s="75"/>
      <c r="G117" s="324"/>
      <c r="H117" s="75"/>
      <c r="I117" s="273"/>
      <c r="J117" s="75"/>
      <c r="L117" s="75"/>
    </row>
    <row r="118" spans="3:12" ht="13.5" customHeight="1" x14ac:dyDescent="0.25">
      <c r="C118" s="272"/>
      <c r="D118" s="75"/>
      <c r="E118" s="324"/>
      <c r="F118" s="75"/>
      <c r="G118" s="324"/>
      <c r="H118" s="75"/>
      <c r="I118" s="273"/>
      <c r="J118" s="75"/>
      <c r="L118" s="75"/>
    </row>
    <row r="119" spans="3:12" ht="13.5" customHeight="1" x14ac:dyDescent="0.25">
      <c r="C119" s="272"/>
      <c r="D119" s="75"/>
      <c r="E119" s="324"/>
      <c r="F119" s="75"/>
      <c r="G119" s="324"/>
      <c r="H119" s="75"/>
      <c r="I119" s="273"/>
      <c r="J119" s="75"/>
      <c r="L119" s="75"/>
    </row>
    <row r="120" spans="3:12" ht="13.5" customHeight="1" x14ac:dyDescent="0.25">
      <c r="C120" s="272"/>
      <c r="D120" s="75"/>
      <c r="E120" s="324"/>
      <c r="F120" s="75"/>
      <c r="G120" s="324"/>
      <c r="H120" s="75"/>
      <c r="I120" s="273"/>
      <c r="J120" s="75"/>
      <c r="L120" s="75"/>
    </row>
    <row r="121" spans="3:12" ht="13.5" customHeight="1" x14ac:dyDescent="0.25">
      <c r="C121" s="272"/>
      <c r="D121" s="75"/>
      <c r="E121" s="324"/>
      <c r="F121" s="75"/>
      <c r="G121" s="324"/>
      <c r="H121" s="75"/>
      <c r="I121" s="273"/>
      <c r="J121" s="75"/>
      <c r="L121" s="75"/>
    </row>
    <row r="122" spans="3:12" ht="13.5" customHeight="1" x14ac:dyDescent="0.25">
      <c r="C122" s="272"/>
      <c r="D122" s="75"/>
      <c r="E122" s="324"/>
      <c r="F122" s="75"/>
      <c r="G122" s="324"/>
      <c r="H122" s="75"/>
      <c r="I122" s="273"/>
      <c r="J122" s="75"/>
      <c r="L122" s="75"/>
    </row>
    <row r="123" spans="3:12" ht="13.5" customHeight="1" x14ac:dyDescent="0.25">
      <c r="C123" s="272"/>
      <c r="D123" s="75"/>
      <c r="E123" s="324"/>
      <c r="F123" s="75"/>
      <c r="G123" s="324"/>
      <c r="H123" s="75"/>
      <c r="I123" s="273"/>
      <c r="J123" s="75"/>
      <c r="L123" s="75"/>
    </row>
    <row r="124" spans="3:12" ht="13.5" customHeight="1" x14ac:dyDescent="0.25">
      <c r="C124" s="272"/>
      <c r="D124" s="75"/>
      <c r="E124" s="324"/>
      <c r="F124" s="75"/>
      <c r="G124" s="324"/>
      <c r="H124" s="75"/>
      <c r="I124" s="273"/>
      <c r="J124" s="75"/>
      <c r="L124" s="75"/>
    </row>
    <row r="125" spans="3:12" ht="13.5" customHeight="1" x14ac:dyDescent="0.25">
      <c r="C125" s="272"/>
      <c r="D125" s="75"/>
      <c r="E125" s="324"/>
      <c r="F125" s="75"/>
      <c r="G125" s="324"/>
      <c r="H125" s="75"/>
      <c r="I125" s="273"/>
      <c r="J125" s="75"/>
      <c r="L125" s="75"/>
    </row>
    <row r="126" spans="3:12" ht="13.5" customHeight="1" x14ac:dyDescent="0.25">
      <c r="C126" s="272"/>
      <c r="D126" s="75"/>
      <c r="E126" s="324"/>
      <c r="F126" s="75"/>
      <c r="G126" s="324"/>
      <c r="H126" s="75"/>
      <c r="I126" s="273"/>
      <c r="J126" s="75"/>
      <c r="L126" s="75"/>
    </row>
    <row r="127" spans="3:12" ht="13.5" customHeight="1" x14ac:dyDescent="0.25">
      <c r="C127" s="272"/>
      <c r="D127" s="75"/>
      <c r="E127" s="324"/>
      <c r="F127" s="75"/>
      <c r="G127" s="324"/>
      <c r="H127" s="75"/>
      <c r="I127" s="273"/>
      <c r="J127" s="75"/>
      <c r="L127" s="75"/>
    </row>
    <row r="128" spans="3:12" ht="13.5" customHeight="1" x14ac:dyDescent="0.25">
      <c r="C128" s="272"/>
      <c r="D128" s="75"/>
      <c r="E128" s="324"/>
      <c r="F128" s="75"/>
      <c r="G128" s="324"/>
      <c r="H128" s="75"/>
      <c r="I128" s="273"/>
      <c r="J128" s="75"/>
      <c r="L128" s="75"/>
    </row>
    <row r="129" spans="3:12" ht="13.5" customHeight="1" x14ac:dyDescent="0.25">
      <c r="C129" s="272"/>
      <c r="D129" s="75"/>
      <c r="E129" s="324"/>
      <c r="F129" s="75"/>
      <c r="G129" s="324"/>
      <c r="H129" s="75"/>
      <c r="I129" s="273"/>
      <c r="J129" s="75"/>
      <c r="L129" s="75"/>
    </row>
    <row r="130" spans="3:12" ht="13.5" customHeight="1" x14ac:dyDescent="0.25">
      <c r="C130" s="272"/>
      <c r="D130" s="75"/>
      <c r="E130" s="324"/>
      <c r="F130" s="75"/>
      <c r="G130" s="324"/>
      <c r="H130" s="75"/>
      <c r="I130" s="273"/>
      <c r="J130" s="75"/>
      <c r="L130" s="75"/>
    </row>
    <row r="131" spans="3:12" ht="13.5" customHeight="1" x14ac:dyDescent="0.25">
      <c r="C131" s="272"/>
      <c r="D131" s="75"/>
      <c r="E131" s="324"/>
      <c r="F131" s="75"/>
      <c r="G131" s="324"/>
      <c r="H131" s="75"/>
      <c r="I131" s="273"/>
      <c r="J131" s="75"/>
      <c r="L131" s="75"/>
    </row>
    <row r="132" spans="3:12" ht="13.5" customHeight="1" x14ac:dyDescent="0.25">
      <c r="C132" s="272"/>
      <c r="D132" s="75"/>
      <c r="E132" s="324"/>
      <c r="F132" s="75"/>
      <c r="G132" s="324"/>
      <c r="H132" s="75"/>
      <c r="I132" s="273"/>
      <c r="J132" s="75"/>
      <c r="L132" s="75"/>
    </row>
    <row r="133" spans="3:12" ht="13.5" customHeight="1" x14ac:dyDescent="0.25">
      <c r="C133" s="272"/>
      <c r="D133" s="75"/>
      <c r="E133" s="324"/>
      <c r="F133" s="75"/>
      <c r="G133" s="324"/>
      <c r="H133" s="75"/>
      <c r="I133" s="273"/>
      <c r="J133" s="75"/>
      <c r="L133" s="75"/>
    </row>
    <row r="134" spans="3:12" ht="13.5" customHeight="1" x14ac:dyDescent="0.25">
      <c r="C134" s="272"/>
      <c r="D134" s="75"/>
      <c r="E134" s="324"/>
      <c r="F134" s="75"/>
      <c r="G134" s="324"/>
      <c r="H134" s="75"/>
      <c r="I134" s="273"/>
      <c r="J134" s="75"/>
      <c r="L134" s="75"/>
    </row>
    <row r="135" spans="3:12" ht="13.5" customHeight="1" x14ac:dyDescent="0.25">
      <c r="C135" s="272"/>
      <c r="D135" s="75"/>
      <c r="E135" s="324"/>
      <c r="F135" s="75"/>
      <c r="G135" s="324"/>
      <c r="H135" s="75"/>
      <c r="I135" s="273"/>
      <c r="J135" s="75"/>
      <c r="L135" s="75"/>
    </row>
    <row r="136" spans="3:12" ht="13.5" customHeight="1" x14ac:dyDescent="0.25">
      <c r="C136" s="272"/>
      <c r="D136" s="75"/>
      <c r="E136" s="324"/>
      <c r="F136" s="75"/>
      <c r="G136" s="324"/>
      <c r="H136" s="75"/>
      <c r="I136" s="273"/>
      <c r="J136" s="75"/>
      <c r="L136" s="75"/>
    </row>
    <row r="137" spans="3:12" ht="13.5" customHeight="1" x14ac:dyDescent="0.25">
      <c r="C137" s="272"/>
      <c r="D137" s="75"/>
      <c r="E137" s="324"/>
      <c r="F137" s="75"/>
      <c r="G137" s="324"/>
      <c r="H137" s="75"/>
      <c r="I137" s="273"/>
      <c r="J137" s="75"/>
      <c r="L137" s="75"/>
    </row>
    <row r="138" spans="3:12" ht="13.5" customHeight="1" x14ac:dyDescent="0.25">
      <c r="C138" s="272"/>
      <c r="D138" s="75"/>
      <c r="E138" s="324"/>
      <c r="F138" s="75"/>
      <c r="G138" s="324"/>
      <c r="H138" s="75"/>
      <c r="I138" s="273"/>
      <c r="J138" s="75"/>
      <c r="L138" s="75"/>
    </row>
    <row r="139" spans="3:12" ht="13.5" customHeight="1" x14ac:dyDescent="0.25">
      <c r="C139" s="272"/>
      <c r="D139" s="75"/>
      <c r="E139" s="324"/>
      <c r="F139" s="75"/>
      <c r="G139" s="324"/>
      <c r="H139" s="75"/>
      <c r="I139" s="273"/>
      <c r="J139" s="75"/>
      <c r="L139" s="75"/>
    </row>
    <row r="140" spans="3:12" ht="13.5" customHeight="1" x14ac:dyDescent="0.25">
      <c r="C140" s="272"/>
      <c r="D140" s="75"/>
      <c r="E140" s="324"/>
      <c r="F140" s="75"/>
      <c r="G140" s="324"/>
      <c r="H140" s="75"/>
      <c r="I140" s="273"/>
      <c r="J140" s="75"/>
      <c r="L140" s="75"/>
    </row>
    <row r="141" spans="3:12" ht="13.5" customHeight="1" x14ac:dyDescent="0.25">
      <c r="C141" s="272"/>
      <c r="D141" s="75"/>
      <c r="E141" s="324"/>
      <c r="F141" s="75"/>
      <c r="G141" s="324"/>
      <c r="H141" s="75"/>
      <c r="I141" s="273"/>
      <c r="J141" s="75"/>
      <c r="L141" s="75"/>
    </row>
    <row r="142" spans="3:12" ht="13.5" customHeight="1" x14ac:dyDescent="0.25">
      <c r="C142" s="272"/>
      <c r="D142" s="75"/>
      <c r="E142" s="324"/>
      <c r="F142" s="75"/>
      <c r="G142" s="324"/>
      <c r="H142" s="75"/>
      <c r="I142" s="273"/>
      <c r="J142" s="75"/>
      <c r="L142" s="75"/>
    </row>
    <row r="143" spans="3:12" ht="13.5" customHeight="1" x14ac:dyDescent="0.25">
      <c r="C143" s="272"/>
      <c r="D143" s="75"/>
      <c r="E143" s="324"/>
      <c r="F143" s="75"/>
      <c r="G143" s="324"/>
      <c r="H143" s="75"/>
      <c r="I143" s="273"/>
      <c r="J143" s="75"/>
      <c r="L143" s="75"/>
    </row>
    <row r="144" spans="3:12" ht="13.5" customHeight="1" x14ac:dyDescent="0.25">
      <c r="C144" s="272"/>
      <c r="D144" s="75"/>
      <c r="E144" s="324"/>
      <c r="F144" s="75"/>
      <c r="G144" s="324"/>
      <c r="H144" s="75"/>
      <c r="I144" s="273"/>
      <c r="J144" s="75"/>
      <c r="L144" s="75"/>
    </row>
    <row r="145" spans="3:12" ht="13.5" customHeight="1" x14ac:dyDescent="0.25">
      <c r="C145" s="272"/>
      <c r="D145" s="75"/>
      <c r="E145" s="324"/>
      <c r="F145" s="75"/>
      <c r="G145" s="324"/>
      <c r="H145" s="75"/>
      <c r="I145" s="273"/>
      <c r="J145" s="75"/>
      <c r="L145" s="75"/>
    </row>
    <row r="146" spans="3:12" ht="13.5" customHeight="1" x14ac:dyDescent="0.25">
      <c r="C146" s="272"/>
      <c r="D146" s="75"/>
      <c r="E146" s="324"/>
      <c r="F146" s="75"/>
      <c r="G146" s="324"/>
      <c r="H146" s="75"/>
      <c r="I146" s="273"/>
      <c r="J146" s="75"/>
      <c r="L146" s="75"/>
    </row>
    <row r="147" spans="3:12" ht="13.5" customHeight="1" x14ac:dyDescent="0.25">
      <c r="C147" s="272"/>
      <c r="D147" s="75"/>
      <c r="E147" s="324"/>
      <c r="F147" s="75"/>
      <c r="G147" s="324"/>
      <c r="H147" s="75"/>
      <c r="I147" s="273"/>
      <c r="J147" s="75"/>
      <c r="L147" s="75"/>
    </row>
    <row r="148" spans="3:12" ht="13.5" customHeight="1" x14ac:dyDescent="0.25">
      <c r="C148" s="272"/>
      <c r="D148" s="75"/>
      <c r="E148" s="324"/>
      <c r="F148" s="75"/>
      <c r="G148" s="324"/>
      <c r="H148" s="75"/>
      <c r="I148" s="273"/>
      <c r="J148" s="75"/>
      <c r="L148" s="75"/>
    </row>
    <row r="149" spans="3:12" ht="13.5" customHeight="1" x14ac:dyDescent="0.25">
      <c r="C149" s="272"/>
      <c r="D149" s="75"/>
      <c r="E149" s="324"/>
      <c r="F149" s="75"/>
      <c r="G149" s="324"/>
      <c r="H149" s="75"/>
      <c r="I149" s="273"/>
      <c r="J149" s="75"/>
      <c r="L149" s="75"/>
    </row>
    <row r="150" spans="3:12" ht="13.5" customHeight="1" x14ac:dyDescent="0.25">
      <c r="C150" s="272"/>
      <c r="D150" s="75"/>
      <c r="E150" s="324"/>
      <c r="F150" s="75"/>
      <c r="G150" s="324"/>
      <c r="H150" s="75"/>
      <c r="I150" s="273"/>
      <c r="J150" s="75"/>
      <c r="L150" s="75"/>
    </row>
    <row r="151" spans="3:12" ht="13.5" customHeight="1" x14ac:dyDescent="0.25">
      <c r="C151" s="272"/>
      <c r="D151" s="75"/>
      <c r="E151" s="324"/>
      <c r="F151" s="75"/>
      <c r="G151" s="324"/>
      <c r="H151" s="75"/>
      <c r="I151" s="273"/>
      <c r="J151" s="75"/>
      <c r="L151" s="75"/>
    </row>
    <row r="152" spans="3:12" ht="13.5" customHeight="1" x14ac:dyDescent="0.25">
      <c r="C152" s="272"/>
      <c r="D152" s="75"/>
      <c r="E152" s="324"/>
      <c r="F152" s="75"/>
      <c r="G152" s="324"/>
      <c r="H152" s="75"/>
      <c r="I152" s="273"/>
      <c r="J152" s="75"/>
      <c r="L152" s="75"/>
    </row>
    <row r="153" spans="3:12" ht="13.5" customHeight="1" x14ac:dyDescent="0.25">
      <c r="C153" s="272"/>
      <c r="D153" s="75"/>
      <c r="E153" s="324"/>
      <c r="F153" s="75"/>
      <c r="G153" s="324"/>
      <c r="H153" s="75"/>
      <c r="I153" s="273"/>
      <c r="J153" s="75"/>
      <c r="L153" s="75"/>
    </row>
    <row r="154" spans="3:12" ht="13.5" customHeight="1" x14ac:dyDescent="0.25">
      <c r="C154" s="272"/>
      <c r="D154" s="75"/>
      <c r="E154" s="324"/>
      <c r="F154" s="75"/>
      <c r="G154" s="324"/>
      <c r="H154" s="75"/>
      <c r="I154" s="273"/>
      <c r="J154" s="75"/>
      <c r="L154" s="75"/>
    </row>
    <row r="155" spans="3:12" ht="13.5" customHeight="1" x14ac:dyDescent="0.25">
      <c r="C155" s="272"/>
      <c r="D155" s="75"/>
      <c r="E155" s="324"/>
      <c r="F155" s="75"/>
      <c r="G155" s="324"/>
      <c r="H155" s="75"/>
      <c r="I155" s="273"/>
      <c r="J155" s="75"/>
      <c r="L155" s="75"/>
    </row>
    <row r="156" spans="3:12" ht="13.5" customHeight="1" x14ac:dyDescent="0.25">
      <c r="C156" s="272"/>
      <c r="D156" s="75"/>
      <c r="E156" s="324"/>
      <c r="F156" s="75"/>
      <c r="G156" s="324"/>
      <c r="H156" s="75"/>
      <c r="I156" s="273"/>
      <c r="J156" s="75"/>
      <c r="L156" s="75"/>
    </row>
    <row r="157" spans="3:12" ht="13.5" customHeight="1" x14ac:dyDescent="0.25">
      <c r="C157" s="272"/>
      <c r="D157" s="75"/>
      <c r="E157" s="324"/>
      <c r="F157" s="75"/>
      <c r="G157" s="324"/>
      <c r="H157" s="75"/>
      <c r="I157" s="273"/>
      <c r="J157" s="75"/>
      <c r="L157" s="75"/>
    </row>
    <row r="158" spans="3:12" ht="13.5" customHeight="1" x14ac:dyDescent="0.25">
      <c r="C158" s="272"/>
      <c r="D158" s="75"/>
      <c r="E158" s="324"/>
      <c r="F158" s="75"/>
      <c r="G158" s="324"/>
      <c r="H158" s="75"/>
      <c r="I158" s="273"/>
      <c r="J158" s="75"/>
      <c r="L158" s="75"/>
    </row>
    <row r="159" spans="3:12" ht="13.5" customHeight="1" x14ac:dyDescent="0.25">
      <c r="C159" s="272"/>
      <c r="D159" s="75"/>
      <c r="E159" s="324"/>
      <c r="F159" s="75"/>
      <c r="G159" s="324"/>
      <c r="H159" s="75"/>
      <c r="I159" s="273"/>
      <c r="J159" s="75"/>
      <c r="L159" s="75"/>
    </row>
    <row r="160" spans="3:12" ht="13.5" customHeight="1" x14ac:dyDescent="0.25">
      <c r="C160" s="272"/>
      <c r="D160" s="75"/>
      <c r="E160" s="324"/>
      <c r="F160" s="75"/>
      <c r="G160" s="324"/>
      <c r="H160" s="75"/>
      <c r="I160" s="273"/>
      <c r="J160" s="75"/>
      <c r="L160" s="75"/>
    </row>
    <row r="161" spans="3:12" ht="13.5" customHeight="1" x14ac:dyDescent="0.25">
      <c r="C161" s="272"/>
      <c r="D161" s="75"/>
      <c r="E161" s="324"/>
      <c r="F161" s="75"/>
      <c r="G161" s="324"/>
      <c r="H161" s="75"/>
      <c r="I161" s="273"/>
      <c r="J161" s="75"/>
      <c r="L161" s="75"/>
    </row>
    <row r="162" spans="3:12" ht="13.5" customHeight="1" x14ac:dyDescent="0.25">
      <c r="C162" s="272"/>
      <c r="D162" s="75"/>
      <c r="E162" s="324"/>
      <c r="F162" s="75"/>
      <c r="G162" s="324"/>
      <c r="H162" s="75"/>
      <c r="I162" s="273"/>
      <c r="J162" s="75"/>
      <c r="L162" s="75"/>
    </row>
    <row r="163" spans="3:12" ht="13.5" customHeight="1" x14ac:dyDescent="0.25">
      <c r="C163" s="272"/>
      <c r="D163" s="75"/>
      <c r="E163" s="324"/>
      <c r="F163" s="75"/>
      <c r="G163" s="324"/>
      <c r="H163" s="75"/>
      <c r="I163" s="273"/>
      <c r="J163" s="75"/>
      <c r="L163" s="75"/>
    </row>
    <row r="164" spans="3:12" ht="13.5" customHeight="1" x14ac:dyDescent="0.25">
      <c r="C164" s="272"/>
      <c r="D164" s="75"/>
      <c r="E164" s="324"/>
      <c r="F164" s="75"/>
      <c r="G164" s="324"/>
      <c r="H164" s="75"/>
      <c r="I164" s="273"/>
      <c r="J164" s="75"/>
      <c r="L164" s="75"/>
    </row>
    <row r="165" spans="3:12" ht="13.5" customHeight="1" x14ac:dyDescent="0.25">
      <c r="C165" s="272"/>
      <c r="D165" s="75"/>
      <c r="E165" s="324"/>
      <c r="F165" s="75"/>
      <c r="G165" s="324"/>
      <c r="H165" s="75"/>
      <c r="I165" s="273"/>
      <c r="J165" s="75"/>
      <c r="L165" s="75"/>
    </row>
    <row r="166" spans="3:12" ht="13.5" customHeight="1" x14ac:dyDescent="0.25">
      <c r="C166" s="272"/>
      <c r="D166" s="75"/>
      <c r="E166" s="324"/>
      <c r="F166" s="75"/>
      <c r="G166" s="324"/>
      <c r="H166" s="75"/>
      <c r="I166" s="273"/>
      <c r="J166" s="75"/>
      <c r="L166" s="75"/>
    </row>
    <row r="167" spans="3:12" ht="13.5" customHeight="1" x14ac:dyDescent="0.25">
      <c r="C167" s="272"/>
      <c r="D167" s="75"/>
      <c r="E167" s="324"/>
      <c r="F167" s="75"/>
      <c r="G167" s="324"/>
      <c r="H167" s="75"/>
      <c r="I167" s="273"/>
      <c r="J167" s="75"/>
      <c r="L167" s="75"/>
    </row>
    <row r="168" spans="3:12" ht="13.5" customHeight="1" x14ac:dyDescent="0.25">
      <c r="C168" s="272"/>
      <c r="D168" s="75"/>
      <c r="E168" s="324"/>
      <c r="F168" s="75"/>
      <c r="G168" s="324"/>
      <c r="H168" s="75"/>
      <c r="I168" s="273"/>
      <c r="J168" s="75"/>
      <c r="L168" s="75"/>
    </row>
    <row r="169" spans="3:12" ht="13.5" customHeight="1" x14ac:dyDescent="0.25">
      <c r="C169" s="272"/>
      <c r="D169" s="75"/>
      <c r="E169" s="324"/>
      <c r="F169" s="75"/>
      <c r="G169" s="324"/>
      <c r="H169" s="75"/>
      <c r="I169" s="273"/>
      <c r="J169" s="75"/>
      <c r="L169" s="75"/>
    </row>
    <row r="170" spans="3:12" ht="13.5" customHeight="1" x14ac:dyDescent="0.25">
      <c r="C170" s="272"/>
      <c r="D170" s="75"/>
      <c r="E170" s="324"/>
      <c r="F170" s="75"/>
      <c r="G170" s="324"/>
      <c r="H170" s="75"/>
      <c r="I170" s="273"/>
      <c r="J170" s="75"/>
      <c r="L170" s="75"/>
    </row>
    <row r="171" spans="3:12" ht="13.5" customHeight="1" x14ac:dyDescent="0.25">
      <c r="C171" s="272"/>
      <c r="D171" s="75"/>
      <c r="E171" s="324"/>
      <c r="F171" s="75"/>
      <c r="G171" s="324"/>
      <c r="H171" s="75"/>
      <c r="I171" s="273"/>
      <c r="J171" s="75"/>
      <c r="L171" s="75"/>
    </row>
    <row r="172" spans="3:12" ht="13.5" customHeight="1" x14ac:dyDescent="0.25">
      <c r="C172" s="272"/>
      <c r="D172" s="75"/>
      <c r="E172" s="324"/>
      <c r="F172" s="75"/>
      <c r="G172" s="324"/>
      <c r="H172" s="75"/>
      <c r="I172" s="273"/>
      <c r="J172" s="75"/>
      <c r="L172" s="75"/>
    </row>
    <row r="173" spans="3:12" ht="13.5" customHeight="1" x14ac:dyDescent="0.25">
      <c r="C173" s="272"/>
      <c r="D173" s="75"/>
      <c r="E173" s="324"/>
      <c r="F173" s="75"/>
      <c r="G173" s="324"/>
      <c r="H173" s="75"/>
      <c r="I173" s="273"/>
      <c r="J173" s="75"/>
      <c r="L173" s="75"/>
    </row>
    <row r="174" spans="3:12" ht="13.5" customHeight="1" x14ac:dyDescent="0.25">
      <c r="C174" s="272"/>
      <c r="D174" s="75"/>
      <c r="E174" s="324"/>
      <c r="F174" s="75"/>
      <c r="G174" s="324"/>
      <c r="H174" s="75"/>
      <c r="I174" s="273"/>
      <c r="J174" s="75"/>
      <c r="L174" s="75"/>
    </row>
    <row r="175" spans="3:12" ht="13.5" customHeight="1" x14ac:dyDescent="0.25">
      <c r="C175" s="272"/>
      <c r="D175" s="75"/>
      <c r="E175" s="324"/>
      <c r="F175" s="75"/>
      <c r="G175" s="324"/>
      <c r="H175" s="75"/>
      <c r="I175" s="273"/>
      <c r="J175" s="75"/>
      <c r="L175" s="75"/>
    </row>
    <row r="176" spans="3:12" ht="13.5" customHeight="1" x14ac:dyDescent="0.25">
      <c r="C176" s="272"/>
      <c r="D176" s="75"/>
      <c r="E176" s="324"/>
      <c r="F176" s="75"/>
      <c r="G176" s="324"/>
      <c r="H176" s="75"/>
      <c r="I176" s="273"/>
      <c r="J176" s="75"/>
      <c r="L176" s="75"/>
    </row>
    <row r="177" spans="3:12" ht="13.5" customHeight="1" x14ac:dyDescent="0.25">
      <c r="C177" s="272"/>
      <c r="D177" s="75"/>
      <c r="E177" s="324"/>
      <c r="F177" s="75"/>
      <c r="G177" s="324"/>
      <c r="H177" s="75"/>
      <c r="I177" s="273"/>
      <c r="J177" s="75"/>
      <c r="L177" s="75"/>
    </row>
    <row r="178" spans="3:12" ht="13.5" customHeight="1" x14ac:dyDescent="0.25">
      <c r="C178" s="272"/>
      <c r="D178" s="75"/>
      <c r="E178" s="324"/>
      <c r="F178" s="75"/>
      <c r="G178" s="324"/>
      <c r="H178" s="75"/>
      <c r="I178" s="273"/>
      <c r="J178" s="75"/>
      <c r="L178" s="75"/>
    </row>
    <row r="179" spans="3:12" ht="13.5" customHeight="1" x14ac:dyDescent="0.25">
      <c r="C179" s="272"/>
      <c r="D179" s="75"/>
      <c r="E179" s="324"/>
      <c r="F179" s="75"/>
      <c r="G179" s="324"/>
      <c r="H179" s="75"/>
      <c r="I179" s="273"/>
      <c r="J179" s="75"/>
      <c r="L179" s="75"/>
    </row>
    <row r="180" spans="3:12" ht="13.5" customHeight="1" x14ac:dyDescent="0.25">
      <c r="C180" s="272"/>
      <c r="D180" s="75"/>
      <c r="E180" s="324"/>
      <c r="F180" s="75"/>
      <c r="G180" s="324"/>
      <c r="H180" s="75"/>
      <c r="I180" s="273"/>
      <c r="J180" s="75"/>
      <c r="L180" s="75"/>
    </row>
    <row r="181" spans="3:12" ht="13.5" customHeight="1" x14ac:dyDescent="0.25">
      <c r="C181" s="272"/>
      <c r="D181" s="75"/>
      <c r="E181" s="324"/>
      <c r="F181" s="75"/>
      <c r="G181" s="324"/>
      <c r="H181" s="75"/>
      <c r="I181" s="273"/>
      <c r="J181" s="75"/>
      <c r="L181" s="75"/>
    </row>
    <row r="182" spans="3:12" ht="13.5" customHeight="1" x14ac:dyDescent="0.25">
      <c r="C182" s="272"/>
      <c r="D182" s="75"/>
      <c r="E182" s="324"/>
      <c r="F182" s="75"/>
      <c r="G182" s="324"/>
      <c r="H182" s="75"/>
      <c r="I182" s="273"/>
      <c r="J182" s="75"/>
      <c r="L182" s="75"/>
    </row>
    <row r="183" spans="3:12" ht="13.5" customHeight="1" x14ac:dyDescent="0.25">
      <c r="C183" s="272"/>
      <c r="D183" s="75"/>
      <c r="E183" s="324"/>
      <c r="F183" s="75"/>
      <c r="G183" s="324"/>
      <c r="H183" s="75"/>
      <c r="I183" s="273"/>
      <c r="J183" s="75"/>
      <c r="L183" s="75"/>
    </row>
    <row r="184" spans="3:12" ht="13.5" customHeight="1" x14ac:dyDescent="0.25">
      <c r="C184" s="272"/>
      <c r="D184" s="75"/>
      <c r="E184" s="324"/>
      <c r="F184" s="75"/>
      <c r="G184" s="324"/>
      <c r="H184" s="75"/>
      <c r="I184" s="273"/>
      <c r="J184" s="75"/>
      <c r="L184" s="75"/>
    </row>
    <row r="185" spans="3:12" ht="13.5" customHeight="1" x14ac:dyDescent="0.25">
      <c r="C185" s="272"/>
      <c r="D185" s="75"/>
      <c r="E185" s="324"/>
      <c r="F185" s="75"/>
      <c r="G185" s="324"/>
      <c r="H185" s="75"/>
      <c r="I185" s="273"/>
      <c r="J185" s="75"/>
      <c r="L185" s="75"/>
    </row>
    <row r="186" spans="3:12" ht="13.5" customHeight="1" x14ac:dyDescent="0.25">
      <c r="C186" s="272"/>
      <c r="D186" s="75"/>
      <c r="E186" s="324"/>
      <c r="F186" s="75"/>
      <c r="G186" s="324"/>
      <c r="H186" s="75"/>
      <c r="I186" s="273"/>
      <c r="J186" s="75"/>
      <c r="L186" s="75"/>
    </row>
    <row r="187" spans="3:12" ht="13.5" customHeight="1" x14ac:dyDescent="0.25">
      <c r="C187" s="272"/>
      <c r="D187" s="75"/>
      <c r="E187" s="324"/>
      <c r="F187" s="75"/>
      <c r="G187" s="324"/>
      <c r="H187" s="75"/>
      <c r="I187" s="273"/>
      <c r="J187" s="75"/>
      <c r="L187" s="75"/>
    </row>
    <row r="188" spans="3:12" ht="13.5" customHeight="1" x14ac:dyDescent="0.25">
      <c r="C188" s="272"/>
      <c r="D188" s="75"/>
      <c r="E188" s="324"/>
      <c r="F188" s="75"/>
      <c r="G188" s="324"/>
      <c r="H188" s="75"/>
      <c r="I188" s="273"/>
      <c r="J188" s="75"/>
      <c r="L188" s="75"/>
    </row>
    <row r="189" spans="3:12" ht="13.5" customHeight="1" x14ac:dyDescent="0.25">
      <c r="C189" s="272"/>
      <c r="D189" s="75"/>
      <c r="E189" s="324"/>
      <c r="F189" s="75"/>
      <c r="G189" s="324"/>
      <c r="H189" s="75"/>
      <c r="I189" s="273"/>
      <c r="J189" s="75"/>
      <c r="L189" s="75"/>
    </row>
    <row r="190" spans="3:12" ht="13.5" customHeight="1" x14ac:dyDescent="0.25">
      <c r="C190" s="272"/>
      <c r="D190" s="75"/>
      <c r="E190" s="324"/>
      <c r="F190" s="75"/>
      <c r="G190" s="324"/>
      <c r="H190" s="75"/>
      <c r="I190" s="273"/>
      <c r="J190" s="75"/>
      <c r="L190" s="75"/>
    </row>
    <row r="191" spans="3:12" ht="13.5" customHeight="1" x14ac:dyDescent="0.25">
      <c r="C191" s="272"/>
      <c r="D191" s="75"/>
      <c r="E191" s="324"/>
      <c r="F191" s="75"/>
      <c r="G191" s="324"/>
      <c r="H191" s="75"/>
      <c r="I191" s="273"/>
      <c r="J191" s="75"/>
      <c r="L191" s="75"/>
    </row>
    <row r="192" spans="3:12" ht="13.5" customHeight="1" x14ac:dyDescent="0.25">
      <c r="C192" s="272"/>
      <c r="D192" s="75"/>
      <c r="E192" s="324"/>
      <c r="F192" s="75"/>
      <c r="G192" s="324"/>
      <c r="H192" s="75"/>
      <c r="I192" s="273"/>
      <c r="J192" s="75"/>
      <c r="L192" s="75"/>
    </row>
    <row r="193" spans="3:12" ht="13.5" customHeight="1" x14ac:dyDescent="0.25">
      <c r="C193" s="272"/>
      <c r="D193" s="75"/>
      <c r="E193" s="324"/>
      <c r="F193" s="75"/>
      <c r="G193" s="324"/>
      <c r="H193" s="75"/>
      <c r="I193" s="273"/>
      <c r="J193" s="75"/>
      <c r="L193" s="75"/>
    </row>
    <row r="194" spans="3:12" ht="13.5" customHeight="1" x14ac:dyDescent="0.25">
      <c r="C194" s="272"/>
      <c r="D194" s="75"/>
      <c r="E194" s="324"/>
      <c r="F194" s="75"/>
      <c r="G194" s="324"/>
      <c r="H194" s="75"/>
      <c r="I194" s="273"/>
      <c r="J194" s="75"/>
      <c r="L194" s="75"/>
    </row>
    <row r="195" spans="3:12" ht="13.5" customHeight="1" x14ac:dyDescent="0.25">
      <c r="C195" s="272"/>
      <c r="D195" s="75"/>
      <c r="E195" s="324"/>
      <c r="F195" s="75"/>
      <c r="G195" s="324"/>
      <c r="H195" s="75"/>
      <c r="I195" s="273"/>
      <c r="J195" s="75"/>
      <c r="L195" s="75"/>
    </row>
    <row r="196" spans="3:12" ht="13.5" customHeight="1" x14ac:dyDescent="0.25">
      <c r="C196" s="272"/>
      <c r="D196" s="75"/>
      <c r="E196" s="324"/>
      <c r="F196" s="75"/>
      <c r="G196" s="324"/>
      <c r="H196" s="75"/>
      <c r="I196" s="273"/>
      <c r="J196" s="75"/>
      <c r="L196" s="75"/>
    </row>
    <row r="197" spans="3:12" ht="13.5" customHeight="1" x14ac:dyDescent="0.25">
      <c r="C197" s="272"/>
      <c r="D197" s="75"/>
      <c r="E197" s="324"/>
      <c r="F197" s="75"/>
      <c r="G197" s="324"/>
      <c r="H197" s="75"/>
      <c r="I197" s="273"/>
      <c r="J197" s="75"/>
      <c r="L197" s="75"/>
    </row>
    <row r="198" spans="3:12" ht="13.5" customHeight="1" x14ac:dyDescent="0.25">
      <c r="C198" s="272"/>
      <c r="D198" s="75"/>
      <c r="E198" s="324"/>
      <c r="F198" s="75"/>
      <c r="G198" s="324"/>
      <c r="H198" s="75"/>
      <c r="I198" s="273"/>
      <c r="J198" s="75"/>
      <c r="L198" s="75"/>
    </row>
    <row r="199" spans="3:12" ht="13.5" customHeight="1" x14ac:dyDescent="0.25">
      <c r="C199" s="272"/>
      <c r="D199" s="75"/>
      <c r="E199" s="324"/>
      <c r="F199" s="75"/>
      <c r="G199" s="324"/>
      <c r="H199" s="75"/>
      <c r="I199" s="273"/>
      <c r="J199" s="75"/>
      <c r="L199" s="75"/>
    </row>
    <row r="200" spans="3:12" ht="13.5" customHeight="1" x14ac:dyDescent="0.25">
      <c r="C200" s="272"/>
      <c r="D200" s="75"/>
      <c r="E200" s="324"/>
      <c r="F200" s="75"/>
      <c r="G200" s="324"/>
      <c r="H200" s="75"/>
      <c r="I200" s="273"/>
      <c r="J200" s="75"/>
      <c r="L200" s="75"/>
    </row>
    <row r="201" spans="3:12" ht="13.5" customHeight="1" x14ac:dyDescent="0.25">
      <c r="C201" s="272"/>
      <c r="D201" s="75"/>
      <c r="E201" s="324"/>
      <c r="F201" s="75"/>
      <c r="G201" s="324"/>
      <c r="H201" s="75"/>
      <c r="I201" s="273"/>
      <c r="J201" s="75"/>
      <c r="L201" s="75"/>
    </row>
    <row r="202" spans="3:12" ht="13.5" customHeight="1" x14ac:dyDescent="0.25">
      <c r="C202" s="272"/>
      <c r="D202" s="75"/>
      <c r="E202" s="324"/>
      <c r="F202" s="75"/>
      <c r="G202" s="324"/>
      <c r="H202" s="75"/>
      <c r="I202" s="273"/>
      <c r="J202" s="75"/>
      <c r="L202" s="75"/>
    </row>
    <row r="203" spans="3:12" ht="13.5" customHeight="1" x14ac:dyDescent="0.25">
      <c r="C203" s="272"/>
      <c r="D203" s="75"/>
      <c r="E203" s="324"/>
      <c r="F203" s="75"/>
      <c r="G203" s="324"/>
      <c r="H203" s="75"/>
      <c r="I203" s="273"/>
      <c r="J203" s="75"/>
      <c r="L203" s="75"/>
    </row>
    <row r="204" spans="3:12" ht="13.5" customHeight="1" x14ac:dyDescent="0.25">
      <c r="C204" s="272"/>
      <c r="D204" s="75"/>
      <c r="E204" s="324"/>
      <c r="F204" s="75"/>
      <c r="G204" s="324"/>
      <c r="H204" s="75"/>
      <c r="I204" s="273"/>
      <c r="J204" s="75"/>
      <c r="L204" s="75"/>
    </row>
    <row r="205" spans="3:12" ht="13.5" customHeight="1" x14ac:dyDescent="0.25">
      <c r="C205" s="272"/>
      <c r="D205" s="75"/>
      <c r="E205" s="324"/>
      <c r="F205" s="75"/>
      <c r="G205" s="324"/>
      <c r="H205" s="75"/>
      <c r="I205" s="273"/>
      <c r="J205" s="75"/>
      <c r="L205" s="75"/>
    </row>
    <row r="206" spans="3:12" ht="13.5" customHeight="1" x14ac:dyDescent="0.25">
      <c r="C206" s="272"/>
      <c r="D206" s="75"/>
      <c r="E206" s="324"/>
      <c r="F206" s="75"/>
      <c r="G206" s="324"/>
      <c r="H206" s="75"/>
      <c r="I206" s="273"/>
      <c r="J206" s="75"/>
      <c r="L206" s="75"/>
    </row>
    <row r="207" spans="3:12" ht="13.5" customHeight="1" x14ac:dyDescent="0.25">
      <c r="C207" s="272"/>
      <c r="D207" s="75"/>
      <c r="E207" s="324"/>
      <c r="F207" s="75"/>
      <c r="G207" s="324"/>
      <c r="H207" s="75"/>
      <c r="I207" s="273"/>
      <c r="J207" s="75"/>
      <c r="L207" s="75"/>
    </row>
    <row r="208" spans="3:12" ht="13.5" customHeight="1" x14ac:dyDescent="0.25">
      <c r="C208" s="272"/>
      <c r="D208" s="75"/>
      <c r="E208" s="324"/>
      <c r="F208" s="75"/>
      <c r="G208" s="324"/>
      <c r="H208" s="75"/>
      <c r="I208" s="273"/>
      <c r="J208" s="75"/>
      <c r="L208" s="75"/>
    </row>
    <row r="209" spans="3:12" ht="13.5" customHeight="1" x14ac:dyDescent="0.25">
      <c r="C209" s="272"/>
      <c r="D209" s="75"/>
      <c r="E209" s="324"/>
      <c r="F209" s="75"/>
      <c r="G209" s="324"/>
      <c r="H209" s="75"/>
      <c r="I209" s="273"/>
      <c r="J209" s="75"/>
      <c r="L209" s="75"/>
    </row>
    <row r="210" spans="3:12" ht="13.5" customHeight="1" x14ac:dyDescent="0.25">
      <c r="C210" s="272"/>
      <c r="D210" s="75"/>
      <c r="E210" s="324"/>
      <c r="F210" s="75"/>
      <c r="G210" s="324"/>
      <c r="H210" s="75"/>
      <c r="I210" s="273"/>
      <c r="J210" s="75"/>
      <c r="L210" s="75"/>
    </row>
    <row r="211" spans="3:12" ht="13.5" customHeight="1" x14ac:dyDescent="0.25">
      <c r="C211" s="272"/>
      <c r="D211" s="75"/>
      <c r="E211" s="324"/>
      <c r="F211" s="75"/>
      <c r="G211" s="324"/>
      <c r="H211" s="75"/>
      <c r="I211" s="273"/>
      <c r="J211" s="75"/>
      <c r="L211" s="75"/>
    </row>
    <row r="212" spans="3:12" ht="13.5" customHeight="1" x14ac:dyDescent="0.25">
      <c r="C212" s="272"/>
      <c r="D212" s="75"/>
      <c r="E212" s="324"/>
      <c r="F212" s="75"/>
      <c r="G212" s="324"/>
      <c r="H212" s="75"/>
      <c r="I212" s="273"/>
      <c r="J212" s="75"/>
      <c r="L212" s="75"/>
    </row>
    <row r="213" spans="3:12" ht="13.5" customHeight="1" x14ac:dyDescent="0.25">
      <c r="C213" s="272"/>
      <c r="D213" s="75"/>
      <c r="E213" s="324"/>
      <c r="F213" s="75"/>
      <c r="G213" s="324"/>
      <c r="H213" s="75"/>
      <c r="I213" s="273"/>
      <c r="J213" s="75"/>
      <c r="L213" s="75"/>
    </row>
    <row r="214" spans="3:12" ht="13.5" customHeight="1" x14ac:dyDescent="0.25">
      <c r="C214" s="272"/>
      <c r="D214" s="75"/>
      <c r="E214" s="324"/>
      <c r="F214" s="75"/>
      <c r="G214" s="324"/>
      <c r="H214" s="75"/>
      <c r="I214" s="273"/>
      <c r="J214" s="75"/>
      <c r="L214" s="75"/>
    </row>
    <row r="215" spans="3:12" ht="13.5" customHeight="1" x14ac:dyDescent="0.25">
      <c r="C215" s="272"/>
      <c r="D215" s="75"/>
      <c r="E215" s="324"/>
      <c r="F215" s="75"/>
      <c r="G215" s="324"/>
      <c r="H215" s="75"/>
      <c r="I215" s="273"/>
      <c r="J215" s="75"/>
      <c r="L215" s="75"/>
    </row>
    <row r="216" spans="3:12" ht="13.5" customHeight="1" x14ac:dyDescent="0.25">
      <c r="C216" s="272"/>
      <c r="D216" s="75"/>
      <c r="E216" s="324"/>
      <c r="F216" s="75"/>
      <c r="G216" s="324"/>
      <c r="H216" s="75"/>
      <c r="I216" s="273"/>
      <c r="J216" s="75"/>
      <c r="L216" s="75"/>
    </row>
    <row r="217" spans="3:12" ht="13.5" customHeight="1" x14ac:dyDescent="0.25">
      <c r="C217" s="272"/>
      <c r="D217" s="75"/>
      <c r="E217" s="324"/>
      <c r="F217" s="75"/>
      <c r="G217" s="324"/>
      <c r="H217" s="75"/>
      <c r="I217" s="273"/>
      <c r="J217" s="75"/>
      <c r="L217" s="75"/>
    </row>
    <row r="218" spans="3:12" ht="13.5" customHeight="1" x14ac:dyDescent="0.25">
      <c r="C218" s="272"/>
      <c r="D218" s="75"/>
      <c r="E218" s="324"/>
      <c r="F218" s="75"/>
      <c r="G218" s="324"/>
      <c r="H218" s="75"/>
      <c r="I218" s="273"/>
      <c r="J218" s="75"/>
      <c r="L218" s="75"/>
    </row>
    <row r="219" spans="3:12" ht="13.5" customHeight="1" x14ac:dyDescent="0.25">
      <c r="C219" s="272"/>
      <c r="D219" s="75"/>
      <c r="E219" s="324"/>
      <c r="F219" s="75"/>
      <c r="G219" s="324"/>
      <c r="H219" s="75"/>
      <c r="I219" s="273"/>
      <c r="J219" s="75"/>
      <c r="L219" s="75"/>
    </row>
    <row r="220" spans="3:12" ht="13.5" customHeight="1" x14ac:dyDescent="0.25">
      <c r="C220" s="272"/>
      <c r="D220" s="75"/>
      <c r="E220" s="324"/>
      <c r="F220" s="75"/>
      <c r="G220" s="324"/>
      <c r="H220" s="75"/>
      <c r="I220" s="273"/>
      <c r="J220" s="75"/>
      <c r="L220" s="75"/>
    </row>
    <row r="221" spans="3:12" ht="13.5" customHeight="1" x14ac:dyDescent="0.25">
      <c r="C221" s="272"/>
      <c r="D221" s="75"/>
      <c r="E221" s="324"/>
      <c r="F221" s="75"/>
      <c r="G221" s="324"/>
      <c r="H221" s="75"/>
      <c r="I221" s="273"/>
      <c r="J221" s="75"/>
      <c r="L221" s="75"/>
    </row>
    <row r="222" spans="3:12" ht="13.5" customHeight="1" x14ac:dyDescent="0.25">
      <c r="C222" s="272"/>
      <c r="D222" s="75"/>
      <c r="E222" s="324"/>
      <c r="F222" s="75"/>
      <c r="G222" s="324"/>
      <c r="H222" s="75"/>
      <c r="I222" s="273"/>
      <c r="J222" s="75"/>
      <c r="L222" s="75"/>
    </row>
    <row r="223" spans="3:12" ht="13.5" customHeight="1" x14ac:dyDescent="0.25">
      <c r="C223" s="272"/>
      <c r="D223" s="75"/>
      <c r="E223" s="324"/>
      <c r="F223" s="75"/>
      <c r="G223" s="324"/>
      <c r="H223" s="75"/>
      <c r="I223" s="273"/>
      <c r="J223" s="75"/>
      <c r="L223" s="75"/>
    </row>
    <row r="224" spans="3:12" ht="13.5" customHeight="1" x14ac:dyDescent="0.25">
      <c r="C224" s="272"/>
      <c r="D224" s="75"/>
      <c r="E224" s="324"/>
      <c r="F224" s="75"/>
      <c r="G224" s="324"/>
      <c r="H224" s="75"/>
      <c r="I224" s="273"/>
      <c r="J224" s="75"/>
      <c r="L224" s="75"/>
    </row>
    <row r="225" spans="3:12" ht="13.5" customHeight="1" x14ac:dyDescent="0.25">
      <c r="C225" s="272"/>
      <c r="D225" s="75"/>
      <c r="E225" s="324"/>
      <c r="F225" s="75"/>
      <c r="G225" s="324"/>
      <c r="H225" s="75"/>
      <c r="I225" s="273"/>
      <c r="J225" s="75"/>
      <c r="L225" s="75"/>
    </row>
    <row r="226" spans="3:12" ht="13.5" customHeight="1" x14ac:dyDescent="0.25">
      <c r="C226" s="272"/>
      <c r="D226" s="75"/>
      <c r="E226" s="324"/>
      <c r="F226" s="75"/>
      <c r="G226" s="324"/>
      <c r="H226" s="75"/>
      <c r="I226" s="273"/>
      <c r="J226" s="75"/>
      <c r="L226" s="75"/>
    </row>
    <row r="227" spans="3:12" ht="13.5" customHeight="1" x14ac:dyDescent="0.25">
      <c r="C227" s="272"/>
      <c r="D227" s="75"/>
      <c r="E227" s="324"/>
      <c r="F227" s="75"/>
      <c r="G227" s="324"/>
      <c r="H227" s="75"/>
      <c r="I227" s="273"/>
      <c r="J227" s="75"/>
      <c r="L227" s="75"/>
    </row>
    <row r="228" spans="3:12" ht="13.5" customHeight="1" x14ac:dyDescent="0.25">
      <c r="C228" s="272"/>
      <c r="D228" s="75"/>
      <c r="E228" s="324"/>
      <c r="F228" s="75"/>
      <c r="G228" s="324"/>
      <c r="H228" s="75"/>
      <c r="I228" s="273"/>
      <c r="J228" s="75"/>
      <c r="L228" s="75"/>
    </row>
    <row r="229" spans="3:12" ht="13.5" customHeight="1" x14ac:dyDescent="0.25">
      <c r="C229" s="272"/>
      <c r="D229" s="75"/>
      <c r="E229" s="324"/>
      <c r="F229" s="75"/>
      <c r="G229" s="324"/>
      <c r="H229" s="75"/>
      <c r="I229" s="273"/>
      <c r="J229" s="75"/>
      <c r="L229" s="75"/>
    </row>
    <row r="230" spans="3:12" ht="13.5" customHeight="1" x14ac:dyDescent="0.25">
      <c r="C230" s="272"/>
      <c r="D230" s="75"/>
      <c r="E230" s="324"/>
      <c r="F230" s="75"/>
      <c r="G230" s="324"/>
      <c r="H230" s="75"/>
      <c r="I230" s="273"/>
      <c r="J230" s="75"/>
      <c r="L230" s="75"/>
    </row>
    <row r="231" spans="3:12" ht="13.5" customHeight="1" x14ac:dyDescent="0.25">
      <c r="C231" s="272"/>
      <c r="D231" s="75"/>
      <c r="E231" s="324"/>
      <c r="F231" s="75"/>
      <c r="G231" s="324"/>
      <c r="H231" s="75"/>
      <c r="I231" s="273"/>
      <c r="J231" s="75"/>
      <c r="L231" s="75"/>
    </row>
    <row r="232" spans="3:12" ht="13.5" customHeight="1" x14ac:dyDescent="0.25">
      <c r="C232" s="272"/>
      <c r="D232" s="75"/>
      <c r="E232" s="324"/>
      <c r="F232" s="75"/>
      <c r="G232" s="324"/>
      <c r="H232" s="75"/>
      <c r="I232" s="273"/>
      <c r="J232" s="75"/>
      <c r="L232" s="75"/>
    </row>
    <row r="233" spans="3:12" ht="13.5" customHeight="1" x14ac:dyDescent="0.25">
      <c r="C233" s="272"/>
      <c r="D233" s="75"/>
      <c r="E233" s="324"/>
      <c r="F233" s="75"/>
      <c r="G233" s="324"/>
      <c r="H233" s="75"/>
      <c r="I233" s="273"/>
      <c r="J233" s="75"/>
      <c r="L233" s="75"/>
    </row>
    <row r="234" spans="3:12" ht="13.5" customHeight="1" x14ac:dyDescent="0.25">
      <c r="C234" s="272"/>
      <c r="D234" s="75"/>
      <c r="E234" s="324"/>
      <c r="F234" s="75"/>
      <c r="G234" s="324"/>
      <c r="H234" s="75"/>
      <c r="I234" s="273"/>
      <c r="J234" s="75"/>
      <c r="L234" s="75"/>
    </row>
    <row r="235" spans="3:12" ht="13.5" customHeight="1" x14ac:dyDescent="0.25">
      <c r="C235" s="272"/>
      <c r="D235" s="75"/>
      <c r="E235" s="324"/>
      <c r="F235" s="75"/>
      <c r="G235" s="324"/>
      <c r="H235" s="75"/>
      <c r="I235" s="273"/>
      <c r="J235" s="75"/>
      <c r="L235" s="75"/>
    </row>
    <row r="236" spans="3:12" ht="13.5" customHeight="1" x14ac:dyDescent="0.25">
      <c r="C236" s="272"/>
      <c r="D236" s="75"/>
      <c r="E236" s="324"/>
      <c r="F236" s="75"/>
      <c r="G236" s="324"/>
      <c r="H236" s="75"/>
      <c r="I236" s="273"/>
      <c r="J236" s="75"/>
      <c r="L236" s="75"/>
    </row>
    <row r="237" spans="3:12" ht="13.5" customHeight="1" x14ac:dyDescent="0.25">
      <c r="C237" s="272"/>
      <c r="D237" s="75"/>
      <c r="E237" s="324"/>
      <c r="F237" s="75"/>
      <c r="G237" s="324"/>
      <c r="H237" s="75"/>
      <c r="I237" s="273"/>
      <c r="J237" s="75"/>
      <c r="L237" s="75"/>
    </row>
    <row r="238" spans="3:12" ht="13.5" customHeight="1" x14ac:dyDescent="0.25">
      <c r="C238" s="272"/>
      <c r="D238" s="75"/>
      <c r="E238" s="324"/>
      <c r="F238" s="75"/>
      <c r="G238" s="324"/>
      <c r="H238" s="75"/>
      <c r="I238" s="273"/>
      <c r="J238" s="75"/>
      <c r="L238" s="75"/>
    </row>
    <row r="239" spans="3:12" ht="13.5" customHeight="1" x14ac:dyDescent="0.25">
      <c r="C239" s="272"/>
      <c r="D239" s="75"/>
      <c r="E239" s="324"/>
      <c r="F239" s="75"/>
      <c r="G239" s="324"/>
      <c r="H239" s="75"/>
      <c r="I239" s="273"/>
      <c r="J239" s="75"/>
      <c r="L239" s="75"/>
    </row>
    <row r="240" spans="3:12" ht="13.5" customHeight="1" x14ac:dyDescent="0.25">
      <c r="C240" s="272"/>
      <c r="D240" s="75"/>
      <c r="E240" s="324"/>
      <c r="F240" s="75"/>
      <c r="G240" s="324"/>
      <c r="H240" s="75"/>
      <c r="I240" s="273"/>
      <c r="J240" s="75"/>
      <c r="L240" s="75"/>
    </row>
    <row r="241" spans="3:12" ht="13.5" customHeight="1" x14ac:dyDescent="0.25">
      <c r="C241" s="272"/>
      <c r="D241" s="75"/>
      <c r="E241" s="324"/>
      <c r="F241" s="75"/>
      <c r="G241" s="324"/>
      <c r="H241" s="75"/>
      <c r="I241" s="273"/>
      <c r="J241" s="75"/>
      <c r="L241" s="75"/>
    </row>
    <row r="242" spans="3:12" ht="13.5" customHeight="1" x14ac:dyDescent="0.25">
      <c r="C242" s="272"/>
      <c r="D242" s="75"/>
      <c r="E242" s="324"/>
      <c r="F242" s="75"/>
      <c r="G242" s="324"/>
      <c r="H242" s="75"/>
      <c r="I242" s="273"/>
      <c r="J242" s="75"/>
      <c r="L242" s="75"/>
    </row>
    <row r="243" spans="3:12" ht="13.5" customHeight="1" x14ac:dyDescent="0.25">
      <c r="C243" s="272"/>
      <c r="D243" s="75"/>
      <c r="E243" s="324"/>
      <c r="F243" s="75"/>
      <c r="G243" s="324"/>
      <c r="H243" s="75"/>
      <c r="I243" s="273"/>
      <c r="J243" s="75"/>
      <c r="L243" s="75"/>
    </row>
    <row r="244" spans="3:12" ht="13.5" customHeight="1" x14ac:dyDescent="0.25">
      <c r="C244" s="272"/>
      <c r="D244" s="75"/>
      <c r="E244" s="324"/>
      <c r="F244" s="75"/>
      <c r="G244" s="324"/>
      <c r="H244" s="75"/>
      <c r="I244" s="273"/>
      <c r="J244" s="75"/>
      <c r="L244" s="75"/>
    </row>
    <row r="245" spans="3:12" ht="13.5" customHeight="1" x14ac:dyDescent="0.25">
      <c r="C245" s="272"/>
      <c r="D245" s="75"/>
      <c r="E245" s="324"/>
      <c r="F245" s="75"/>
      <c r="G245" s="324"/>
      <c r="H245" s="75"/>
      <c r="I245" s="273"/>
      <c r="J245" s="75"/>
      <c r="L245" s="75"/>
    </row>
    <row r="246" spans="3:12" ht="13.5" customHeight="1" x14ac:dyDescent="0.25">
      <c r="C246" s="272"/>
      <c r="D246" s="75"/>
      <c r="E246" s="324"/>
      <c r="F246" s="75"/>
      <c r="G246" s="324"/>
      <c r="H246" s="75"/>
      <c r="I246" s="273"/>
      <c r="J246" s="75"/>
      <c r="L246" s="75"/>
    </row>
    <row r="247" spans="3:12" ht="13.5" customHeight="1" x14ac:dyDescent="0.25">
      <c r="C247" s="272"/>
      <c r="D247" s="75"/>
      <c r="E247" s="324"/>
      <c r="F247" s="75"/>
      <c r="G247" s="324"/>
      <c r="H247" s="75"/>
      <c r="I247" s="273"/>
      <c r="J247" s="75"/>
      <c r="L247" s="75"/>
    </row>
    <row r="248" spans="3:12" ht="13.5" customHeight="1" x14ac:dyDescent="0.25">
      <c r="C248" s="272"/>
      <c r="D248" s="75"/>
      <c r="E248" s="324"/>
      <c r="F248" s="75"/>
      <c r="G248" s="324"/>
      <c r="H248" s="75"/>
      <c r="I248" s="273"/>
      <c r="J248" s="75"/>
      <c r="L248" s="75"/>
    </row>
    <row r="249" spans="3:12" ht="13.5" customHeight="1" x14ac:dyDescent="0.25">
      <c r="C249" s="272"/>
      <c r="D249" s="75"/>
      <c r="E249" s="324"/>
      <c r="F249" s="75"/>
      <c r="G249" s="324"/>
      <c r="H249" s="75"/>
      <c r="I249" s="273"/>
      <c r="J249" s="75"/>
      <c r="L249" s="75"/>
    </row>
    <row r="250" spans="3:12" ht="13.5" customHeight="1" x14ac:dyDescent="0.25">
      <c r="C250" s="272"/>
      <c r="D250" s="75"/>
      <c r="E250" s="324"/>
      <c r="F250" s="75"/>
      <c r="G250" s="324"/>
      <c r="H250" s="75"/>
      <c r="I250" s="273"/>
      <c r="J250" s="75"/>
      <c r="L250" s="75"/>
    </row>
    <row r="251" spans="3:12" ht="13.5" customHeight="1" x14ac:dyDescent="0.25">
      <c r="C251" s="272"/>
      <c r="D251" s="75"/>
      <c r="E251" s="324"/>
      <c r="F251" s="75"/>
      <c r="G251" s="324"/>
      <c r="H251" s="75"/>
      <c r="I251" s="273"/>
      <c r="J251" s="75"/>
      <c r="L251" s="75"/>
    </row>
    <row r="252" spans="3:12" ht="13.5" customHeight="1" x14ac:dyDescent="0.25">
      <c r="C252" s="272"/>
      <c r="D252" s="75"/>
      <c r="E252" s="324"/>
      <c r="F252" s="75"/>
      <c r="G252" s="324"/>
      <c r="H252" s="75"/>
      <c r="I252" s="273"/>
      <c r="J252" s="75"/>
      <c r="L252" s="75"/>
    </row>
    <row r="253" spans="3:12" ht="13.5" customHeight="1" x14ac:dyDescent="0.25">
      <c r="C253" s="272"/>
      <c r="D253" s="75"/>
      <c r="E253" s="324"/>
      <c r="F253" s="75"/>
      <c r="G253" s="324"/>
      <c r="H253" s="75"/>
      <c r="I253" s="273"/>
      <c r="J253" s="75"/>
      <c r="L253" s="75"/>
    </row>
    <row r="254" spans="3:12" ht="13.5" customHeight="1" x14ac:dyDescent="0.25">
      <c r="C254" s="272"/>
      <c r="D254" s="75"/>
      <c r="E254" s="324"/>
      <c r="F254" s="75"/>
      <c r="G254" s="324"/>
      <c r="H254" s="75"/>
      <c r="I254" s="273"/>
      <c r="J254" s="75"/>
      <c r="L254" s="75"/>
    </row>
    <row r="255" spans="3:12" ht="13.5" customHeight="1" x14ac:dyDescent="0.25">
      <c r="C255" s="272"/>
      <c r="D255" s="75"/>
      <c r="E255" s="324"/>
      <c r="F255" s="75"/>
      <c r="G255" s="324"/>
      <c r="H255" s="75"/>
      <c r="I255" s="273"/>
      <c r="J255" s="75"/>
      <c r="L255" s="75"/>
    </row>
    <row r="256" spans="3:12" ht="13.5" customHeight="1" x14ac:dyDescent="0.25">
      <c r="C256" s="272"/>
      <c r="D256" s="75"/>
      <c r="E256" s="324"/>
      <c r="F256" s="75"/>
      <c r="G256" s="324"/>
      <c r="H256" s="75"/>
      <c r="I256" s="273"/>
      <c r="J256" s="75"/>
      <c r="L256" s="75"/>
    </row>
    <row r="257" spans="3:12" ht="13.5" customHeight="1" x14ac:dyDescent="0.25">
      <c r="C257" s="272"/>
      <c r="D257" s="75"/>
      <c r="E257" s="324"/>
      <c r="F257" s="75"/>
      <c r="G257" s="324"/>
      <c r="H257" s="75"/>
      <c r="I257" s="273"/>
      <c r="J257" s="75"/>
      <c r="L257" s="75"/>
    </row>
    <row r="258" spans="3:12" ht="13.5" customHeight="1" x14ac:dyDescent="0.25">
      <c r="C258" s="272"/>
      <c r="D258" s="75"/>
      <c r="E258" s="324"/>
      <c r="F258" s="75"/>
      <c r="G258" s="324"/>
      <c r="H258" s="75"/>
      <c r="I258" s="273"/>
      <c r="J258" s="75"/>
      <c r="L258" s="75"/>
    </row>
    <row r="259" spans="3:12" ht="13.5" customHeight="1" x14ac:dyDescent="0.25">
      <c r="C259" s="272"/>
      <c r="D259" s="75"/>
      <c r="E259" s="324"/>
      <c r="F259" s="75"/>
      <c r="G259" s="324"/>
      <c r="H259" s="75"/>
      <c r="I259" s="273"/>
      <c r="J259" s="75"/>
      <c r="L259" s="75"/>
    </row>
    <row r="260" spans="3:12" ht="13.5" customHeight="1" x14ac:dyDescent="0.25">
      <c r="C260" s="272"/>
      <c r="D260" s="75"/>
      <c r="E260" s="324"/>
      <c r="F260" s="75"/>
      <c r="G260" s="324"/>
      <c r="H260" s="75"/>
      <c r="I260" s="273"/>
      <c r="J260" s="75"/>
      <c r="L260" s="75"/>
    </row>
    <row r="261" spans="3:12" ht="13.5" customHeight="1" x14ac:dyDescent="0.25">
      <c r="C261" s="272"/>
      <c r="D261" s="75"/>
      <c r="E261" s="324"/>
      <c r="F261" s="75"/>
      <c r="G261" s="324"/>
      <c r="H261" s="75"/>
      <c r="I261" s="273"/>
      <c r="J261" s="75"/>
      <c r="L261" s="75"/>
    </row>
    <row r="262" spans="3:12" ht="13.5" customHeight="1" x14ac:dyDescent="0.25">
      <c r="C262" s="272"/>
      <c r="D262" s="75"/>
      <c r="E262" s="324"/>
      <c r="F262" s="75"/>
      <c r="G262" s="324"/>
      <c r="H262" s="75"/>
      <c r="I262" s="273"/>
      <c r="J262" s="75"/>
      <c r="L262" s="75"/>
    </row>
    <row r="263" spans="3:12" ht="13.5" customHeight="1" x14ac:dyDescent="0.25">
      <c r="C263" s="272"/>
      <c r="D263" s="75"/>
      <c r="E263" s="324"/>
      <c r="F263" s="75"/>
      <c r="G263" s="324"/>
      <c r="H263" s="75"/>
      <c r="I263" s="273"/>
      <c r="J263" s="75"/>
      <c r="L263" s="75"/>
    </row>
    <row r="264" spans="3:12" ht="13.5" customHeight="1" x14ac:dyDescent="0.25">
      <c r="C264" s="272"/>
      <c r="D264" s="75"/>
      <c r="E264" s="324"/>
      <c r="F264" s="75"/>
      <c r="G264" s="324"/>
      <c r="H264" s="75"/>
      <c r="I264" s="273"/>
      <c r="J264" s="75"/>
      <c r="L264" s="75"/>
    </row>
    <row r="265" spans="3:12" ht="13.5" customHeight="1" x14ac:dyDescent="0.25">
      <c r="K265" s="329"/>
    </row>
    <row r="266" spans="3:12" ht="13.5" customHeight="1" x14ac:dyDescent="0.25">
      <c r="K266" s="329"/>
    </row>
    <row r="267" spans="3:12" ht="13.5" customHeight="1" x14ac:dyDescent="0.25">
      <c r="K267" s="329"/>
    </row>
    <row r="268" spans="3:12" ht="13.5" customHeight="1" x14ac:dyDescent="0.25">
      <c r="K268" s="3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C17E-6F21-493A-A223-A8A5D511BA08}">
  <dimension ref="A1:J94"/>
  <sheetViews>
    <sheetView zoomScale="90" zoomScaleNormal="90" workbookViewId="0">
      <selection activeCell="E1" sqref="E1:H1"/>
    </sheetView>
  </sheetViews>
  <sheetFormatPr defaultColWidth="8.77734375" defaultRowHeight="14.4" x14ac:dyDescent="0.25"/>
  <cols>
    <col min="1" max="1" width="14.21875" style="5" customWidth="1"/>
    <col min="2" max="2" width="5.21875" style="6" bestFit="1" customWidth="1"/>
    <col min="3" max="3" width="37.21875" style="5" bestFit="1" customWidth="1"/>
    <col min="4" max="4" width="14.109375" style="5" bestFit="1" customWidth="1"/>
    <col min="5" max="5" width="10.6640625" style="5" customWidth="1"/>
    <col min="6" max="6" width="14.6640625" style="5" customWidth="1"/>
    <col min="7" max="7" width="10.6640625" style="5" customWidth="1"/>
    <col min="8" max="8" width="23.21875" style="5" customWidth="1"/>
    <col min="9" max="9" width="8.77734375" style="5"/>
    <col min="10" max="10" width="10.88671875" style="5" bestFit="1" customWidth="1"/>
    <col min="11" max="16384" width="8.77734375" style="5"/>
  </cols>
  <sheetData>
    <row r="1" spans="1:10" ht="17.100000000000001" customHeight="1" x14ac:dyDescent="0.25">
      <c r="A1" s="400" t="s">
        <v>13383</v>
      </c>
      <c r="B1" s="401"/>
      <c r="C1" s="401"/>
      <c r="D1" s="36" t="s">
        <v>1</v>
      </c>
      <c r="E1" s="402">
        <f xml:space="preserve"> ('Table of Contents'!B3)</f>
        <v>44872</v>
      </c>
      <c r="F1" s="403"/>
      <c r="G1" s="403"/>
      <c r="H1" s="404"/>
    </row>
    <row r="2" spans="1:10" x14ac:dyDescent="0.25">
      <c r="A2" s="37"/>
      <c r="B2" s="38"/>
      <c r="C2" s="39"/>
      <c r="D2" s="40"/>
      <c r="E2" s="40"/>
      <c r="F2" s="37"/>
      <c r="G2" s="37"/>
      <c r="H2" s="41"/>
    </row>
    <row r="3" spans="1:10" x14ac:dyDescent="0.25">
      <c r="A3" s="37"/>
      <c r="B3" s="38"/>
      <c r="C3" s="42" t="s">
        <v>22</v>
      </c>
      <c r="D3" s="43" t="s">
        <v>23</v>
      </c>
      <c r="E3" s="42"/>
      <c r="F3" s="43" t="s">
        <v>24</v>
      </c>
      <c r="G3" s="42"/>
      <c r="H3" s="43" t="s">
        <v>13410</v>
      </c>
    </row>
    <row r="4" spans="1:10" x14ac:dyDescent="0.25">
      <c r="A4" s="37"/>
      <c r="B4" s="38"/>
      <c r="C4" s="44" t="s">
        <v>26</v>
      </c>
      <c r="D4" s="45">
        <f>COUNTA('Items Details'!D3:D17)</f>
        <v>15</v>
      </c>
      <c r="E4" s="46"/>
      <c r="F4" s="45">
        <v>15</v>
      </c>
      <c r="G4" s="46"/>
      <c r="H4" s="45">
        <f>D4-F4</f>
        <v>0</v>
      </c>
    </row>
    <row r="5" spans="1:10" x14ac:dyDescent="0.25">
      <c r="A5" s="47" t="s">
        <v>34</v>
      </c>
      <c r="B5" s="48" t="s">
        <v>35</v>
      </c>
      <c r="C5" s="44" t="s">
        <v>27</v>
      </c>
      <c r="D5" s="45">
        <f>COUNTA('Items Details'!D19:D69)</f>
        <v>51</v>
      </c>
      <c r="E5" s="46"/>
      <c r="F5" s="45">
        <v>50</v>
      </c>
      <c r="G5" s="46"/>
      <c r="H5" s="45">
        <f t="shared" ref="H5:H15" si="0">D5-F5</f>
        <v>1</v>
      </c>
      <c r="J5" s="22"/>
    </row>
    <row r="6" spans="1:10" x14ac:dyDescent="0.25">
      <c r="A6" s="37"/>
      <c r="B6" s="38"/>
      <c r="C6" s="44" t="s">
        <v>28</v>
      </c>
      <c r="D6" s="45">
        <f>COUNTA('Items Details'!D71:D87)</f>
        <v>17</v>
      </c>
      <c r="E6" s="46"/>
      <c r="F6" s="45">
        <v>17</v>
      </c>
      <c r="G6" s="46"/>
      <c r="H6" s="45">
        <f t="shared" si="0"/>
        <v>0</v>
      </c>
      <c r="J6" s="20"/>
    </row>
    <row r="7" spans="1:10" x14ac:dyDescent="0.25">
      <c r="A7" s="47" t="s">
        <v>34</v>
      </c>
      <c r="B7" s="48" t="s">
        <v>35</v>
      </c>
      <c r="C7" s="44" t="s">
        <v>29</v>
      </c>
      <c r="D7" s="45">
        <f>COUNTA('Items Details'!D89:D94)</f>
        <v>6</v>
      </c>
      <c r="E7" s="46"/>
      <c r="F7" s="45">
        <v>5</v>
      </c>
      <c r="G7" s="46"/>
      <c r="H7" s="45">
        <f t="shared" si="0"/>
        <v>1</v>
      </c>
    </row>
    <row r="8" spans="1:10" x14ac:dyDescent="0.25">
      <c r="A8" s="37"/>
      <c r="B8" s="38"/>
      <c r="C8" s="44" t="s">
        <v>30</v>
      </c>
      <c r="D8" s="45">
        <f>COUNTA('Items Details'!D96:D102)</f>
        <v>7</v>
      </c>
      <c r="E8" s="46"/>
      <c r="F8" s="45">
        <v>7</v>
      </c>
      <c r="G8" s="46"/>
      <c r="H8" s="45">
        <f t="shared" si="0"/>
        <v>0</v>
      </c>
    </row>
    <row r="9" spans="1:10" x14ac:dyDescent="0.25">
      <c r="A9" s="47" t="s">
        <v>34</v>
      </c>
      <c r="B9" s="48" t="s">
        <v>35</v>
      </c>
      <c r="C9" s="44" t="s">
        <v>31</v>
      </c>
      <c r="D9" s="45">
        <f>COUNTA('Items Details'!D104:D129)</f>
        <v>26</v>
      </c>
      <c r="E9" s="46"/>
      <c r="F9" s="45">
        <v>26</v>
      </c>
      <c r="G9" s="46"/>
      <c r="H9" s="45">
        <f t="shared" si="0"/>
        <v>0</v>
      </c>
    </row>
    <row r="10" spans="1:10" x14ac:dyDescent="0.25">
      <c r="A10" s="37"/>
      <c r="B10" s="38"/>
      <c r="C10" s="44" t="s">
        <v>32</v>
      </c>
      <c r="D10" s="45">
        <f>COUNTA('Items Details'!D131:D142)</f>
        <v>12</v>
      </c>
      <c r="E10" s="46"/>
      <c r="F10" s="45">
        <v>12</v>
      </c>
      <c r="G10" s="46"/>
      <c r="H10" s="45">
        <f t="shared" si="0"/>
        <v>0</v>
      </c>
    </row>
    <row r="11" spans="1:10" x14ac:dyDescent="0.25">
      <c r="A11" s="37"/>
      <c r="B11" s="38"/>
      <c r="C11" s="44" t="s">
        <v>33</v>
      </c>
      <c r="D11" s="45">
        <f>COUNTA('Items Details'!D144:D269)</f>
        <v>126</v>
      </c>
      <c r="E11" s="46"/>
      <c r="F11" s="45">
        <v>126</v>
      </c>
      <c r="G11" s="46"/>
      <c r="H11" s="45">
        <f t="shared" si="0"/>
        <v>0</v>
      </c>
    </row>
    <row r="12" spans="1:10" x14ac:dyDescent="0.25">
      <c r="A12" s="47" t="s">
        <v>34</v>
      </c>
      <c r="B12" s="48" t="s">
        <v>35</v>
      </c>
      <c r="C12" s="44" t="s">
        <v>36</v>
      </c>
      <c r="D12" s="45">
        <f>COUNTA('Items Details'!D271:D285)</f>
        <v>15</v>
      </c>
      <c r="E12" s="46"/>
      <c r="F12" s="45">
        <v>15</v>
      </c>
      <c r="G12" s="46"/>
      <c r="H12" s="45">
        <f t="shared" si="0"/>
        <v>0</v>
      </c>
    </row>
    <row r="13" spans="1:10" x14ac:dyDescent="0.25">
      <c r="A13" s="47" t="s">
        <v>34</v>
      </c>
      <c r="B13" s="48" t="s">
        <v>35</v>
      </c>
      <c r="C13" s="44" t="s">
        <v>37</v>
      </c>
      <c r="D13" s="45">
        <f>COUNTA('Items Details'!D287:D305)</f>
        <v>19</v>
      </c>
      <c r="E13" s="46"/>
      <c r="F13" s="45">
        <v>19</v>
      </c>
      <c r="G13" s="46"/>
      <c r="H13" s="45">
        <f t="shared" si="0"/>
        <v>0</v>
      </c>
    </row>
    <row r="14" spans="1:10" x14ac:dyDescent="0.25">
      <c r="A14" s="37"/>
      <c r="B14" s="38"/>
      <c r="C14" s="49"/>
      <c r="D14" s="50"/>
      <c r="E14" s="51"/>
      <c r="F14" s="50"/>
      <c r="G14" s="51"/>
      <c r="H14" s="52"/>
    </row>
    <row r="15" spans="1:10" x14ac:dyDescent="0.25">
      <c r="A15" s="37"/>
      <c r="B15" s="38"/>
      <c r="C15" s="53" t="s">
        <v>38</v>
      </c>
      <c r="D15" s="52">
        <f>SUM(D4:D13)</f>
        <v>294</v>
      </c>
      <c r="E15" s="51"/>
      <c r="F15" s="52">
        <f>SUM(F4:F13)</f>
        <v>292</v>
      </c>
      <c r="G15" s="51"/>
      <c r="H15" s="45">
        <f t="shared" si="0"/>
        <v>2</v>
      </c>
    </row>
    <row r="16" spans="1:10" x14ac:dyDescent="0.25">
      <c r="A16" s="37"/>
      <c r="B16" s="38"/>
      <c r="C16" s="37"/>
      <c r="D16" s="37"/>
      <c r="E16" s="37"/>
      <c r="F16" s="37"/>
      <c r="G16" s="37"/>
      <c r="H16" s="37"/>
    </row>
    <row r="17" spans="1:8" x14ac:dyDescent="0.25">
      <c r="A17" s="413" t="s">
        <v>39</v>
      </c>
      <c r="B17" s="414"/>
      <c r="C17" s="414"/>
      <c r="D17" s="414"/>
      <c r="E17" s="414"/>
      <c r="F17" s="415"/>
      <c r="G17" s="415"/>
      <c r="H17" s="416"/>
    </row>
    <row r="18" spans="1:8" x14ac:dyDescent="0.25">
      <c r="A18" s="37"/>
      <c r="B18" s="38"/>
      <c r="C18" s="54"/>
      <c r="D18" s="55"/>
      <c r="E18" s="55"/>
      <c r="F18" s="51"/>
      <c r="G18" s="51"/>
      <c r="H18" s="51"/>
    </row>
    <row r="19" spans="1:8" x14ac:dyDescent="0.25">
      <c r="A19" s="37"/>
      <c r="B19" s="38"/>
      <c r="C19" s="42" t="s">
        <v>22</v>
      </c>
      <c r="D19" s="43" t="s">
        <v>23</v>
      </c>
      <c r="E19" s="42"/>
      <c r="F19" s="43" t="s">
        <v>24</v>
      </c>
      <c r="G19" s="42"/>
      <c r="H19" s="43" t="s">
        <v>13410</v>
      </c>
    </row>
    <row r="20" spans="1:8" x14ac:dyDescent="0.25">
      <c r="A20" s="37"/>
      <c r="B20" s="38"/>
      <c r="C20" s="56" t="s">
        <v>40</v>
      </c>
      <c r="D20" s="57">
        <f>COUNTA('Items Details'!D308:D329)</f>
        <v>22</v>
      </c>
      <c r="E20" s="58"/>
      <c r="F20" s="57">
        <v>22</v>
      </c>
      <c r="G20" s="58"/>
      <c r="H20" s="57">
        <f t="shared" ref="H20" si="1">D20-F20</f>
        <v>0</v>
      </c>
    </row>
    <row r="21" spans="1:8" x14ac:dyDescent="0.25">
      <c r="A21" s="37"/>
      <c r="B21" s="38"/>
      <c r="C21" s="49"/>
      <c r="D21" s="52"/>
      <c r="E21" s="51"/>
      <c r="F21" s="52"/>
      <c r="G21" s="51"/>
      <c r="H21" s="52"/>
    </row>
    <row r="22" spans="1:8" x14ac:dyDescent="0.25">
      <c r="A22" s="37"/>
      <c r="B22" s="38"/>
      <c r="C22" s="53" t="s">
        <v>38</v>
      </c>
      <c r="D22" s="52">
        <f>SUM(D20)</f>
        <v>22</v>
      </c>
      <c r="E22" s="51"/>
      <c r="F22" s="52">
        <f>SUM(F20)</f>
        <v>22</v>
      </c>
      <c r="G22" s="51"/>
      <c r="H22" s="57">
        <f t="shared" ref="H22" si="2">D22-F22</f>
        <v>0</v>
      </c>
    </row>
    <row r="23" spans="1:8" x14ac:dyDescent="0.25">
      <c r="A23" s="37"/>
      <c r="B23" s="38"/>
      <c r="C23" s="37"/>
      <c r="D23" s="37"/>
      <c r="E23" s="37"/>
      <c r="F23" s="37"/>
      <c r="G23" s="37"/>
      <c r="H23" s="37"/>
    </row>
    <row r="24" spans="1:8" x14ac:dyDescent="0.25">
      <c r="A24" s="405" t="s">
        <v>41</v>
      </c>
      <c r="B24" s="406"/>
      <c r="C24" s="406"/>
      <c r="D24" s="406"/>
      <c r="E24" s="406"/>
      <c r="F24" s="407"/>
      <c r="G24" s="407"/>
      <c r="H24" s="408"/>
    </row>
    <row r="25" spans="1:8" x14ac:dyDescent="0.25">
      <c r="A25" s="37"/>
      <c r="B25" s="38"/>
      <c r="C25" s="39"/>
      <c r="D25" s="40"/>
      <c r="E25" s="40"/>
      <c r="F25" s="37"/>
      <c r="G25" s="37"/>
      <c r="H25" s="59"/>
    </row>
    <row r="26" spans="1:8" x14ac:dyDescent="0.25">
      <c r="A26" s="37"/>
      <c r="B26" s="38"/>
      <c r="C26" s="42" t="s">
        <v>22</v>
      </c>
      <c r="D26" s="43" t="s">
        <v>42</v>
      </c>
      <c r="E26" s="42"/>
      <c r="F26" s="43" t="s">
        <v>43</v>
      </c>
      <c r="G26" s="42"/>
      <c r="H26" s="43" t="s">
        <v>13410</v>
      </c>
    </row>
    <row r="27" spans="1:8" x14ac:dyDescent="0.25">
      <c r="A27" s="37"/>
      <c r="B27" s="38"/>
      <c r="C27" s="60" t="s">
        <v>44</v>
      </c>
      <c r="D27" s="61">
        <f>COUNTA('Items Details'!D332:D341)</f>
        <v>10</v>
      </c>
      <c r="E27" s="62"/>
      <c r="F27" s="61">
        <v>10</v>
      </c>
      <c r="G27" s="62"/>
      <c r="H27" s="61">
        <f t="shared" ref="H27" si="3">D27-F27</f>
        <v>0</v>
      </c>
    </row>
    <row r="28" spans="1:8" x14ac:dyDescent="0.25">
      <c r="A28" s="37"/>
      <c r="B28" s="38"/>
      <c r="C28" s="49"/>
      <c r="D28" s="52"/>
      <c r="E28" s="51"/>
      <c r="F28" s="52"/>
      <c r="G28" s="51"/>
      <c r="H28" s="52"/>
    </row>
    <row r="29" spans="1:8" x14ac:dyDescent="0.25">
      <c r="A29" s="37"/>
      <c r="B29" s="38"/>
      <c r="C29" s="53" t="s">
        <v>38</v>
      </c>
      <c r="D29" s="52">
        <f>SUM(D27)</f>
        <v>10</v>
      </c>
      <c r="E29" s="51"/>
      <c r="F29" s="52">
        <f>SUM(F27)</f>
        <v>10</v>
      </c>
      <c r="G29" s="51"/>
      <c r="H29" s="61">
        <f t="shared" ref="H29" si="4">D29-F29</f>
        <v>0</v>
      </c>
    </row>
    <row r="30" spans="1:8" x14ac:dyDescent="0.25">
      <c r="A30" s="37"/>
      <c r="B30" s="38"/>
      <c r="C30" s="37"/>
      <c r="D30" s="37"/>
      <c r="E30" s="37"/>
      <c r="F30" s="37"/>
      <c r="G30" s="37"/>
      <c r="H30" s="37"/>
    </row>
    <row r="31" spans="1:8" x14ac:dyDescent="0.25">
      <c r="A31" s="409" t="s">
        <v>45</v>
      </c>
      <c r="B31" s="410"/>
      <c r="C31" s="410"/>
      <c r="D31" s="410"/>
      <c r="E31" s="410"/>
      <c r="F31" s="411"/>
      <c r="G31" s="411"/>
      <c r="H31" s="412"/>
    </row>
    <row r="32" spans="1:8" x14ac:dyDescent="0.25">
      <c r="A32" s="37"/>
      <c r="B32" s="38"/>
      <c r="C32" s="39"/>
      <c r="D32" s="40"/>
      <c r="E32" s="40"/>
      <c r="F32" s="37"/>
      <c r="G32" s="37"/>
      <c r="H32" s="59"/>
    </row>
    <row r="33" spans="1:8" x14ac:dyDescent="0.25">
      <c r="A33" s="37"/>
      <c r="B33" s="38"/>
      <c r="C33" s="42" t="s">
        <v>22</v>
      </c>
      <c r="D33" s="43" t="s">
        <v>42</v>
      </c>
      <c r="E33" s="42"/>
      <c r="F33" s="43" t="s">
        <v>43</v>
      </c>
      <c r="G33" s="42"/>
      <c r="H33" s="43" t="s">
        <v>13410</v>
      </c>
    </row>
    <row r="34" spans="1:8" x14ac:dyDescent="0.25">
      <c r="A34" s="63" t="s">
        <v>46</v>
      </c>
      <c r="B34" s="64" t="s">
        <v>35</v>
      </c>
      <c r="C34" s="65" t="s">
        <v>47</v>
      </c>
      <c r="D34" s="66">
        <f>COUNTA('Items Details'!D344:D359)</f>
        <v>16</v>
      </c>
      <c r="E34" s="67"/>
      <c r="F34" s="66"/>
      <c r="G34" s="67"/>
      <c r="H34" s="66"/>
    </row>
    <row r="35" spans="1:8" x14ac:dyDescent="0.25">
      <c r="A35" s="37"/>
      <c r="B35" s="38"/>
      <c r="C35" s="49"/>
      <c r="D35" s="52"/>
      <c r="E35" s="51"/>
      <c r="F35" s="52"/>
      <c r="G35" s="51"/>
      <c r="H35" s="52"/>
    </row>
    <row r="36" spans="1:8" x14ac:dyDescent="0.25">
      <c r="A36" s="37"/>
      <c r="B36" s="38"/>
      <c r="C36" s="53" t="s">
        <v>38</v>
      </c>
      <c r="D36" s="52">
        <f>SUM(D34)</f>
        <v>16</v>
      </c>
      <c r="E36" s="51"/>
      <c r="F36" s="52">
        <f>SUM(F34)</f>
        <v>0</v>
      </c>
      <c r="G36" s="51"/>
      <c r="H36" s="66">
        <f t="shared" ref="H36" si="5">D36-F36</f>
        <v>16</v>
      </c>
    </row>
    <row r="94" spans="8:8" x14ac:dyDescent="0.25">
      <c r="H94" s="5" t="s">
        <v>48</v>
      </c>
    </row>
  </sheetData>
  <mergeCells count="8">
    <mergeCell ref="A1:C1"/>
    <mergeCell ref="E1:H1"/>
    <mergeCell ref="A24:E24"/>
    <mergeCell ref="F24:H24"/>
    <mergeCell ref="A31:E31"/>
    <mergeCell ref="F31:H31"/>
    <mergeCell ref="A17:E17"/>
    <mergeCell ref="F17:H17"/>
  </mergeCells>
  <hyperlinks>
    <hyperlink ref="C13" location="Disciplinary_Actions" display="Disciplinary Action" xr:uid="{90DD6980-AF5F-4170-9518-420B241EACB6}"/>
    <hyperlink ref="C6" location="Student_Course_Enrollment" display="Student Course Enrollment" xr:uid="{3AAF25DF-CE3A-47C4-8758-BAB385DB0A89}"/>
    <hyperlink ref="C12" location="Staff_Assignments" display="Staff Assignments" xr:uid="{3A62003A-4C79-43ED-994F-A8001D9E84AB}"/>
    <hyperlink ref="C11" location="Staff_Demographics" display="Staff Demographics and Employment" xr:uid="{D1C2C0B8-A223-426A-B5D3-E63CFAF4B372}"/>
    <hyperlink ref="C10" location="Gifted_Students" display="Gifted Students" xr:uid="{7CA1D4B4-F68D-44AC-BA1A-3B3BDE6BAC85}"/>
    <hyperlink ref="C9" location="Special_Education_Students" display="Special Education Students" xr:uid="{5B801EC8-9405-4CE7-B9AF-8191F4B2FEE9}"/>
    <hyperlink ref="C8" location="District_Calendars" display="District Calendars" xr:uid="{B03CC9D4-A5D4-42ED-8A1C-3BD6A97B4720}"/>
    <hyperlink ref="C7" location="Student_Attendance" display="Student Attendance" xr:uid="{26B65B13-4FDD-44A4-A8C6-85C3166FBF9D}"/>
    <hyperlink ref="C5" location="Student_Demographics" display="Student Demographics" xr:uid="{222D395D-1311-4C34-B43B-70A758B5ECE2}"/>
    <hyperlink ref="C4" location="Master_Course_Schedule" display="Master Course Schedule" xr:uid="{A7F2F3CC-9E4F-46DB-977A-1A0C29653795}"/>
    <hyperlink ref="C20" location="Program_Contacts" display="Program Contacts" xr:uid="{B8CDF429-E2DD-4F38-BC65-C0A6A1586950}"/>
    <hyperlink ref="C27" location="Annual_School_Finance" display="Annual School Finance" xr:uid="{256150FB-52DD-43BB-BE24-45095B78C7B6}"/>
    <hyperlink ref="C34" location="Fiscal_Transparency" display="Fiscal Tranparency" xr:uid="{119B72B7-C130-48E0-A73C-E130CF39BCC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359"/>
  <sheetViews>
    <sheetView showGridLines="0" zoomScaleNormal="100" workbookViewId="0">
      <pane ySplit="1" topLeftCell="A2" activePane="bottomLeft" state="frozen"/>
      <selection pane="bottomLeft"/>
    </sheetView>
  </sheetViews>
  <sheetFormatPr defaultColWidth="9.21875" defaultRowHeight="15" customHeight="1" x14ac:dyDescent="0.25"/>
  <cols>
    <col min="1" max="1" width="21.33203125" style="75" customWidth="1"/>
    <col min="2" max="2" width="4" style="118" customWidth="1"/>
    <col min="3" max="3" width="24.77734375" style="75" customWidth="1"/>
    <col min="4" max="4" width="7.77734375" style="169" customWidth="1"/>
    <col min="5" max="5" width="32.5546875" style="75" customWidth="1"/>
    <col min="6" max="6" width="23.77734375" style="75" customWidth="1"/>
    <col min="7" max="7" width="1.77734375" style="75" customWidth="1"/>
    <col min="8" max="8" width="85.21875" style="75" customWidth="1"/>
    <col min="9" max="9" width="17.21875" style="75" hidden="1" customWidth="1"/>
    <col min="10" max="10" width="3.5546875" style="75" customWidth="1"/>
    <col min="11" max="11" width="15.5546875" style="75" bestFit="1" customWidth="1"/>
    <col min="12" max="12" width="9.21875" style="170" customWidth="1"/>
    <col min="13" max="13" width="16.77734375" style="169" customWidth="1"/>
    <col min="14" max="14" width="30.21875" style="26" customWidth="1"/>
    <col min="15" max="15" width="5.44140625" style="75" customWidth="1"/>
    <col min="16" max="16" width="5.21875" style="75" customWidth="1"/>
    <col min="17" max="17" width="13.5546875" style="75" bestFit="1" customWidth="1"/>
    <col min="18" max="18" width="11.21875" style="75" customWidth="1"/>
    <col min="19" max="19" width="57.77734375" style="75" hidden="1" customWidth="1"/>
    <col min="20" max="20" width="7.77734375" style="118" hidden="1" customWidth="1"/>
    <col min="21" max="21" width="5.5546875" style="118" hidden="1" customWidth="1"/>
    <col min="22" max="22" width="17.5546875" style="118" hidden="1" customWidth="1"/>
    <col min="23" max="23" width="17.44140625" style="75" hidden="1" customWidth="1"/>
    <col min="24" max="24" width="66.77734375" style="75" hidden="1" customWidth="1"/>
    <col min="25" max="16384" width="9.21875" style="75"/>
  </cols>
  <sheetData>
    <row r="1" spans="1:24" ht="15" customHeight="1" thickBot="1" x14ac:dyDescent="0.3">
      <c r="A1" s="68" t="s">
        <v>49</v>
      </c>
      <c r="B1" s="69" t="s">
        <v>50</v>
      </c>
      <c r="C1" s="68" t="s">
        <v>51</v>
      </c>
      <c r="D1" s="70" t="s">
        <v>52</v>
      </c>
      <c r="E1" s="68" t="s">
        <v>53</v>
      </c>
      <c r="F1" s="68" t="s">
        <v>54</v>
      </c>
      <c r="G1" s="68" t="s">
        <v>55</v>
      </c>
      <c r="H1" s="68" t="s">
        <v>56</v>
      </c>
      <c r="I1" s="68" t="s">
        <v>57</v>
      </c>
      <c r="J1" s="68" t="s">
        <v>58</v>
      </c>
      <c r="K1" s="68" t="s">
        <v>59</v>
      </c>
      <c r="L1" s="69" t="s">
        <v>13468</v>
      </c>
      <c r="M1" s="70" t="s">
        <v>60</v>
      </c>
      <c r="N1" s="68" t="s">
        <v>61</v>
      </c>
      <c r="O1" s="71" t="s">
        <v>62</v>
      </c>
      <c r="P1" s="71" t="s">
        <v>63</v>
      </c>
      <c r="Q1" s="72" t="s">
        <v>64</v>
      </c>
      <c r="R1" s="72" t="s">
        <v>65</v>
      </c>
      <c r="S1" s="73" t="s">
        <v>66</v>
      </c>
      <c r="T1" s="74" t="s">
        <v>67</v>
      </c>
      <c r="U1" s="74" t="s">
        <v>68</v>
      </c>
      <c r="V1" s="74" t="s">
        <v>69</v>
      </c>
      <c r="W1" s="73" t="s">
        <v>70</v>
      </c>
      <c r="X1" s="73" t="s">
        <v>71</v>
      </c>
    </row>
    <row r="2" spans="1:24" s="83" customFormat="1" ht="15" customHeight="1" thickBot="1" x14ac:dyDescent="0.3">
      <c r="A2" s="28" t="s">
        <v>72</v>
      </c>
      <c r="B2" s="76" t="s">
        <v>73</v>
      </c>
      <c r="C2" s="28" t="s">
        <v>26</v>
      </c>
      <c r="D2" s="28" t="s">
        <v>73</v>
      </c>
      <c r="E2" s="28" t="s">
        <v>26</v>
      </c>
      <c r="F2" s="77" t="s">
        <v>26</v>
      </c>
      <c r="G2" s="28" t="b">
        <v>0</v>
      </c>
      <c r="H2" s="28"/>
      <c r="I2" s="28"/>
      <c r="J2" s="28"/>
      <c r="K2" s="28"/>
      <c r="L2" s="28"/>
      <c r="M2" s="78"/>
      <c r="N2" s="28"/>
      <c r="O2" s="28"/>
      <c r="P2" s="28"/>
      <c r="Q2" s="79"/>
      <c r="R2" s="79"/>
      <c r="S2" s="80"/>
      <c r="T2" s="81"/>
      <c r="U2" s="81"/>
      <c r="V2" s="81"/>
      <c r="W2" s="80"/>
      <c r="X2" s="82"/>
    </row>
    <row r="3" spans="1:24" ht="15" customHeight="1" x14ac:dyDescent="0.25">
      <c r="A3" s="84" t="s">
        <v>72</v>
      </c>
      <c r="B3" s="85" t="s">
        <v>73</v>
      </c>
      <c r="C3" s="84" t="s">
        <v>26</v>
      </c>
      <c r="D3" s="86" t="s">
        <v>74</v>
      </c>
      <c r="E3" s="84" t="s">
        <v>75</v>
      </c>
      <c r="F3" s="84" t="s">
        <v>76</v>
      </c>
      <c r="G3" s="68"/>
      <c r="H3" s="84" t="s">
        <v>77</v>
      </c>
      <c r="I3" s="84"/>
      <c r="J3" s="84"/>
      <c r="K3" s="84" t="s">
        <v>78</v>
      </c>
      <c r="L3" s="87">
        <v>4</v>
      </c>
      <c r="M3" s="88">
        <v>9999</v>
      </c>
      <c r="N3" s="25" t="s">
        <v>80</v>
      </c>
      <c r="O3" s="84"/>
      <c r="P3" s="84"/>
      <c r="Q3" s="89" t="s">
        <v>64</v>
      </c>
      <c r="R3" s="89"/>
      <c r="S3" s="90" t="s">
        <v>81</v>
      </c>
      <c r="T3" s="91" t="s">
        <v>82</v>
      </c>
      <c r="U3" s="91" t="s">
        <v>82</v>
      </c>
      <c r="V3" s="92" t="s">
        <v>83</v>
      </c>
      <c r="W3" s="93"/>
      <c r="X3" s="94"/>
    </row>
    <row r="4" spans="1:24" ht="15" customHeight="1" x14ac:dyDescent="0.25">
      <c r="A4" s="84" t="s">
        <v>72</v>
      </c>
      <c r="B4" s="85" t="s">
        <v>73</v>
      </c>
      <c r="C4" s="84" t="s">
        <v>26</v>
      </c>
      <c r="D4" s="86" t="s">
        <v>84</v>
      </c>
      <c r="E4" s="84" t="s">
        <v>85</v>
      </c>
      <c r="F4" s="84" t="s">
        <v>86</v>
      </c>
      <c r="G4" s="68"/>
      <c r="H4" s="84" t="s">
        <v>87</v>
      </c>
      <c r="I4" s="84"/>
      <c r="J4" s="84"/>
      <c r="K4" s="84" t="s">
        <v>78</v>
      </c>
      <c r="L4" s="87">
        <v>6</v>
      </c>
      <c r="M4" s="88">
        <v>999999</v>
      </c>
      <c r="N4" s="26" t="s">
        <v>85</v>
      </c>
      <c r="O4" s="84"/>
      <c r="P4" s="84"/>
      <c r="Q4" s="89" t="s">
        <v>64</v>
      </c>
      <c r="R4" s="89"/>
      <c r="S4" s="90" t="s">
        <v>89</v>
      </c>
      <c r="T4" s="91" t="s">
        <v>82</v>
      </c>
      <c r="U4" s="91" t="s">
        <v>82</v>
      </c>
      <c r="V4" s="92" t="s">
        <v>83</v>
      </c>
      <c r="W4" s="93"/>
      <c r="X4" s="94"/>
    </row>
    <row r="5" spans="1:24" ht="15" customHeight="1" x14ac:dyDescent="0.25">
      <c r="A5" s="84" t="s">
        <v>72</v>
      </c>
      <c r="B5" s="85" t="s">
        <v>73</v>
      </c>
      <c r="C5" s="84" t="s">
        <v>26</v>
      </c>
      <c r="D5" s="86" t="s">
        <v>90</v>
      </c>
      <c r="E5" s="84" t="s">
        <v>91</v>
      </c>
      <c r="F5" s="84" t="s">
        <v>92</v>
      </c>
      <c r="G5" s="68"/>
      <c r="H5" s="84" t="s">
        <v>93</v>
      </c>
      <c r="I5" s="84"/>
      <c r="J5" s="84"/>
      <c r="K5" s="84" t="s">
        <v>78</v>
      </c>
      <c r="L5" s="87">
        <v>1</v>
      </c>
      <c r="M5" s="88" t="s">
        <v>13445</v>
      </c>
      <c r="N5" s="26" t="s">
        <v>91</v>
      </c>
      <c r="O5" s="84"/>
      <c r="P5" s="84"/>
      <c r="Q5" s="89" t="s">
        <v>64</v>
      </c>
      <c r="R5" s="89"/>
      <c r="S5" s="90" t="s">
        <v>95</v>
      </c>
      <c r="T5" s="91" t="s">
        <v>82</v>
      </c>
      <c r="U5" s="91" t="s">
        <v>82</v>
      </c>
      <c r="V5" s="92" t="s">
        <v>83</v>
      </c>
      <c r="W5" s="93"/>
      <c r="X5" s="94"/>
    </row>
    <row r="6" spans="1:24" ht="15" customHeight="1" x14ac:dyDescent="0.25">
      <c r="A6" s="84" t="s">
        <v>72</v>
      </c>
      <c r="B6" s="85" t="s">
        <v>73</v>
      </c>
      <c r="C6" s="84" t="s">
        <v>26</v>
      </c>
      <c r="D6" s="86" t="s">
        <v>96</v>
      </c>
      <c r="E6" s="84" t="s">
        <v>97</v>
      </c>
      <c r="F6" s="84" t="s">
        <v>98</v>
      </c>
      <c r="G6" s="68"/>
      <c r="H6" s="84" t="s">
        <v>99</v>
      </c>
      <c r="I6" s="84"/>
      <c r="J6" s="84"/>
      <c r="K6" s="84" t="s">
        <v>78</v>
      </c>
      <c r="L6" s="87">
        <v>2</v>
      </c>
      <c r="M6" s="88" t="s">
        <v>13443</v>
      </c>
      <c r="N6" s="26" t="s">
        <v>97</v>
      </c>
      <c r="O6" s="84"/>
      <c r="P6" s="84"/>
      <c r="Q6" s="89" t="s">
        <v>64</v>
      </c>
      <c r="R6" s="89"/>
      <c r="S6" s="90" t="s">
        <v>101</v>
      </c>
      <c r="T6" s="91" t="s">
        <v>82</v>
      </c>
      <c r="U6" s="91" t="s">
        <v>82</v>
      </c>
      <c r="V6" s="92" t="s">
        <v>83</v>
      </c>
      <c r="W6" s="93"/>
      <c r="X6" s="94"/>
    </row>
    <row r="7" spans="1:24" ht="15" customHeight="1" x14ac:dyDescent="0.25">
      <c r="A7" s="84" t="s">
        <v>72</v>
      </c>
      <c r="B7" s="85" t="s">
        <v>73</v>
      </c>
      <c r="C7" s="84" t="s">
        <v>26</v>
      </c>
      <c r="D7" s="86" t="s">
        <v>102</v>
      </c>
      <c r="E7" s="84" t="s">
        <v>103</v>
      </c>
      <c r="F7" s="84" t="s">
        <v>104</v>
      </c>
      <c r="G7" s="68"/>
      <c r="H7" s="84" t="s">
        <v>105</v>
      </c>
      <c r="I7" s="84"/>
      <c r="J7" s="84"/>
      <c r="K7" s="84" t="s">
        <v>1156</v>
      </c>
      <c r="L7" s="87">
        <v>4</v>
      </c>
      <c r="M7" s="88" t="s">
        <v>13446</v>
      </c>
      <c r="O7" s="84"/>
      <c r="P7" s="84"/>
      <c r="Q7" s="89" t="s">
        <v>64</v>
      </c>
      <c r="R7" s="89"/>
      <c r="S7" s="90" t="s">
        <v>106</v>
      </c>
      <c r="T7" s="91" t="s">
        <v>107</v>
      </c>
      <c r="U7" s="91" t="s">
        <v>82</v>
      </c>
      <c r="V7" s="92" t="s">
        <v>83</v>
      </c>
      <c r="W7" s="93"/>
      <c r="X7" s="94" t="s">
        <v>108</v>
      </c>
    </row>
    <row r="8" spans="1:24" ht="15" customHeight="1" x14ac:dyDescent="0.25">
      <c r="A8" s="84" t="s">
        <v>72</v>
      </c>
      <c r="B8" s="85" t="s">
        <v>73</v>
      </c>
      <c r="C8" s="84" t="s">
        <v>26</v>
      </c>
      <c r="D8" s="86" t="s">
        <v>109</v>
      </c>
      <c r="E8" s="84" t="s">
        <v>110</v>
      </c>
      <c r="F8" s="84" t="s">
        <v>111</v>
      </c>
      <c r="G8" s="68"/>
      <c r="H8" s="84" t="s">
        <v>112</v>
      </c>
      <c r="I8" s="84"/>
      <c r="J8" s="84"/>
      <c r="K8" s="84" t="s">
        <v>78</v>
      </c>
      <c r="L8" s="87">
        <v>2</v>
      </c>
      <c r="M8" s="88" t="s">
        <v>13443</v>
      </c>
      <c r="N8" s="26" t="s">
        <v>110</v>
      </c>
      <c r="O8" s="84"/>
      <c r="P8" s="84"/>
      <c r="Q8" s="89" t="s">
        <v>64</v>
      </c>
      <c r="R8" s="89"/>
      <c r="S8" s="90" t="s">
        <v>113</v>
      </c>
      <c r="T8" s="91" t="s">
        <v>82</v>
      </c>
      <c r="U8" s="91" t="s">
        <v>82</v>
      </c>
      <c r="V8" s="92" t="s">
        <v>83</v>
      </c>
      <c r="W8" s="93"/>
      <c r="X8" s="94"/>
    </row>
    <row r="9" spans="1:24" ht="15" customHeight="1" x14ac:dyDescent="0.25">
      <c r="A9" s="84" t="s">
        <v>72</v>
      </c>
      <c r="B9" s="85" t="s">
        <v>73</v>
      </c>
      <c r="C9" s="84" t="s">
        <v>26</v>
      </c>
      <c r="D9" s="86" t="s">
        <v>114</v>
      </c>
      <c r="E9" s="84" t="s">
        <v>115</v>
      </c>
      <c r="F9" s="84" t="s">
        <v>116</v>
      </c>
      <c r="G9" s="68"/>
      <c r="H9" s="84" t="s">
        <v>117</v>
      </c>
      <c r="I9" s="84"/>
      <c r="J9" s="84"/>
      <c r="K9" s="84" t="s">
        <v>1186</v>
      </c>
      <c r="L9" s="87">
        <v>15</v>
      </c>
      <c r="M9" s="88"/>
      <c r="O9" s="84"/>
      <c r="P9" s="84"/>
      <c r="Q9" s="89" t="s">
        <v>64</v>
      </c>
      <c r="R9" s="89"/>
      <c r="S9" s="90" t="s">
        <v>119</v>
      </c>
      <c r="T9" s="91" t="s">
        <v>82</v>
      </c>
      <c r="U9" s="91" t="s">
        <v>82</v>
      </c>
      <c r="V9" s="92" t="s">
        <v>83</v>
      </c>
      <c r="W9" s="93"/>
      <c r="X9" s="94"/>
    </row>
    <row r="10" spans="1:24" ht="15" customHeight="1" x14ac:dyDescent="0.25">
      <c r="A10" s="84" t="s">
        <v>72</v>
      </c>
      <c r="B10" s="85" t="s">
        <v>73</v>
      </c>
      <c r="C10" s="84" t="s">
        <v>26</v>
      </c>
      <c r="D10" s="86" t="s">
        <v>120</v>
      </c>
      <c r="E10" s="84" t="s">
        <v>121</v>
      </c>
      <c r="F10" s="84" t="s">
        <v>122</v>
      </c>
      <c r="G10" s="68"/>
      <c r="H10" s="84" t="s">
        <v>123</v>
      </c>
      <c r="I10" s="84"/>
      <c r="J10" s="84"/>
      <c r="K10" s="84" t="s">
        <v>1186</v>
      </c>
      <c r="L10" s="87">
        <v>25</v>
      </c>
      <c r="M10" s="88"/>
      <c r="O10" s="84"/>
      <c r="P10" s="84"/>
      <c r="Q10" s="89" t="s">
        <v>64</v>
      </c>
      <c r="R10" s="89"/>
      <c r="S10" s="90" t="s">
        <v>125</v>
      </c>
      <c r="T10" s="91" t="s">
        <v>82</v>
      </c>
      <c r="U10" s="91" t="s">
        <v>82</v>
      </c>
      <c r="V10" s="92" t="s">
        <v>83</v>
      </c>
      <c r="W10" s="93"/>
      <c r="X10" s="94"/>
    </row>
    <row r="11" spans="1:24" ht="15" customHeight="1" x14ac:dyDescent="0.25">
      <c r="A11" s="84" t="s">
        <v>72</v>
      </c>
      <c r="B11" s="85" t="s">
        <v>73</v>
      </c>
      <c r="C11" s="84" t="s">
        <v>26</v>
      </c>
      <c r="D11" s="86" t="s">
        <v>126</v>
      </c>
      <c r="E11" s="84" t="s">
        <v>127</v>
      </c>
      <c r="F11" s="84" t="s">
        <v>128</v>
      </c>
      <c r="G11" s="68"/>
      <c r="H11" s="84" t="s">
        <v>129</v>
      </c>
      <c r="I11" s="84"/>
      <c r="J11" s="84"/>
      <c r="K11" s="84" t="s">
        <v>1186</v>
      </c>
      <c r="L11" s="87">
        <v>50</v>
      </c>
      <c r="M11" s="88"/>
      <c r="O11" s="84"/>
      <c r="P11" s="84"/>
      <c r="Q11" s="89" t="s">
        <v>64</v>
      </c>
      <c r="R11" s="89"/>
      <c r="S11" s="90" t="s">
        <v>119</v>
      </c>
      <c r="T11" s="91" t="s">
        <v>82</v>
      </c>
      <c r="U11" s="91" t="s">
        <v>82</v>
      </c>
      <c r="V11" s="92" t="s">
        <v>83</v>
      </c>
      <c r="W11" s="93"/>
      <c r="X11" s="94"/>
    </row>
    <row r="12" spans="1:24" ht="15" customHeight="1" x14ac:dyDescent="0.25">
      <c r="A12" s="84" t="s">
        <v>72</v>
      </c>
      <c r="B12" s="85" t="s">
        <v>73</v>
      </c>
      <c r="C12" s="84" t="s">
        <v>26</v>
      </c>
      <c r="D12" s="86" t="s">
        <v>130</v>
      </c>
      <c r="E12" s="84" t="s">
        <v>131</v>
      </c>
      <c r="F12" s="84" t="s">
        <v>132</v>
      </c>
      <c r="G12" s="68"/>
      <c r="H12" s="84" t="s">
        <v>133</v>
      </c>
      <c r="I12" s="84"/>
      <c r="J12" s="84"/>
      <c r="K12" s="84" t="s">
        <v>1181</v>
      </c>
      <c r="L12" s="87"/>
      <c r="M12" s="88" t="s">
        <v>135</v>
      </c>
      <c r="O12" s="84"/>
      <c r="P12" s="84"/>
      <c r="Q12" s="89" t="s">
        <v>64</v>
      </c>
      <c r="R12" s="89"/>
      <c r="S12" s="90" t="s">
        <v>119</v>
      </c>
      <c r="T12" s="91" t="s">
        <v>82</v>
      </c>
      <c r="U12" s="91" t="s">
        <v>82</v>
      </c>
      <c r="V12" s="92" t="s">
        <v>83</v>
      </c>
      <c r="W12" s="93"/>
      <c r="X12" s="94"/>
    </row>
    <row r="13" spans="1:24" ht="15" customHeight="1" x14ac:dyDescent="0.25">
      <c r="A13" s="84" t="s">
        <v>72</v>
      </c>
      <c r="B13" s="85" t="s">
        <v>73</v>
      </c>
      <c r="C13" s="84" t="s">
        <v>26</v>
      </c>
      <c r="D13" s="86" t="s">
        <v>136</v>
      </c>
      <c r="E13" s="84" t="s">
        <v>137</v>
      </c>
      <c r="F13" s="84" t="s">
        <v>138</v>
      </c>
      <c r="G13" s="68"/>
      <c r="H13" s="84" t="s">
        <v>139</v>
      </c>
      <c r="I13" s="84"/>
      <c r="J13" s="84"/>
      <c r="K13" s="84" t="s">
        <v>1181</v>
      </c>
      <c r="L13" s="87"/>
      <c r="M13" s="88" t="s">
        <v>135</v>
      </c>
      <c r="O13" s="84"/>
      <c r="P13" s="84"/>
      <c r="Q13" s="89" t="s">
        <v>64</v>
      </c>
      <c r="R13" s="89"/>
      <c r="S13" s="90" t="s">
        <v>119</v>
      </c>
      <c r="T13" s="91" t="s">
        <v>82</v>
      </c>
      <c r="U13" s="91" t="s">
        <v>82</v>
      </c>
      <c r="V13" s="92" t="s">
        <v>83</v>
      </c>
      <c r="W13" s="93"/>
      <c r="X13" s="94"/>
    </row>
    <row r="14" spans="1:24" ht="15" customHeight="1" x14ac:dyDescent="0.25">
      <c r="A14" s="84" t="s">
        <v>72</v>
      </c>
      <c r="B14" s="85" t="s">
        <v>73</v>
      </c>
      <c r="C14" s="84" t="s">
        <v>26</v>
      </c>
      <c r="D14" s="86" t="s">
        <v>140</v>
      </c>
      <c r="E14" s="84" t="s">
        <v>141</v>
      </c>
      <c r="F14" s="84" t="s">
        <v>142</v>
      </c>
      <c r="G14" s="68"/>
      <c r="H14" s="84" t="s">
        <v>143</v>
      </c>
      <c r="I14" s="84"/>
      <c r="J14" s="84"/>
      <c r="K14" s="84" t="s">
        <v>78</v>
      </c>
      <c r="L14" s="87">
        <v>4</v>
      </c>
      <c r="M14" s="88">
        <v>9999</v>
      </c>
      <c r="N14" s="25" t="s">
        <v>80</v>
      </c>
      <c r="O14" s="84"/>
      <c r="P14" s="84"/>
      <c r="Q14" s="89" t="s">
        <v>144</v>
      </c>
      <c r="R14" s="89"/>
      <c r="S14" s="90" t="s">
        <v>145</v>
      </c>
      <c r="T14" s="91" t="s">
        <v>82</v>
      </c>
      <c r="U14" s="91" t="s">
        <v>82</v>
      </c>
      <c r="V14" s="92" t="s">
        <v>83</v>
      </c>
      <c r="W14" s="93"/>
      <c r="X14" s="94"/>
    </row>
    <row r="15" spans="1:24" ht="15" customHeight="1" x14ac:dyDescent="0.25">
      <c r="A15" s="84" t="s">
        <v>72</v>
      </c>
      <c r="B15" s="85" t="s">
        <v>73</v>
      </c>
      <c r="C15" s="84" t="s">
        <v>26</v>
      </c>
      <c r="D15" s="86" t="s">
        <v>146</v>
      </c>
      <c r="E15" s="84" t="s">
        <v>147</v>
      </c>
      <c r="F15" s="84" t="s">
        <v>148</v>
      </c>
      <c r="G15" s="68"/>
      <c r="H15" s="84" t="s">
        <v>149</v>
      </c>
      <c r="I15" s="84"/>
      <c r="J15" s="84"/>
      <c r="K15" s="84" t="s">
        <v>1186</v>
      </c>
      <c r="L15" s="87">
        <v>50</v>
      </c>
      <c r="M15" s="88"/>
      <c r="O15" s="84"/>
      <c r="P15" s="84"/>
      <c r="Q15" s="89" t="s">
        <v>144</v>
      </c>
      <c r="R15" s="89"/>
      <c r="S15" s="90" t="s">
        <v>119</v>
      </c>
      <c r="T15" s="91" t="s">
        <v>82</v>
      </c>
      <c r="U15" s="91" t="s">
        <v>82</v>
      </c>
      <c r="V15" s="92" t="s">
        <v>83</v>
      </c>
      <c r="W15" s="93"/>
      <c r="X15" s="94"/>
    </row>
    <row r="16" spans="1:24" ht="15" customHeight="1" x14ac:dyDescent="0.25">
      <c r="A16" s="84" t="s">
        <v>72</v>
      </c>
      <c r="B16" s="85" t="s">
        <v>73</v>
      </c>
      <c r="C16" s="84" t="s">
        <v>26</v>
      </c>
      <c r="D16" s="86" t="s">
        <v>150</v>
      </c>
      <c r="E16" s="84" t="s">
        <v>151</v>
      </c>
      <c r="F16" s="84" t="s">
        <v>152</v>
      </c>
      <c r="G16" s="68"/>
      <c r="H16" s="84" t="s">
        <v>153</v>
      </c>
      <c r="I16" s="84"/>
      <c r="J16" s="84"/>
      <c r="K16" s="84" t="s">
        <v>1153</v>
      </c>
      <c r="L16" s="87">
        <v>9</v>
      </c>
      <c r="M16" s="88">
        <v>999999999</v>
      </c>
      <c r="O16" s="84"/>
      <c r="P16" s="84"/>
      <c r="Q16" s="89" t="s">
        <v>144</v>
      </c>
      <c r="R16" s="89"/>
      <c r="S16" s="90" t="s">
        <v>145</v>
      </c>
      <c r="T16" s="91" t="s">
        <v>82</v>
      </c>
      <c r="U16" s="91" t="s">
        <v>82</v>
      </c>
      <c r="V16" s="92" t="s">
        <v>83</v>
      </c>
      <c r="W16" s="93"/>
      <c r="X16" s="94"/>
    </row>
    <row r="17" spans="1:24" ht="15" customHeight="1" thickBot="1" x14ac:dyDescent="0.3">
      <c r="A17" s="84" t="s">
        <v>72</v>
      </c>
      <c r="B17" s="85" t="s">
        <v>73</v>
      </c>
      <c r="C17" s="84" t="s">
        <v>26</v>
      </c>
      <c r="D17" s="86" t="s">
        <v>154</v>
      </c>
      <c r="E17" s="84" t="s">
        <v>155</v>
      </c>
      <c r="F17" s="84" t="s">
        <v>156</v>
      </c>
      <c r="G17" s="68"/>
      <c r="H17" s="84" t="s">
        <v>157</v>
      </c>
      <c r="I17" s="84"/>
      <c r="J17" s="84"/>
      <c r="K17" s="84" t="s">
        <v>1186</v>
      </c>
      <c r="L17" s="87">
        <v>50</v>
      </c>
      <c r="M17" s="88"/>
      <c r="O17" s="84"/>
      <c r="P17" s="84"/>
      <c r="Q17" s="89" t="s">
        <v>144</v>
      </c>
      <c r="R17" s="89"/>
      <c r="S17" s="90" t="s">
        <v>119</v>
      </c>
      <c r="T17" s="91" t="s">
        <v>107</v>
      </c>
      <c r="U17" s="91" t="s">
        <v>82</v>
      </c>
      <c r="V17" s="92" t="s">
        <v>83</v>
      </c>
      <c r="W17" s="93"/>
      <c r="X17" s="94"/>
    </row>
    <row r="18" spans="1:24" s="83" customFormat="1" ht="15" customHeight="1" thickBot="1" x14ac:dyDescent="0.3">
      <c r="A18" s="28" t="s">
        <v>72</v>
      </c>
      <c r="B18" s="76" t="s">
        <v>74</v>
      </c>
      <c r="C18" s="28" t="s">
        <v>27</v>
      </c>
      <c r="D18" s="28" t="s">
        <v>73</v>
      </c>
      <c r="E18" s="28" t="s">
        <v>27</v>
      </c>
      <c r="F18" s="77" t="s">
        <v>27</v>
      </c>
      <c r="G18" s="28" t="b">
        <v>0</v>
      </c>
      <c r="H18" s="28"/>
      <c r="I18" s="28"/>
      <c r="J18" s="28"/>
      <c r="K18" s="28"/>
      <c r="L18" s="28"/>
      <c r="M18" s="78"/>
      <c r="N18" s="28"/>
      <c r="O18" s="28"/>
      <c r="P18" s="28"/>
      <c r="Q18" s="28"/>
      <c r="R18" s="95"/>
      <c r="S18" s="80"/>
      <c r="T18" s="81"/>
      <c r="U18" s="81"/>
      <c r="V18" s="81"/>
      <c r="W18" s="80"/>
      <c r="X18" s="82"/>
    </row>
    <row r="19" spans="1:24" ht="15" customHeight="1" thickBot="1" x14ac:dyDescent="0.3">
      <c r="A19" s="84" t="s">
        <v>72</v>
      </c>
      <c r="B19" s="85" t="s">
        <v>74</v>
      </c>
      <c r="C19" s="96" t="s">
        <v>27</v>
      </c>
      <c r="D19" s="86" t="s">
        <v>74</v>
      </c>
      <c r="E19" s="84" t="s">
        <v>158</v>
      </c>
      <c r="F19" s="84" t="s">
        <v>159</v>
      </c>
      <c r="G19" s="88"/>
      <c r="H19" s="84" t="s">
        <v>160</v>
      </c>
      <c r="I19" s="96"/>
      <c r="J19" s="96"/>
      <c r="K19" s="96" t="s">
        <v>1153</v>
      </c>
      <c r="L19" s="97">
        <v>9</v>
      </c>
      <c r="M19" s="98">
        <v>999999999</v>
      </c>
      <c r="O19" s="96"/>
      <c r="P19" s="96"/>
      <c r="Q19" s="99" t="s">
        <v>64</v>
      </c>
      <c r="R19" s="99"/>
      <c r="S19" s="100" t="s">
        <v>161</v>
      </c>
      <c r="T19" s="101" t="s">
        <v>82</v>
      </c>
      <c r="U19" s="101" t="s">
        <v>82</v>
      </c>
      <c r="V19" s="102" t="s">
        <v>83</v>
      </c>
      <c r="W19" s="103"/>
      <c r="X19" s="104" t="s">
        <v>162</v>
      </c>
    </row>
    <row r="20" spans="1:24" ht="15" customHeight="1" thickBot="1" x14ac:dyDescent="0.3">
      <c r="A20" s="84" t="s">
        <v>72</v>
      </c>
      <c r="B20" s="85" t="s">
        <v>74</v>
      </c>
      <c r="C20" s="96" t="s">
        <v>27</v>
      </c>
      <c r="D20" s="86" t="s">
        <v>84</v>
      </c>
      <c r="E20" s="84" t="s">
        <v>163</v>
      </c>
      <c r="F20" s="84" t="s">
        <v>164</v>
      </c>
      <c r="G20" s="88"/>
      <c r="H20" s="84" t="s">
        <v>165</v>
      </c>
      <c r="I20" s="96"/>
      <c r="J20" s="96"/>
      <c r="K20" s="96" t="s">
        <v>1186</v>
      </c>
      <c r="L20" s="97">
        <v>35</v>
      </c>
      <c r="M20" s="98"/>
      <c r="O20" s="96"/>
      <c r="P20" s="96"/>
      <c r="Q20" s="99" t="s">
        <v>64</v>
      </c>
      <c r="R20" s="99"/>
      <c r="S20" s="100" t="s">
        <v>119</v>
      </c>
      <c r="T20" s="101" t="s">
        <v>82</v>
      </c>
      <c r="U20" s="101" t="s">
        <v>82</v>
      </c>
      <c r="V20" s="102" t="s">
        <v>83</v>
      </c>
      <c r="W20" s="103"/>
      <c r="X20" s="104" t="s">
        <v>166</v>
      </c>
    </row>
    <row r="21" spans="1:24" ht="15" customHeight="1" thickBot="1" x14ac:dyDescent="0.3">
      <c r="A21" s="84" t="s">
        <v>72</v>
      </c>
      <c r="B21" s="85" t="s">
        <v>74</v>
      </c>
      <c r="C21" s="96" t="s">
        <v>27</v>
      </c>
      <c r="D21" s="86" t="s">
        <v>90</v>
      </c>
      <c r="E21" s="84" t="s">
        <v>167</v>
      </c>
      <c r="F21" s="84" t="s">
        <v>168</v>
      </c>
      <c r="G21" s="88"/>
      <c r="H21" s="84" t="s">
        <v>169</v>
      </c>
      <c r="I21" s="96"/>
      <c r="J21" s="96"/>
      <c r="K21" s="96" t="s">
        <v>1186</v>
      </c>
      <c r="L21" s="97">
        <v>35</v>
      </c>
      <c r="M21" s="98"/>
      <c r="O21" s="96"/>
      <c r="P21" s="96"/>
      <c r="Q21" s="99" t="s">
        <v>64</v>
      </c>
      <c r="R21" s="99"/>
      <c r="S21" s="100" t="s">
        <v>119</v>
      </c>
      <c r="T21" s="101" t="s">
        <v>82</v>
      </c>
      <c r="U21" s="101" t="s">
        <v>82</v>
      </c>
      <c r="V21" s="102" t="s">
        <v>83</v>
      </c>
      <c r="W21" s="103"/>
      <c r="X21" s="104" t="s">
        <v>166</v>
      </c>
    </row>
    <row r="22" spans="1:24" ht="15" customHeight="1" thickBot="1" x14ac:dyDescent="0.3">
      <c r="A22" s="84" t="s">
        <v>72</v>
      </c>
      <c r="B22" s="85" t="s">
        <v>74</v>
      </c>
      <c r="C22" s="96" t="s">
        <v>27</v>
      </c>
      <c r="D22" s="86" t="s">
        <v>96</v>
      </c>
      <c r="E22" s="84" t="s">
        <v>170</v>
      </c>
      <c r="F22" s="84" t="s">
        <v>171</v>
      </c>
      <c r="G22" s="88"/>
      <c r="H22" s="84" t="s">
        <v>172</v>
      </c>
      <c r="I22" s="96"/>
      <c r="J22" s="96"/>
      <c r="K22" s="96" t="s">
        <v>1186</v>
      </c>
      <c r="L22" s="97">
        <v>40</v>
      </c>
      <c r="M22" s="98"/>
      <c r="O22" s="96"/>
      <c r="P22" s="96"/>
      <c r="Q22" s="99" t="s">
        <v>173</v>
      </c>
      <c r="R22" s="99"/>
      <c r="S22" s="100" t="s">
        <v>119</v>
      </c>
      <c r="T22" s="101" t="s">
        <v>82</v>
      </c>
      <c r="U22" s="101" t="s">
        <v>82</v>
      </c>
      <c r="V22" s="102" t="s">
        <v>83</v>
      </c>
      <c r="W22" s="103"/>
      <c r="X22" s="104" t="s">
        <v>166</v>
      </c>
    </row>
    <row r="23" spans="1:24" ht="15" customHeight="1" thickBot="1" x14ac:dyDescent="0.3">
      <c r="A23" s="84" t="s">
        <v>72</v>
      </c>
      <c r="B23" s="85" t="s">
        <v>74</v>
      </c>
      <c r="C23" s="96" t="s">
        <v>27</v>
      </c>
      <c r="D23" s="86" t="s">
        <v>102</v>
      </c>
      <c r="E23" s="84" t="s">
        <v>174</v>
      </c>
      <c r="F23" s="84" t="s">
        <v>175</v>
      </c>
      <c r="G23" s="88"/>
      <c r="H23" s="84" t="s">
        <v>176</v>
      </c>
      <c r="I23" s="96"/>
      <c r="J23" s="96"/>
      <c r="K23" s="96" t="s">
        <v>1186</v>
      </c>
      <c r="L23" s="97">
        <v>8</v>
      </c>
      <c r="M23" s="98"/>
      <c r="O23" s="96"/>
      <c r="P23" s="96"/>
      <c r="Q23" s="99" t="s">
        <v>173</v>
      </c>
      <c r="R23" s="99"/>
      <c r="S23" s="100" t="s">
        <v>119</v>
      </c>
      <c r="T23" s="101" t="s">
        <v>82</v>
      </c>
      <c r="U23" s="101" t="s">
        <v>82</v>
      </c>
      <c r="V23" s="102" t="s">
        <v>83</v>
      </c>
      <c r="W23" s="103"/>
      <c r="X23" s="104" t="s">
        <v>166</v>
      </c>
    </row>
    <row r="24" spans="1:24" ht="15" customHeight="1" thickBot="1" x14ac:dyDescent="0.3">
      <c r="A24" s="84" t="s">
        <v>72</v>
      </c>
      <c r="B24" s="85" t="s">
        <v>74</v>
      </c>
      <c r="C24" s="96" t="s">
        <v>27</v>
      </c>
      <c r="D24" s="86" t="s">
        <v>109</v>
      </c>
      <c r="E24" s="84" t="s">
        <v>177</v>
      </c>
      <c r="F24" s="84" t="s">
        <v>178</v>
      </c>
      <c r="G24" s="88"/>
      <c r="H24" s="84" t="s">
        <v>179</v>
      </c>
      <c r="I24" s="96"/>
      <c r="J24" s="96"/>
      <c r="K24" s="84" t="s">
        <v>1181</v>
      </c>
      <c r="L24" s="97">
        <v>10</v>
      </c>
      <c r="M24" s="98" t="s">
        <v>135</v>
      </c>
      <c r="O24" s="96"/>
      <c r="P24" s="96"/>
      <c r="Q24" s="99" t="s">
        <v>64</v>
      </c>
      <c r="R24" s="99"/>
      <c r="S24" s="100" t="s">
        <v>180</v>
      </c>
      <c r="T24" s="101" t="s">
        <v>82</v>
      </c>
      <c r="U24" s="101" t="s">
        <v>82</v>
      </c>
      <c r="V24" s="102" t="s">
        <v>83</v>
      </c>
      <c r="W24" s="103"/>
      <c r="X24" s="104" t="s">
        <v>166</v>
      </c>
    </row>
    <row r="25" spans="1:24" ht="15" customHeight="1" thickBot="1" x14ac:dyDescent="0.3">
      <c r="A25" s="84" t="s">
        <v>72</v>
      </c>
      <c r="B25" s="85" t="s">
        <v>74</v>
      </c>
      <c r="C25" s="96" t="s">
        <v>27</v>
      </c>
      <c r="D25" s="86" t="s">
        <v>114</v>
      </c>
      <c r="E25" s="84" t="s">
        <v>181</v>
      </c>
      <c r="F25" s="84" t="s">
        <v>182</v>
      </c>
      <c r="G25" s="88"/>
      <c r="H25" s="84" t="s">
        <v>183</v>
      </c>
      <c r="I25" s="96"/>
      <c r="J25" s="96"/>
      <c r="K25" s="96" t="s">
        <v>78</v>
      </c>
      <c r="L25" s="97">
        <v>1</v>
      </c>
      <c r="M25" s="98" t="s">
        <v>13445</v>
      </c>
      <c r="N25" s="26" t="s">
        <v>181</v>
      </c>
      <c r="O25" s="96"/>
      <c r="P25" s="96"/>
      <c r="Q25" s="99" t="s">
        <v>64</v>
      </c>
      <c r="R25" s="99"/>
      <c r="S25" s="100" t="s">
        <v>184</v>
      </c>
      <c r="T25" s="101" t="s">
        <v>82</v>
      </c>
      <c r="U25" s="101" t="s">
        <v>82</v>
      </c>
      <c r="V25" s="102" t="s">
        <v>83</v>
      </c>
      <c r="W25" s="103"/>
      <c r="X25" s="104" t="s">
        <v>162</v>
      </c>
    </row>
    <row r="26" spans="1:24" ht="15" customHeight="1" thickBot="1" x14ac:dyDescent="0.3">
      <c r="A26" s="84" t="s">
        <v>72</v>
      </c>
      <c r="B26" s="85" t="s">
        <v>74</v>
      </c>
      <c r="C26" s="96" t="s">
        <v>27</v>
      </c>
      <c r="D26" s="86" t="s">
        <v>120</v>
      </c>
      <c r="E26" s="84" t="s">
        <v>185</v>
      </c>
      <c r="F26" s="84" t="s">
        <v>186</v>
      </c>
      <c r="G26" s="88"/>
      <c r="H26" s="84" t="s">
        <v>187</v>
      </c>
      <c r="I26" s="96"/>
      <c r="J26" s="96"/>
      <c r="K26" s="96" t="s">
        <v>78</v>
      </c>
      <c r="L26" s="97">
        <v>1</v>
      </c>
      <c r="M26" s="98" t="s">
        <v>13445</v>
      </c>
      <c r="N26" s="26" t="s">
        <v>188</v>
      </c>
      <c r="O26" s="96"/>
      <c r="P26" s="96"/>
      <c r="Q26" s="99" t="s">
        <v>144</v>
      </c>
      <c r="R26" s="99"/>
      <c r="S26" s="100" t="s">
        <v>184</v>
      </c>
      <c r="T26" s="101" t="s">
        <v>82</v>
      </c>
      <c r="U26" s="101" t="s">
        <v>82</v>
      </c>
      <c r="V26" s="102" t="s">
        <v>83</v>
      </c>
      <c r="W26" s="103"/>
      <c r="X26" s="104" t="s">
        <v>162</v>
      </c>
    </row>
    <row r="27" spans="1:24" ht="15" customHeight="1" thickBot="1" x14ac:dyDescent="0.3">
      <c r="A27" s="84" t="s">
        <v>72</v>
      </c>
      <c r="B27" s="85" t="s">
        <v>74</v>
      </c>
      <c r="C27" s="96" t="s">
        <v>27</v>
      </c>
      <c r="D27" s="86" t="s">
        <v>126</v>
      </c>
      <c r="E27" s="84" t="s">
        <v>189</v>
      </c>
      <c r="F27" s="84" t="s">
        <v>190</v>
      </c>
      <c r="G27" s="88"/>
      <c r="H27" s="84" t="s">
        <v>191</v>
      </c>
      <c r="I27" s="96"/>
      <c r="J27" s="96"/>
      <c r="K27" s="96" t="s">
        <v>78</v>
      </c>
      <c r="L27" s="97">
        <v>1</v>
      </c>
      <c r="M27" s="98" t="s">
        <v>13445</v>
      </c>
      <c r="N27" s="26" t="s">
        <v>188</v>
      </c>
      <c r="O27" s="96"/>
      <c r="P27" s="96"/>
      <c r="Q27" s="99" t="s">
        <v>144</v>
      </c>
      <c r="R27" s="99"/>
      <c r="S27" s="100" t="s">
        <v>184</v>
      </c>
      <c r="T27" s="101" t="s">
        <v>82</v>
      </c>
      <c r="U27" s="101" t="s">
        <v>82</v>
      </c>
      <c r="V27" s="102" t="s">
        <v>83</v>
      </c>
      <c r="W27" s="103"/>
      <c r="X27" s="104" t="s">
        <v>162</v>
      </c>
    </row>
    <row r="28" spans="1:24" ht="15" customHeight="1" thickBot="1" x14ac:dyDescent="0.3">
      <c r="A28" s="84" t="s">
        <v>72</v>
      </c>
      <c r="B28" s="85" t="s">
        <v>74</v>
      </c>
      <c r="C28" s="96" t="s">
        <v>27</v>
      </c>
      <c r="D28" s="86" t="s">
        <v>130</v>
      </c>
      <c r="E28" s="84" t="s">
        <v>192</v>
      </c>
      <c r="F28" s="84" t="s">
        <v>193</v>
      </c>
      <c r="G28" s="88"/>
      <c r="H28" s="84" t="s">
        <v>194</v>
      </c>
      <c r="I28" s="96"/>
      <c r="J28" s="96"/>
      <c r="K28" s="96" t="s">
        <v>78</v>
      </c>
      <c r="L28" s="97">
        <v>1</v>
      </c>
      <c r="M28" s="98" t="s">
        <v>13445</v>
      </c>
      <c r="N28" s="26" t="s">
        <v>188</v>
      </c>
      <c r="O28" s="96"/>
      <c r="P28" s="96"/>
      <c r="Q28" s="99" t="s">
        <v>144</v>
      </c>
      <c r="R28" s="99"/>
      <c r="S28" s="100" t="s">
        <v>184</v>
      </c>
      <c r="T28" s="101" t="s">
        <v>82</v>
      </c>
      <c r="U28" s="101" t="s">
        <v>82</v>
      </c>
      <c r="V28" s="102" t="s">
        <v>83</v>
      </c>
      <c r="W28" s="103"/>
      <c r="X28" s="104" t="s">
        <v>162</v>
      </c>
    </row>
    <row r="29" spans="1:24" ht="15" customHeight="1" thickBot="1" x14ac:dyDescent="0.3">
      <c r="A29" s="84" t="s">
        <v>72</v>
      </c>
      <c r="B29" s="85" t="s">
        <v>74</v>
      </c>
      <c r="C29" s="96" t="s">
        <v>27</v>
      </c>
      <c r="D29" s="86" t="s">
        <v>136</v>
      </c>
      <c r="E29" s="84" t="s">
        <v>195</v>
      </c>
      <c r="F29" s="84" t="s">
        <v>196</v>
      </c>
      <c r="G29" s="88"/>
      <c r="H29" s="84" t="s">
        <v>197</v>
      </c>
      <c r="I29" s="96"/>
      <c r="J29" s="96"/>
      <c r="K29" s="96" t="s">
        <v>78</v>
      </c>
      <c r="L29" s="97">
        <v>1</v>
      </c>
      <c r="M29" s="98" t="s">
        <v>13445</v>
      </c>
      <c r="N29" s="26" t="s">
        <v>188</v>
      </c>
      <c r="O29" s="96"/>
      <c r="P29" s="96"/>
      <c r="Q29" s="99" t="s">
        <v>144</v>
      </c>
      <c r="R29" s="99"/>
      <c r="S29" s="100" t="s">
        <v>184</v>
      </c>
      <c r="T29" s="101" t="s">
        <v>82</v>
      </c>
      <c r="U29" s="101" t="s">
        <v>82</v>
      </c>
      <c r="V29" s="102" t="s">
        <v>83</v>
      </c>
      <c r="W29" s="103"/>
      <c r="X29" s="104" t="s">
        <v>162</v>
      </c>
    </row>
    <row r="30" spans="1:24" ht="15" customHeight="1" thickBot="1" x14ac:dyDescent="0.3">
      <c r="A30" s="84" t="s">
        <v>72</v>
      </c>
      <c r="B30" s="85" t="s">
        <v>74</v>
      </c>
      <c r="C30" s="96" t="s">
        <v>27</v>
      </c>
      <c r="D30" s="86" t="s">
        <v>140</v>
      </c>
      <c r="E30" s="84" t="s">
        <v>198</v>
      </c>
      <c r="F30" s="84" t="s">
        <v>199</v>
      </c>
      <c r="G30" s="88"/>
      <c r="H30" s="84" t="s">
        <v>200</v>
      </c>
      <c r="I30" s="96"/>
      <c r="J30" s="96"/>
      <c r="K30" s="96" t="s">
        <v>78</v>
      </c>
      <c r="L30" s="97">
        <v>1</v>
      </c>
      <c r="M30" s="98" t="s">
        <v>13445</v>
      </c>
      <c r="N30" s="26" t="s">
        <v>188</v>
      </c>
      <c r="O30" s="96"/>
      <c r="P30" s="96"/>
      <c r="Q30" s="99" t="s">
        <v>144</v>
      </c>
      <c r="R30" s="99"/>
      <c r="S30" s="100" t="s">
        <v>184</v>
      </c>
      <c r="T30" s="101" t="s">
        <v>82</v>
      </c>
      <c r="U30" s="101" t="s">
        <v>82</v>
      </c>
      <c r="V30" s="102" t="s">
        <v>83</v>
      </c>
      <c r="W30" s="103"/>
      <c r="X30" s="104" t="s">
        <v>162</v>
      </c>
    </row>
    <row r="31" spans="1:24" ht="15" customHeight="1" thickBot="1" x14ac:dyDescent="0.3">
      <c r="A31" s="84" t="s">
        <v>72</v>
      </c>
      <c r="B31" s="85" t="s">
        <v>74</v>
      </c>
      <c r="C31" s="96" t="s">
        <v>27</v>
      </c>
      <c r="D31" s="86" t="s">
        <v>146</v>
      </c>
      <c r="E31" s="84" t="s">
        <v>201</v>
      </c>
      <c r="F31" s="84" t="s">
        <v>202</v>
      </c>
      <c r="G31" s="88"/>
      <c r="H31" s="84" t="s">
        <v>203</v>
      </c>
      <c r="I31" s="96"/>
      <c r="J31" s="96"/>
      <c r="K31" s="96" t="s">
        <v>78</v>
      </c>
      <c r="L31" s="97">
        <v>1</v>
      </c>
      <c r="M31" s="98" t="s">
        <v>13445</v>
      </c>
      <c r="N31" s="26" t="s">
        <v>188</v>
      </c>
      <c r="O31" s="96"/>
      <c r="P31" s="96"/>
      <c r="Q31" s="99" t="s">
        <v>144</v>
      </c>
      <c r="R31" s="99"/>
      <c r="S31" s="100" t="s">
        <v>184</v>
      </c>
      <c r="T31" s="101" t="s">
        <v>82</v>
      </c>
      <c r="U31" s="101" t="s">
        <v>82</v>
      </c>
      <c r="V31" s="102" t="s">
        <v>83</v>
      </c>
      <c r="W31" s="103"/>
      <c r="X31" s="104" t="s">
        <v>162</v>
      </c>
    </row>
    <row r="32" spans="1:24" ht="15" customHeight="1" thickBot="1" x14ac:dyDescent="0.3">
      <c r="A32" s="84" t="s">
        <v>72</v>
      </c>
      <c r="B32" s="85" t="s">
        <v>74</v>
      </c>
      <c r="C32" s="96" t="s">
        <v>27</v>
      </c>
      <c r="D32" s="86" t="s">
        <v>150</v>
      </c>
      <c r="E32" s="84" t="s">
        <v>204</v>
      </c>
      <c r="F32" s="84" t="s">
        <v>205</v>
      </c>
      <c r="G32" s="88"/>
      <c r="H32" s="84" t="s">
        <v>206</v>
      </c>
      <c r="I32" s="96"/>
      <c r="J32" s="96"/>
      <c r="K32" s="96" t="s">
        <v>78</v>
      </c>
      <c r="L32" s="97">
        <v>4</v>
      </c>
      <c r="M32" s="98">
        <v>9999</v>
      </c>
      <c r="N32" s="25" t="s">
        <v>80</v>
      </c>
      <c r="O32" s="96"/>
      <c r="P32" s="96"/>
      <c r="Q32" s="99" t="s">
        <v>64</v>
      </c>
      <c r="R32" s="99"/>
      <c r="S32" s="100" t="s">
        <v>207</v>
      </c>
      <c r="T32" s="101" t="s">
        <v>82</v>
      </c>
      <c r="U32" s="101" t="s">
        <v>82</v>
      </c>
      <c r="V32" s="102"/>
      <c r="W32" s="103"/>
      <c r="X32" s="104"/>
    </row>
    <row r="33" spans="1:24" ht="15" customHeight="1" thickBot="1" x14ac:dyDescent="0.3">
      <c r="A33" s="84" t="s">
        <v>72</v>
      </c>
      <c r="B33" s="85" t="s">
        <v>74</v>
      </c>
      <c r="C33" s="96" t="s">
        <v>27</v>
      </c>
      <c r="D33" s="86" t="s">
        <v>154</v>
      </c>
      <c r="E33" s="84" t="s">
        <v>208</v>
      </c>
      <c r="F33" s="84" t="s">
        <v>209</v>
      </c>
      <c r="G33" s="88"/>
      <c r="H33" s="84" t="s">
        <v>210</v>
      </c>
      <c r="I33" s="96"/>
      <c r="J33" s="96"/>
      <c r="K33" s="96" t="s">
        <v>78</v>
      </c>
      <c r="L33" s="97">
        <v>2</v>
      </c>
      <c r="M33" s="98" t="s">
        <v>13443</v>
      </c>
      <c r="N33" s="26" t="s">
        <v>212</v>
      </c>
      <c r="O33" s="96"/>
      <c r="P33" s="96"/>
      <c r="Q33" s="99" t="s">
        <v>144</v>
      </c>
      <c r="R33" s="99"/>
      <c r="S33" s="100" t="s">
        <v>213</v>
      </c>
      <c r="T33" s="101" t="s">
        <v>107</v>
      </c>
      <c r="U33" s="101" t="s">
        <v>82</v>
      </c>
      <c r="V33" s="102"/>
      <c r="W33" s="103"/>
      <c r="X33" s="104"/>
    </row>
    <row r="34" spans="1:24" ht="15" customHeight="1" thickBot="1" x14ac:dyDescent="0.3">
      <c r="A34" s="84" t="s">
        <v>72</v>
      </c>
      <c r="B34" s="85" t="s">
        <v>74</v>
      </c>
      <c r="C34" s="96" t="s">
        <v>27</v>
      </c>
      <c r="D34" s="86" t="s">
        <v>214</v>
      </c>
      <c r="E34" s="84" t="s">
        <v>215</v>
      </c>
      <c r="F34" s="84" t="s">
        <v>216</v>
      </c>
      <c r="G34" s="88"/>
      <c r="H34" s="84" t="s">
        <v>217</v>
      </c>
      <c r="I34" s="96"/>
      <c r="J34" s="96"/>
      <c r="K34" s="96" t="s">
        <v>1153</v>
      </c>
      <c r="L34" s="97">
        <v>9</v>
      </c>
      <c r="M34" s="98" t="s">
        <v>218</v>
      </c>
      <c r="O34" s="96"/>
      <c r="P34" s="96"/>
      <c r="Q34" s="99" t="s">
        <v>144</v>
      </c>
      <c r="R34" s="99"/>
      <c r="S34" s="100" t="s">
        <v>219</v>
      </c>
      <c r="T34" s="101" t="s">
        <v>82</v>
      </c>
      <c r="U34" s="101" t="s">
        <v>107</v>
      </c>
      <c r="V34" s="102"/>
      <c r="W34" s="103"/>
      <c r="X34" s="104"/>
    </row>
    <row r="35" spans="1:24" ht="15" customHeight="1" thickBot="1" x14ac:dyDescent="0.3">
      <c r="A35" s="84" t="s">
        <v>72</v>
      </c>
      <c r="B35" s="85" t="s">
        <v>74</v>
      </c>
      <c r="C35" s="96" t="s">
        <v>27</v>
      </c>
      <c r="D35" s="86" t="s">
        <v>220</v>
      </c>
      <c r="E35" s="84" t="s">
        <v>221</v>
      </c>
      <c r="F35" s="84" t="s">
        <v>222</v>
      </c>
      <c r="G35" s="88"/>
      <c r="H35" s="84" t="s">
        <v>223</v>
      </c>
      <c r="I35" s="96"/>
      <c r="J35" s="96"/>
      <c r="K35" s="96" t="s">
        <v>78</v>
      </c>
      <c r="L35" s="97">
        <v>1</v>
      </c>
      <c r="M35" s="98" t="s">
        <v>13445</v>
      </c>
      <c r="N35" s="26" t="s">
        <v>224</v>
      </c>
      <c r="O35" s="96"/>
      <c r="P35" s="96"/>
      <c r="Q35" s="99" t="s">
        <v>64</v>
      </c>
      <c r="R35" s="99"/>
      <c r="S35" s="100" t="s">
        <v>225</v>
      </c>
      <c r="T35" s="101" t="s">
        <v>82</v>
      </c>
      <c r="U35" s="101" t="s">
        <v>82</v>
      </c>
      <c r="V35" s="102"/>
      <c r="W35" s="103"/>
      <c r="X35" s="104"/>
    </row>
    <row r="36" spans="1:24" ht="15" customHeight="1" thickBot="1" x14ac:dyDescent="0.3">
      <c r="A36" s="84" t="s">
        <v>72</v>
      </c>
      <c r="B36" s="85" t="s">
        <v>74</v>
      </c>
      <c r="C36" s="96" t="s">
        <v>27</v>
      </c>
      <c r="D36" s="86" t="s">
        <v>226</v>
      </c>
      <c r="E36" s="84" t="s">
        <v>227</v>
      </c>
      <c r="F36" s="84" t="s">
        <v>111</v>
      </c>
      <c r="G36" s="88"/>
      <c r="H36" s="84" t="s">
        <v>228</v>
      </c>
      <c r="I36" s="96"/>
      <c r="J36" s="96"/>
      <c r="K36" s="96" t="s">
        <v>78</v>
      </c>
      <c r="L36" s="97">
        <v>2</v>
      </c>
      <c r="M36" s="98" t="s">
        <v>13447</v>
      </c>
      <c r="N36" s="26" t="s">
        <v>227</v>
      </c>
      <c r="O36" s="96"/>
      <c r="P36" s="96"/>
      <c r="Q36" s="99" t="s">
        <v>64</v>
      </c>
      <c r="R36" s="99"/>
      <c r="S36" s="100" t="s">
        <v>207</v>
      </c>
      <c r="T36" s="101" t="s">
        <v>82</v>
      </c>
      <c r="U36" s="101" t="s">
        <v>82</v>
      </c>
      <c r="V36" s="102"/>
      <c r="W36" s="103"/>
      <c r="X36" s="104" t="s">
        <v>229</v>
      </c>
    </row>
    <row r="37" spans="1:24" ht="15" customHeight="1" thickBot="1" x14ac:dyDescent="0.3">
      <c r="A37" s="84" t="s">
        <v>72</v>
      </c>
      <c r="B37" s="85" t="s">
        <v>74</v>
      </c>
      <c r="C37" s="96" t="s">
        <v>27</v>
      </c>
      <c r="D37" s="86" t="s">
        <v>230</v>
      </c>
      <c r="E37" s="84" t="s">
        <v>231</v>
      </c>
      <c r="F37" s="84" t="s">
        <v>232</v>
      </c>
      <c r="G37" s="88"/>
      <c r="H37" s="84" t="s">
        <v>233</v>
      </c>
      <c r="I37" s="96" t="s">
        <v>234</v>
      </c>
      <c r="J37" s="96"/>
      <c r="K37" s="96" t="s">
        <v>13448</v>
      </c>
      <c r="L37" s="97">
        <v>4</v>
      </c>
      <c r="M37" s="98" t="s">
        <v>236</v>
      </c>
      <c r="O37" s="96" t="s">
        <v>237</v>
      </c>
      <c r="P37" s="96" t="s">
        <v>238</v>
      </c>
      <c r="Q37" s="99" t="s">
        <v>144</v>
      </c>
      <c r="R37" s="99"/>
      <c r="S37" s="100" t="s">
        <v>239</v>
      </c>
      <c r="T37" s="101" t="s">
        <v>107</v>
      </c>
      <c r="U37" s="101" t="s">
        <v>82</v>
      </c>
      <c r="V37" s="102"/>
      <c r="W37" s="103"/>
      <c r="X37" s="104"/>
    </row>
    <row r="38" spans="1:24" ht="15" customHeight="1" thickBot="1" x14ac:dyDescent="0.3">
      <c r="A38" s="84" t="s">
        <v>72</v>
      </c>
      <c r="B38" s="85" t="s">
        <v>74</v>
      </c>
      <c r="C38" s="96" t="s">
        <v>27</v>
      </c>
      <c r="D38" s="86" t="s">
        <v>240</v>
      </c>
      <c r="E38" s="84" t="s">
        <v>241</v>
      </c>
      <c r="F38" s="84" t="s">
        <v>242</v>
      </c>
      <c r="G38" s="88"/>
      <c r="H38" s="84" t="s">
        <v>243</v>
      </c>
      <c r="I38" s="96"/>
      <c r="J38" s="96"/>
      <c r="K38" s="96" t="s">
        <v>78</v>
      </c>
      <c r="L38" s="97">
        <v>1</v>
      </c>
      <c r="M38" s="98" t="s">
        <v>94</v>
      </c>
      <c r="N38" s="26" t="s">
        <v>244</v>
      </c>
      <c r="O38" s="96"/>
      <c r="P38" s="96"/>
      <c r="Q38" s="99" t="s">
        <v>144</v>
      </c>
      <c r="R38" s="99"/>
      <c r="S38" s="100" t="s">
        <v>245</v>
      </c>
      <c r="T38" s="101" t="s">
        <v>82</v>
      </c>
      <c r="U38" s="101" t="s">
        <v>82</v>
      </c>
      <c r="V38" s="102"/>
      <c r="W38" s="103"/>
      <c r="X38" s="104" t="s">
        <v>162</v>
      </c>
    </row>
    <row r="39" spans="1:24" ht="15" customHeight="1" thickBot="1" x14ac:dyDescent="0.3">
      <c r="A39" s="84" t="s">
        <v>72</v>
      </c>
      <c r="B39" s="85" t="s">
        <v>74</v>
      </c>
      <c r="C39" s="96" t="s">
        <v>27</v>
      </c>
      <c r="D39" s="86" t="s">
        <v>246</v>
      </c>
      <c r="E39" s="84" t="s">
        <v>247</v>
      </c>
      <c r="F39" s="84" t="s">
        <v>248</v>
      </c>
      <c r="G39" s="88"/>
      <c r="H39" s="84" t="s">
        <v>249</v>
      </c>
      <c r="I39" s="96"/>
      <c r="J39" s="96"/>
      <c r="K39" s="96" t="s">
        <v>78</v>
      </c>
      <c r="L39" s="97">
        <v>1</v>
      </c>
      <c r="M39" s="98" t="s">
        <v>94</v>
      </c>
      <c r="N39" s="26" t="s">
        <v>188</v>
      </c>
      <c r="O39" s="96"/>
      <c r="P39" s="96"/>
      <c r="Q39" s="99" t="s">
        <v>64</v>
      </c>
      <c r="R39" s="99"/>
      <c r="S39" s="100" t="s">
        <v>119</v>
      </c>
      <c r="T39" s="101" t="s">
        <v>82</v>
      </c>
      <c r="U39" s="101" t="s">
        <v>82</v>
      </c>
      <c r="V39" s="102"/>
      <c r="W39" s="103"/>
      <c r="X39" s="104" t="s">
        <v>162</v>
      </c>
    </row>
    <row r="40" spans="1:24" ht="15" customHeight="1" thickBot="1" x14ac:dyDescent="0.3">
      <c r="A40" s="84" t="s">
        <v>72</v>
      </c>
      <c r="B40" s="85" t="s">
        <v>74</v>
      </c>
      <c r="C40" s="96" t="s">
        <v>27</v>
      </c>
      <c r="D40" s="86" t="s">
        <v>250</v>
      </c>
      <c r="E40" s="84" t="s">
        <v>251</v>
      </c>
      <c r="F40" s="88">
        <v>504</v>
      </c>
      <c r="G40" s="88"/>
      <c r="H40" s="84" t="s">
        <v>252</v>
      </c>
      <c r="I40" s="96"/>
      <c r="J40" s="96"/>
      <c r="K40" s="96" t="s">
        <v>78</v>
      </c>
      <c r="L40" s="97">
        <v>1</v>
      </c>
      <c r="M40" s="98" t="s">
        <v>94</v>
      </c>
      <c r="N40" s="26" t="s">
        <v>188</v>
      </c>
      <c r="O40" s="96"/>
      <c r="P40" s="96"/>
      <c r="Q40" s="99" t="s">
        <v>144</v>
      </c>
      <c r="R40" s="99"/>
      <c r="S40" s="100" t="s">
        <v>253</v>
      </c>
      <c r="T40" s="101" t="s">
        <v>82</v>
      </c>
      <c r="U40" s="101" t="s">
        <v>107</v>
      </c>
      <c r="V40" s="102"/>
      <c r="W40" s="103"/>
      <c r="X40" s="104" t="s">
        <v>162</v>
      </c>
    </row>
    <row r="41" spans="1:24" ht="15" customHeight="1" thickBot="1" x14ac:dyDescent="0.3">
      <c r="A41" s="84" t="s">
        <v>72</v>
      </c>
      <c r="B41" s="85" t="s">
        <v>74</v>
      </c>
      <c r="C41" s="96" t="s">
        <v>27</v>
      </c>
      <c r="D41" s="86" t="s">
        <v>254</v>
      </c>
      <c r="E41" s="84" t="s">
        <v>255</v>
      </c>
      <c r="F41" s="84" t="s">
        <v>256</v>
      </c>
      <c r="G41" s="88"/>
      <c r="H41" s="84" t="s">
        <v>13411</v>
      </c>
      <c r="I41" s="96"/>
      <c r="J41" s="96"/>
      <c r="K41" s="96" t="s">
        <v>78</v>
      </c>
      <c r="L41" s="97">
        <v>1</v>
      </c>
      <c r="M41" s="98" t="s">
        <v>94</v>
      </c>
      <c r="N41" s="26" t="s">
        <v>188</v>
      </c>
      <c r="O41" s="96"/>
      <c r="P41" s="96"/>
      <c r="Q41" s="99" t="s">
        <v>144</v>
      </c>
      <c r="R41" s="99"/>
      <c r="S41" s="100" t="s">
        <v>257</v>
      </c>
      <c r="T41" s="101" t="s">
        <v>107</v>
      </c>
      <c r="U41" s="101" t="s">
        <v>82</v>
      </c>
      <c r="V41" s="102"/>
      <c r="W41" s="103"/>
      <c r="X41" s="104" t="s">
        <v>162</v>
      </c>
    </row>
    <row r="42" spans="1:24" ht="15" customHeight="1" thickBot="1" x14ac:dyDescent="0.3">
      <c r="A42" s="84" t="s">
        <v>72</v>
      </c>
      <c r="B42" s="85" t="s">
        <v>74</v>
      </c>
      <c r="C42" s="96" t="s">
        <v>27</v>
      </c>
      <c r="D42" s="86" t="s">
        <v>258</v>
      </c>
      <c r="E42" s="84" t="s">
        <v>259</v>
      </c>
      <c r="F42" s="84" t="s">
        <v>260</v>
      </c>
      <c r="G42" s="88"/>
      <c r="H42" s="84" t="s">
        <v>261</v>
      </c>
      <c r="I42" s="96"/>
      <c r="J42" s="96"/>
      <c r="K42" s="96" t="s">
        <v>78</v>
      </c>
      <c r="L42" s="97">
        <v>1</v>
      </c>
      <c r="M42" s="98" t="s">
        <v>94</v>
      </c>
      <c r="N42" s="26" t="s">
        <v>262</v>
      </c>
      <c r="O42" s="96"/>
      <c r="P42" s="96"/>
      <c r="Q42" s="99" t="s">
        <v>64</v>
      </c>
      <c r="R42" s="99"/>
      <c r="S42" s="100" t="s">
        <v>263</v>
      </c>
      <c r="T42" s="101" t="s">
        <v>82</v>
      </c>
      <c r="U42" s="101" t="s">
        <v>107</v>
      </c>
      <c r="V42" s="102"/>
      <c r="W42" s="103"/>
      <c r="X42" s="104" t="s">
        <v>162</v>
      </c>
    </row>
    <row r="43" spans="1:24" ht="15" customHeight="1" thickBot="1" x14ac:dyDescent="0.3">
      <c r="A43" s="84" t="s">
        <v>72</v>
      </c>
      <c r="B43" s="85" t="s">
        <v>74</v>
      </c>
      <c r="C43" s="96" t="s">
        <v>27</v>
      </c>
      <c r="D43" s="86" t="s">
        <v>264</v>
      </c>
      <c r="E43" s="84" t="s">
        <v>265</v>
      </c>
      <c r="F43" s="84" t="s">
        <v>266</v>
      </c>
      <c r="G43" s="88"/>
      <c r="H43" s="84" t="s">
        <v>267</v>
      </c>
      <c r="I43" s="96"/>
      <c r="J43" s="96"/>
      <c r="K43" s="96" t="s">
        <v>78</v>
      </c>
      <c r="L43" s="97">
        <v>1</v>
      </c>
      <c r="M43" s="98" t="s">
        <v>94</v>
      </c>
      <c r="N43" s="26" t="s">
        <v>188</v>
      </c>
      <c r="O43" s="96"/>
      <c r="P43" s="96"/>
      <c r="Q43" s="99" t="s">
        <v>144</v>
      </c>
      <c r="R43" s="99"/>
      <c r="S43" s="100" t="s">
        <v>268</v>
      </c>
      <c r="T43" s="101" t="s">
        <v>82</v>
      </c>
      <c r="U43" s="101" t="s">
        <v>107</v>
      </c>
      <c r="V43" s="102"/>
      <c r="W43" s="103"/>
      <c r="X43" s="104" t="s">
        <v>162</v>
      </c>
    </row>
    <row r="44" spans="1:24" ht="15" customHeight="1" thickBot="1" x14ac:dyDescent="0.3">
      <c r="A44" s="84" t="s">
        <v>72</v>
      </c>
      <c r="B44" s="85" t="s">
        <v>74</v>
      </c>
      <c r="C44" s="96" t="s">
        <v>27</v>
      </c>
      <c r="D44" s="86" t="s">
        <v>269</v>
      </c>
      <c r="E44" s="84" t="s">
        <v>270</v>
      </c>
      <c r="F44" s="84" t="s">
        <v>271</v>
      </c>
      <c r="G44" s="88"/>
      <c r="H44" s="84" t="s">
        <v>272</v>
      </c>
      <c r="I44" s="96"/>
      <c r="J44" s="96"/>
      <c r="K44" s="96" t="s">
        <v>78</v>
      </c>
      <c r="L44" s="97">
        <v>1</v>
      </c>
      <c r="M44" s="98" t="s">
        <v>94</v>
      </c>
      <c r="N44" s="26" t="s">
        <v>188</v>
      </c>
      <c r="O44" s="96"/>
      <c r="P44" s="96"/>
      <c r="Q44" s="99" t="s">
        <v>144</v>
      </c>
      <c r="R44" s="99"/>
      <c r="S44" s="100" t="s">
        <v>273</v>
      </c>
      <c r="T44" s="101" t="s">
        <v>107</v>
      </c>
      <c r="U44" s="101" t="s">
        <v>82</v>
      </c>
      <c r="V44" s="102" t="s">
        <v>274</v>
      </c>
      <c r="W44" s="103"/>
      <c r="X44" s="104" t="s">
        <v>162</v>
      </c>
    </row>
    <row r="45" spans="1:24" ht="15" customHeight="1" thickBot="1" x14ac:dyDescent="0.3">
      <c r="A45" s="84" t="s">
        <v>72</v>
      </c>
      <c r="B45" s="85" t="s">
        <v>74</v>
      </c>
      <c r="C45" s="96" t="s">
        <v>27</v>
      </c>
      <c r="D45" s="86" t="s">
        <v>275</v>
      </c>
      <c r="E45" s="84" t="s">
        <v>276</v>
      </c>
      <c r="F45" s="84" t="s">
        <v>277</v>
      </c>
      <c r="G45" s="88"/>
      <c r="H45" s="84" t="s">
        <v>278</v>
      </c>
      <c r="I45" s="96"/>
      <c r="J45" s="96"/>
      <c r="K45" s="96" t="s">
        <v>78</v>
      </c>
      <c r="L45" s="97">
        <v>1</v>
      </c>
      <c r="M45" s="98" t="s">
        <v>94</v>
      </c>
      <c r="N45" s="26" t="s">
        <v>279</v>
      </c>
      <c r="O45" s="96"/>
      <c r="P45" s="96"/>
      <c r="Q45" s="99" t="s">
        <v>144</v>
      </c>
      <c r="R45" s="99"/>
      <c r="S45" s="100" t="s">
        <v>257</v>
      </c>
      <c r="T45" s="101" t="s">
        <v>107</v>
      </c>
      <c r="U45" s="101" t="s">
        <v>82</v>
      </c>
      <c r="V45" s="102"/>
      <c r="W45" s="103"/>
      <c r="X45" s="104" t="s">
        <v>162</v>
      </c>
    </row>
    <row r="46" spans="1:24" ht="15" customHeight="1" thickBot="1" x14ac:dyDescent="0.3">
      <c r="A46" s="84" t="s">
        <v>72</v>
      </c>
      <c r="B46" s="85" t="s">
        <v>74</v>
      </c>
      <c r="C46" s="96" t="s">
        <v>27</v>
      </c>
      <c r="D46" s="86" t="s">
        <v>280</v>
      </c>
      <c r="E46" s="84" t="s">
        <v>281</v>
      </c>
      <c r="F46" s="84" t="s">
        <v>282</v>
      </c>
      <c r="G46" s="88"/>
      <c r="H46" s="84" t="s">
        <v>283</v>
      </c>
      <c r="I46" s="96"/>
      <c r="J46" s="96"/>
      <c r="K46" s="96" t="s">
        <v>78</v>
      </c>
      <c r="L46" s="97">
        <v>1</v>
      </c>
      <c r="M46" s="98" t="s">
        <v>94</v>
      </c>
      <c r="N46" s="26" t="s">
        <v>188</v>
      </c>
      <c r="O46" s="96"/>
      <c r="P46" s="96"/>
      <c r="Q46" s="99" t="s">
        <v>144</v>
      </c>
      <c r="R46" s="99"/>
      <c r="S46" s="100" t="s">
        <v>119</v>
      </c>
      <c r="T46" s="101" t="s">
        <v>107</v>
      </c>
      <c r="U46" s="101" t="s">
        <v>82</v>
      </c>
      <c r="V46" s="102"/>
      <c r="W46" s="103"/>
      <c r="X46" s="104" t="s">
        <v>162</v>
      </c>
    </row>
    <row r="47" spans="1:24" ht="15" customHeight="1" thickBot="1" x14ac:dyDescent="0.3">
      <c r="A47" s="84" t="s">
        <v>72</v>
      </c>
      <c r="B47" s="85" t="s">
        <v>74</v>
      </c>
      <c r="C47" s="96" t="s">
        <v>27</v>
      </c>
      <c r="D47" s="86" t="s">
        <v>284</v>
      </c>
      <c r="E47" s="84" t="s">
        <v>285</v>
      </c>
      <c r="F47" s="84" t="s">
        <v>286</v>
      </c>
      <c r="G47" s="88"/>
      <c r="H47" s="84" t="s">
        <v>287</v>
      </c>
      <c r="I47" s="96"/>
      <c r="J47" s="96"/>
      <c r="K47" s="96" t="s">
        <v>78</v>
      </c>
      <c r="L47" s="97">
        <v>1</v>
      </c>
      <c r="M47" s="98" t="s">
        <v>94</v>
      </c>
      <c r="N47" s="26" t="s">
        <v>188</v>
      </c>
      <c r="O47" s="96"/>
      <c r="P47" s="96"/>
      <c r="Q47" s="99" t="s">
        <v>144</v>
      </c>
      <c r="R47" s="99"/>
      <c r="S47" s="100" t="s">
        <v>288</v>
      </c>
      <c r="T47" s="101" t="s">
        <v>82</v>
      </c>
      <c r="U47" s="101" t="s">
        <v>107</v>
      </c>
      <c r="V47" s="102" t="s">
        <v>83</v>
      </c>
      <c r="W47" s="103"/>
      <c r="X47" s="104" t="s">
        <v>162</v>
      </c>
    </row>
    <row r="48" spans="1:24" ht="15" customHeight="1" thickBot="1" x14ac:dyDescent="0.3">
      <c r="A48" s="84" t="s">
        <v>72</v>
      </c>
      <c r="B48" s="85" t="s">
        <v>74</v>
      </c>
      <c r="C48" s="96" t="s">
        <v>27</v>
      </c>
      <c r="D48" s="86" t="s">
        <v>289</v>
      </c>
      <c r="E48" s="84" t="s">
        <v>290</v>
      </c>
      <c r="F48" s="84" t="s">
        <v>291</v>
      </c>
      <c r="G48" s="88"/>
      <c r="H48" s="84" t="s">
        <v>292</v>
      </c>
      <c r="I48" s="96"/>
      <c r="J48" s="96"/>
      <c r="K48" s="96" t="s">
        <v>78</v>
      </c>
      <c r="L48" s="97">
        <v>1</v>
      </c>
      <c r="M48" s="98" t="s">
        <v>94</v>
      </c>
      <c r="N48" s="26" t="s">
        <v>188</v>
      </c>
      <c r="O48" s="96"/>
      <c r="P48" s="96"/>
      <c r="Q48" s="99" t="s">
        <v>144</v>
      </c>
      <c r="R48" s="99"/>
      <c r="S48" s="100" t="s">
        <v>288</v>
      </c>
      <c r="T48" s="101" t="s">
        <v>82</v>
      </c>
      <c r="U48" s="101" t="s">
        <v>107</v>
      </c>
      <c r="V48" s="102" t="s">
        <v>83</v>
      </c>
      <c r="W48" s="103"/>
      <c r="X48" s="104" t="s">
        <v>162</v>
      </c>
    </row>
    <row r="49" spans="1:24" ht="15" customHeight="1" thickBot="1" x14ac:dyDescent="0.3">
      <c r="A49" s="84" t="s">
        <v>72</v>
      </c>
      <c r="B49" s="85" t="s">
        <v>74</v>
      </c>
      <c r="C49" s="96" t="s">
        <v>27</v>
      </c>
      <c r="D49" s="86" t="s">
        <v>293</v>
      </c>
      <c r="E49" s="84" t="s">
        <v>294</v>
      </c>
      <c r="F49" s="84" t="s">
        <v>295</v>
      </c>
      <c r="G49" s="88"/>
      <c r="H49" s="84" t="s">
        <v>296</v>
      </c>
      <c r="I49" s="96"/>
      <c r="J49" s="96"/>
      <c r="K49" s="96" t="s">
        <v>78</v>
      </c>
      <c r="L49" s="97">
        <v>1</v>
      </c>
      <c r="M49" s="98" t="s">
        <v>94</v>
      </c>
      <c r="N49" s="26" t="s">
        <v>294</v>
      </c>
      <c r="O49" s="96"/>
      <c r="P49" s="96"/>
      <c r="Q49" s="99" t="s">
        <v>144</v>
      </c>
      <c r="R49" s="99"/>
      <c r="S49" s="100" t="s">
        <v>288</v>
      </c>
      <c r="T49" s="101" t="s">
        <v>82</v>
      </c>
      <c r="U49" s="101" t="s">
        <v>107</v>
      </c>
      <c r="V49" s="102"/>
      <c r="W49" s="103"/>
      <c r="X49" s="104" t="s">
        <v>162</v>
      </c>
    </row>
    <row r="50" spans="1:24" ht="15" customHeight="1" thickBot="1" x14ac:dyDescent="0.3">
      <c r="A50" s="84" t="s">
        <v>72</v>
      </c>
      <c r="B50" s="85" t="s">
        <v>74</v>
      </c>
      <c r="C50" s="96" t="s">
        <v>27</v>
      </c>
      <c r="D50" s="86" t="s">
        <v>297</v>
      </c>
      <c r="E50" s="84" t="s">
        <v>298</v>
      </c>
      <c r="F50" s="84" t="s">
        <v>299</v>
      </c>
      <c r="G50" s="88"/>
      <c r="H50" s="84" t="s">
        <v>300</v>
      </c>
      <c r="I50" s="96"/>
      <c r="J50" s="96"/>
      <c r="K50" s="96" t="s">
        <v>78</v>
      </c>
      <c r="L50" s="97">
        <v>1</v>
      </c>
      <c r="M50" s="98" t="s">
        <v>94</v>
      </c>
      <c r="N50" s="26" t="s">
        <v>188</v>
      </c>
      <c r="O50" s="96"/>
      <c r="P50" s="96"/>
      <c r="Q50" s="99" t="s">
        <v>144</v>
      </c>
      <c r="R50" s="99"/>
      <c r="S50" s="100" t="s">
        <v>119</v>
      </c>
      <c r="T50" s="101" t="s">
        <v>107</v>
      </c>
      <c r="U50" s="101" t="s">
        <v>82</v>
      </c>
      <c r="V50" s="102"/>
      <c r="W50" s="103"/>
      <c r="X50" s="104" t="s">
        <v>162</v>
      </c>
    </row>
    <row r="51" spans="1:24" ht="15" customHeight="1" thickBot="1" x14ac:dyDescent="0.3">
      <c r="A51" s="84" t="s">
        <v>72</v>
      </c>
      <c r="B51" s="85" t="s">
        <v>74</v>
      </c>
      <c r="C51" s="96" t="s">
        <v>27</v>
      </c>
      <c r="D51" s="86" t="s">
        <v>301</v>
      </c>
      <c r="E51" s="84" t="s">
        <v>302</v>
      </c>
      <c r="F51" s="84" t="s">
        <v>303</v>
      </c>
      <c r="G51" s="88"/>
      <c r="H51" s="84" t="s">
        <v>304</v>
      </c>
      <c r="I51" s="96"/>
      <c r="J51" s="96"/>
      <c r="K51" s="96" t="s">
        <v>78</v>
      </c>
      <c r="L51" s="97">
        <v>1</v>
      </c>
      <c r="M51" s="98" t="s">
        <v>94</v>
      </c>
      <c r="N51" s="26" t="s">
        <v>305</v>
      </c>
      <c r="O51" s="96"/>
      <c r="P51" s="96"/>
      <c r="Q51" s="99" t="s">
        <v>144</v>
      </c>
      <c r="R51" s="99"/>
      <c r="S51" s="100" t="s">
        <v>306</v>
      </c>
      <c r="T51" s="101" t="s">
        <v>107</v>
      </c>
      <c r="U51" s="101" t="s">
        <v>82</v>
      </c>
      <c r="V51" s="102"/>
      <c r="W51" s="103"/>
      <c r="X51" s="104" t="s">
        <v>307</v>
      </c>
    </row>
    <row r="52" spans="1:24" ht="15" customHeight="1" thickBot="1" x14ac:dyDescent="0.3">
      <c r="A52" s="84" t="s">
        <v>72</v>
      </c>
      <c r="B52" s="85" t="s">
        <v>74</v>
      </c>
      <c r="C52" s="96" t="s">
        <v>27</v>
      </c>
      <c r="D52" s="86" t="s">
        <v>308</v>
      </c>
      <c r="E52" s="84" t="s">
        <v>309</v>
      </c>
      <c r="F52" s="84" t="s">
        <v>310</v>
      </c>
      <c r="G52" s="88"/>
      <c r="H52" s="84" t="s">
        <v>311</v>
      </c>
      <c r="I52" s="96"/>
      <c r="J52" s="96"/>
      <c r="K52" s="96" t="s">
        <v>1186</v>
      </c>
      <c r="L52" s="97">
        <v>10</v>
      </c>
      <c r="M52" s="98"/>
      <c r="O52" s="96"/>
      <c r="P52" s="96"/>
      <c r="Q52" s="99" t="s">
        <v>144</v>
      </c>
      <c r="R52" s="99"/>
      <c r="S52" s="100" t="s">
        <v>306</v>
      </c>
      <c r="T52" s="101" t="s">
        <v>107</v>
      </c>
      <c r="U52" s="101" t="s">
        <v>82</v>
      </c>
      <c r="V52" s="102"/>
      <c r="W52" s="103"/>
      <c r="X52" s="104"/>
    </row>
    <row r="53" spans="1:24" ht="15" customHeight="1" thickBot="1" x14ac:dyDescent="0.3">
      <c r="A53" s="84" t="s">
        <v>72</v>
      </c>
      <c r="B53" s="85" t="s">
        <v>74</v>
      </c>
      <c r="C53" s="96" t="s">
        <v>27</v>
      </c>
      <c r="D53" s="86" t="s">
        <v>312</v>
      </c>
      <c r="E53" s="84" t="s">
        <v>313</v>
      </c>
      <c r="F53" s="84" t="s">
        <v>314</v>
      </c>
      <c r="G53" s="88"/>
      <c r="H53" s="84" t="s">
        <v>315</v>
      </c>
      <c r="I53" s="96"/>
      <c r="J53" s="96"/>
      <c r="K53" s="96" t="s">
        <v>78</v>
      </c>
      <c r="L53" s="97">
        <v>1</v>
      </c>
      <c r="M53" s="98" t="s">
        <v>94</v>
      </c>
      <c r="N53" s="26" t="s">
        <v>188</v>
      </c>
      <c r="O53" s="96"/>
      <c r="P53" s="96"/>
      <c r="Q53" s="99" t="s">
        <v>144</v>
      </c>
      <c r="R53" s="99"/>
      <c r="S53" s="100" t="s">
        <v>316</v>
      </c>
      <c r="T53" s="101" t="s">
        <v>82</v>
      </c>
      <c r="U53" s="101" t="s">
        <v>107</v>
      </c>
      <c r="V53" s="102"/>
      <c r="W53" s="103"/>
      <c r="X53" s="104"/>
    </row>
    <row r="54" spans="1:24" ht="15" customHeight="1" thickBot="1" x14ac:dyDescent="0.3">
      <c r="A54" s="84" t="s">
        <v>72</v>
      </c>
      <c r="B54" s="85" t="s">
        <v>74</v>
      </c>
      <c r="C54" s="96" t="s">
        <v>27</v>
      </c>
      <c r="D54" s="86" t="s">
        <v>317</v>
      </c>
      <c r="E54" s="84" t="s">
        <v>318</v>
      </c>
      <c r="F54" s="84" t="s">
        <v>319</v>
      </c>
      <c r="G54" s="88"/>
      <c r="H54" s="84" t="s">
        <v>320</v>
      </c>
      <c r="I54" s="96"/>
      <c r="J54" s="96"/>
      <c r="K54" s="84" t="s">
        <v>1181</v>
      </c>
      <c r="L54" s="97">
        <v>10</v>
      </c>
      <c r="M54" s="98" t="s">
        <v>135</v>
      </c>
      <c r="O54" s="96"/>
      <c r="P54" s="96"/>
      <c r="Q54" s="99" t="s">
        <v>144</v>
      </c>
      <c r="R54" s="99"/>
      <c r="S54" s="100"/>
      <c r="T54" s="101"/>
      <c r="U54" s="101"/>
      <c r="V54" s="102"/>
      <c r="W54" s="103"/>
      <c r="X54" s="104"/>
    </row>
    <row r="55" spans="1:24" ht="15" customHeight="1" thickBot="1" x14ac:dyDescent="0.3">
      <c r="A55" s="84" t="s">
        <v>72</v>
      </c>
      <c r="B55" s="85" t="s">
        <v>74</v>
      </c>
      <c r="C55" s="96" t="s">
        <v>27</v>
      </c>
      <c r="D55" s="86" t="s">
        <v>321</v>
      </c>
      <c r="E55" s="84" t="s">
        <v>322</v>
      </c>
      <c r="F55" s="84" t="s">
        <v>323</v>
      </c>
      <c r="G55" s="88"/>
      <c r="H55" s="84" t="s">
        <v>324</v>
      </c>
      <c r="I55" s="96"/>
      <c r="J55" s="96"/>
      <c r="K55" s="96" t="s">
        <v>78</v>
      </c>
      <c r="L55" s="97">
        <v>3</v>
      </c>
      <c r="M55" s="98" t="s">
        <v>100</v>
      </c>
      <c r="N55" s="26" t="s">
        <v>325</v>
      </c>
      <c r="O55" s="96"/>
      <c r="P55" s="96"/>
      <c r="Q55" s="99" t="s">
        <v>144</v>
      </c>
      <c r="R55" s="99"/>
      <c r="S55" s="100"/>
      <c r="T55" s="101"/>
      <c r="U55" s="101"/>
      <c r="V55" s="102"/>
      <c r="W55" s="103"/>
      <c r="X55" s="104"/>
    </row>
    <row r="56" spans="1:24" ht="15" customHeight="1" thickBot="1" x14ac:dyDescent="0.3">
      <c r="A56" s="84" t="s">
        <v>72</v>
      </c>
      <c r="B56" s="85" t="s">
        <v>74</v>
      </c>
      <c r="C56" s="96" t="s">
        <v>27</v>
      </c>
      <c r="D56" s="86" t="s">
        <v>326</v>
      </c>
      <c r="E56" s="84" t="s">
        <v>327</v>
      </c>
      <c r="F56" s="84" t="s">
        <v>328</v>
      </c>
      <c r="G56" s="88"/>
      <c r="H56" s="84" t="s">
        <v>329</v>
      </c>
      <c r="I56" s="96"/>
      <c r="J56" s="96"/>
      <c r="K56" s="96" t="s">
        <v>1153</v>
      </c>
      <c r="L56" s="97">
        <v>2</v>
      </c>
      <c r="M56" s="98" t="s">
        <v>100</v>
      </c>
      <c r="N56" s="26" t="s">
        <v>330</v>
      </c>
      <c r="O56" s="96"/>
      <c r="P56" s="96"/>
      <c r="Q56" s="99" t="s">
        <v>144</v>
      </c>
      <c r="R56" s="99"/>
      <c r="S56" s="100" t="s">
        <v>263</v>
      </c>
      <c r="T56" s="101" t="s">
        <v>82</v>
      </c>
      <c r="U56" s="101" t="s">
        <v>107</v>
      </c>
      <c r="V56" s="102"/>
      <c r="W56" s="103"/>
      <c r="X56" s="104"/>
    </row>
    <row r="57" spans="1:24" ht="15" customHeight="1" thickBot="1" x14ac:dyDescent="0.3">
      <c r="A57" s="84" t="s">
        <v>72</v>
      </c>
      <c r="B57" s="85" t="s">
        <v>74</v>
      </c>
      <c r="C57" s="96" t="s">
        <v>27</v>
      </c>
      <c r="D57" s="86" t="s">
        <v>331</v>
      </c>
      <c r="E57" s="84" t="s">
        <v>332</v>
      </c>
      <c r="F57" s="84" t="s">
        <v>333</v>
      </c>
      <c r="G57" s="88"/>
      <c r="H57" s="84" t="s">
        <v>334</v>
      </c>
      <c r="I57" s="96"/>
      <c r="J57" s="96"/>
      <c r="K57" s="96" t="s">
        <v>78</v>
      </c>
      <c r="L57" s="97">
        <v>1</v>
      </c>
      <c r="M57" s="98" t="s">
        <v>94</v>
      </c>
      <c r="N57" s="26" t="s">
        <v>188</v>
      </c>
      <c r="O57" s="96"/>
      <c r="P57" s="96"/>
      <c r="Q57" s="99" t="s">
        <v>144</v>
      </c>
      <c r="R57" s="99"/>
      <c r="S57" s="100" t="s">
        <v>335</v>
      </c>
      <c r="T57" s="101" t="s">
        <v>82</v>
      </c>
      <c r="U57" s="101" t="s">
        <v>107</v>
      </c>
      <c r="V57" s="102"/>
      <c r="W57" s="103"/>
      <c r="X57" s="104"/>
    </row>
    <row r="58" spans="1:24" ht="15" customHeight="1" thickBot="1" x14ac:dyDescent="0.3">
      <c r="A58" s="105" t="s">
        <v>72</v>
      </c>
      <c r="B58" s="106" t="s">
        <v>74</v>
      </c>
      <c r="C58" s="107" t="s">
        <v>27</v>
      </c>
      <c r="D58" s="108" t="s">
        <v>336</v>
      </c>
      <c r="E58" s="107" t="s">
        <v>337</v>
      </c>
      <c r="F58" s="107" t="s">
        <v>338</v>
      </c>
      <c r="G58" s="109"/>
      <c r="H58" s="107" t="s">
        <v>339</v>
      </c>
      <c r="I58" s="107"/>
      <c r="J58" s="107"/>
      <c r="K58" s="107" t="s">
        <v>78</v>
      </c>
      <c r="L58" s="110">
        <v>1</v>
      </c>
      <c r="M58" s="109" t="s">
        <v>94</v>
      </c>
      <c r="N58" s="27" t="s">
        <v>188</v>
      </c>
      <c r="O58" s="107"/>
      <c r="P58" s="107"/>
      <c r="Q58" s="111" t="s">
        <v>144</v>
      </c>
      <c r="R58" s="99"/>
      <c r="S58" s="100" t="s">
        <v>335</v>
      </c>
      <c r="T58" s="101" t="s">
        <v>82</v>
      </c>
      <c r="U58" s="101" t="s">
        <v>107</v>
      </c>
      <c r="V58" s="102"/>
      <c r="W58" s="103"/>
      <c r="X58" s="104"/>
    </row>
    <row r="59" spans="1:24" ht="15" customHeight="1" thickBot="1" x14ac:dyDescent="0.3">
      <c r="A59" s="84" t="s">
        <v>72</v>
      </c>
      <c r="B59" s="85" t="s">
        <v>74</v>
      </c>
      <c r="C59" s="96" t="s">
        <v>27</v>
      </c>
      <c r="D59" s="86" t="s">
        <v>340</v>
      </c>
      <c r="E59" s="84" t="s">
        <v>341</v>
      </c>
      <c r="F59" s="84" t="s">
        <v>342</v>
      </c>
      <c r="G59" s="88"/>
      <c r="H59" s="84" t="s">
        <v>343</v>
      </c>
      <c r="I59" s="96"/>
      <c r="J59" s="96"/>
      <c r="K59" s="96" t="s">
        <v>78</v>
      </c>
      <c r="L59" s="97">
        <v>1</v>
      </c>
      <c r="M59" s="98" t="s">
        <v>94</v>
      </c>
      <c r="N59" s="26" t="s">
        <v>188</v>
      </c>
      <c r="O59" s="96"/>
      <c r="P59" s="96"/>
      <c r="Q59" s="99" t="s">
        <v>144</v>
      </c>
      <c r="R59" s="99"/>
      <c r="S59" s="100"/>
      <c r="T59" s="101"/>
      <c r="U59" s="101"/>
      <c r="V59" s="102"/>
      <c r="W59" s="103"/>
      <c r="X59" s="104"/>
    </row>
    <row r="60" spans="1:24" ht="15" customHeight="1" thickBot="1" x14ac:dyDescent="0.3">
      <c r="A60" s="84" t="s">
        <v>72</v>
      </c>
      <c r="B60" s="85" t="s">
        <v>74</v>
      </c>
      <c r="C60" s="96" t="s">
        <v>27</v>
      </c>
      <c r="D60" s="86" t="s">
        <v>344</v>
      </c>
      <c r="E60" s="84" t="s">
        <v>345</v>
      </c>
      <c r="F60" s="84" t="s">
        <v>346</v>
      </c>
      <c r="G60" s="88"/>
      <c r="H60" s="84" t="s">
        <v>347</v>
      </c>
      <c r="I60" s="96"/>
      <c r="J60" s="96"/>
      <c r="K60" s="96" t="s">
        <v>78</v>
      </c>
      <c r="L60" s="97">
        <v>1</v>
      </c>
      <c r="M60" s="98" t="s">
        <v>94</v>
      </c>
      <c r="N60" s="26" t="s">
        <v>188</v>
      </c>
      <c r="O60" s="96"/>
      <c r="P60" s="96"/>
      <c r="Q60" s="99" t="s">
        <v>144</v>
      </c>
      <c r="R60" s="99"/>
      <c r="S60" s="100"/>
      <c r="T60" s="101"/>
      <c r="U60" s="101"/>
      <c r="V60" s="102"/>
      <c r="W60" s="103"/>
      <c r="X60" s="104"/>
    </row>
    <row r="61" spans="1:24" ht="15" customHeight="1" thickBot="1" x14ac:dyDescent="0.3">
      <c r="A61" s="84" t="s">
        <v>72</v>
      </c>
      <c r="B61" s="85" t="s">
        <v>74</v>
      </c>
      <c r="C61" s="96" t="s">
        <v>27</v>
      </c>
      <c r="D61" s="86" t="s">
        <v>348</v>
      </c>
      <c r="E61" s="84" t="s">
        <v>349</v>
      </c>
      <c r="F61" s="84" t="s">
        <v>350</v>
      </c>
      <c r="G61" s="88"/>
      <c r="H61" s="84" t="s">
        <v>351</v>
      </c>
      <c r="I61" s="96"/>
      <c r="J61" s="96"/>
      <c r="K61" s="96" t="s">
        <v>78</v>
      </c>
      <c r="L61" s="97">
        <v>1</v>
      </c>
      <c r="M61" s="98" t="s">
        <v>94</v>
      </c>
      <c r="N61" s="26" t="s">
        <v>188</v>
      </c>
      <c r="O61" s="96"/>
      <c r="P61" s="96"/>
      <c r="Q61" s="99" t="s">
        <v>144</v>
      </c>
      <c r="R61" s="99"/>
      <c r="S61" s="100"/>
      <c r="T61" s="101"/>
      <c r="U61" s="101"/>
      <c r="V61" s="102"/>
      <c r="W61" s="103"/>
      <c r="X61" s="104"/>
    </row>
    <row r="62" spans="1:24" ht="15" customHeight="1" thickBot="1" x14ac:dyDescent="0.3">
      <c r="A62" s="84" t="s">
        <v>72</v>
      </c>
      <c r="B62" s="85" t="s">
        <v>74</v>
      </c>
      <c r="C62" s="96" t="s">
        <v>27</v>
      </c>
      <c r="D62" s="86" t="s">
        <v>352</v>
      </c>
      <c r="E62" s="84" t="s">
        <v>353</v>
      </c>
      <c r="F62" s="84" t="s">
        <v>354</v>
      </c>
      <c r="G62" s="88"/>
      <c r="H62" s="84" t="s">
        <v>355</v>
      </c>
      <c r="I62" s="96"/>
      <c r="J62" s="96"/>
      <c r="K62" s="84" t="s">
        <v>1181</v>
      </c>
      <c r="L62" s="97">
        <v>10</v>
      </c>
      <c r="M62" s="98" t="s">
        <v>135</v>
      </c>
      <c r="O62" s="96"/>
      <c r="P62" s="96"/>
      <c r="Q62" s="99" t="s">
        <v>144</v>
      </c>
      <c r="R62" s="99"/>
      <c r="S62" s="100" t="s">
        <v>356</v>
      </c>
      <c r="T62" s="101" t="s">
        <v>82</v>
      </c>
      <c r="U62" s="101" t="s">
        <v>82</v>
      </c>
      <c r="V62" s="102"/>
      <c r="W62" s="103"/>
      <c r="X62" s="104"/>
    </row>
    <row r="63" spans="1:24" ht="15" customHeight="1" thickBot="1" x14ac:dyDescent="0.3">
      <c r="A63" s="84" t="s">
        <v>72</v>
      </c>
      <c r="B63" s="85" t="s">
        <v>74</v>
      </c>
      <c r="C63" s="96" t="s">
        <v>27</v>
      </c>
      <c r="D63" s="86" t="s">
        <v>357</v>
      </c>
      <c r="E63" s="84" t="s">
        <v>358</v>
      </c>
      <c r="F63" s="84" t="s">
        <v>359</v>
      </c>
      <c r="G63" s="88"/>
      <c r="H63" s="84" t="s">
        <v>360</v>
      </c>
      <c r="I63" s="96"/>
      <c r="J63" s="96"/>
      <c r="K63" s="96" t="s">
        <v>78</v>
      </c>
      <c r="L63" s="97">
        <v>2</v>
      </c>
      <c r="M63" s="98" t="s">
        <v>100</v>
      </c>
      <c r="N63" s="26" t="s">
        <v>361</v>
      </c>
      <c r="O63" s="96"/>
      <c r="P63" s="96"/>
      <c r="Q63" s="99" t="s">
        <v>144</v>
      </c>
      <c r="R63" s="99"/>
      <c r="S63" s="100" t="s">
        <v>356</v>
      </c>
      <c r="T63" s="101" t="s">
        <v>82</v>
      </c>
      <c r="U63" s="101" t="s">
        <v>82</v>
      </c>
      <c r="V63" s="102"/>
      <c r="W63" s="103"/>
      <c r="X63" s="104"/>
    </row>
    <row r="64" spans="1:24" ht="15" customHeight="1" thickBot="1" x14ac:dyDescent="0.3">
      <c r="A64" s="84" t="s">
        <v>72</v>
      </c>
      <c r="B64" s="85" t="s">
        <v>74</v>
      </c>
      <c r="C64" s="96" t="s">
        <v>27</v>
      </c>
      <c r="D64" s="86" t="s">
        <v>362</v>
      </c>
      <c r="E64" s="84" t="s">
        <v>363</v>
      </c>
      <c r="F64" s="84" t="s">
        <v>364</v>
      </c>
      <c r="G64" s="88"/>
      <c r="H64" s="84" t="s">
        <v>365</v>
      </c>
      <c r="I64" s="96"/>
      <c r="J64" s="96"/>
      <c r="K64" s="84" t="s">
        <v>1181</v>
      </c>
      <c r="L64" s="97">
        <v>10</v>
      </c>
      <c r="M64" s="98" t="s">
        <v>135</v>
      </c>
      <c r="O64" s="96"/>
      <c r="P64" s="96"/>
      <c r="Q64" s="99" t="s">
        <v>144</v>
      </c>
      <c r="R64" s="99"/>
      <c r="S64" s="100" t="s">
        <v>356</v>
      </c>
      <c r="T64" s="101" t="s">
        <v>82</v>
      </c>
      <c r="U64" s="101" t="s">
        <v>82</v>
      </c>
      <c r="V64" s="102"/>
      <c r="W64" s="103"/>
      <c r="X64" s="104"/>
    </row>
    <row r="65" spans="1:24" ht="15" customHeight="1" thickBot="1" x14ac:dyDescent="0.3">
      <c r="A65" s="84" t="s">
        <v>72</v>
      </c>
      <c r="B65" s="85" t="s">
        <v>74</v>
      </c>
      <c r="C65" s="96" t="s">
        <v>27</v>
      </c>
      <c r="D65" s="86" t="s">
        <v>366</v>
      </c>
      <c r="E65" s="84" t="s">
        <v>367</v>
      </c>
      <c r="F65" s="84" t="s">
        <v>368</v>
      </c>
      <c r="G65" s="88"/>
      <c r="H65" s="84" t="s">
        <v>369</v>
      </c>
      <c r="I65" s="96"/>
      <c r="J65" s="96"/>
      <c r="K65" s="96" t="s">
        <v>78</v>
      </c>
      <c r="L65" s="97">
        <v>2</v>
      </c>
      <c r="M65" s="98" t="s">
        <v>100</v>
      </c>
      <c r="N65" s="26" t="s">
        <v>361</v>
      </c>
      <c r="O65" s="96"/>
      <c r="P65" s="96"/>
      <c r="Q65" s="99" t="s">
        <v>144</v>
      </c>
      <c r="R65" s="99"/>
      <c r="S65" s="100" t="s">
        <v>356</v>
      </c>
      <c r="T65" s="101" t="s">
        <v>82</v>
      </c>
      <c r="U65" s="101" t="s">
        <v>82</v>
      </c>
      <c r="V65" s="102"/>
      <c r="W65" s="103"/>
      <c r="X65" s="104"/>
    </row>
    <row r="66" spans="1:24" ht="15" customHeight="1" thickBot="1" x14ac:dyDescent="0.3">
      <c r="A66" s="84" t="s">
        <v>72</v>
      </c>
      <c r="B66" s="85" t="s">
        <v>74</v>
      </c>
      <c r="C66" s="96" t="s">
        <v>27</v>
      </c>
      <c r="D66" s="86" t="s">
        <v>370</v>
      </c>
      <c r="E66" s="84" t="s">
        <v>371</v>
      </c>
      <c r="F66" s="84" t="s">
        <v>372</v>
      </c>
      <c r="G66" s="88"/>
      <c r="H66" s="84" t="s">
        <v>373</v>
      </c>
      <c r="I66" s="96"/>
      <c r="J66" s="96"/>
      <c r="K66" s="96" t="s">
        <v>134</v>
      </c>
      <c r="L66" s="97">
        <v>10</v>
      </c>
      <c r="M66" s="98" t="s">
        <v>135</v>
      </c>
      <c r="O66" s="96"/>
      <c r="P66" s="96"/>
      <c r="Q66" s="99" t="s">
        <v>144</v>
      </c>
      <c r="R66" s="99"/>
      <c r="S66" s="100" t="s">
        <v>356</v>
      </c>
      <c r="T66" s="101" t="s">
        <v>82</v>
      </c>
      <c r="U66" s="101" t="s">
        <v>82</v>
      </c>
      <c r="V66" s="102"/>
      <c r="W66" s="103"/>
      <c r="X66" s="104"/>
    </row>
    <row r="67" spans="1:24" ht="15" customHeight="1" thickBot="1" x14ac:dyDescent="0.3">
      <c r="A67" s="84" t="s">
        <v>72</v>
      </c>
      <c r="B67" s="85" t="s">
        <v>74</v>
      </c>
      <c r="C67" s="96" t="s">
        <v>27</v>
      </c>
      <c r="D67" s="86" t="s">
        <v>374</v>
      </c>
      <c r="E67" s="84" t="s">
        <v>375</v>
      </c>
      <c r="F67" s="84" t="s">
        <v>376</v>
      </c>
      <c r="G67" s="88"/>
      <c r="H67" s="84" t="s">
        <v>377</v>
      </c>
      <c r="I67" s="96"/>
      <c r="J67" s="96"/>
      <c r="K67" s="96" t="s">
        <v>78</v>
      </c>
      <c r="L67" s="97">
        <v>2</v>
      </c>
      <c r="M67" s="98" t="s">
        <v>100</v>
      </c>
      <c r="N67" s="26" t="s">
        <v>378</v>
      </c>
      <c r="O67" s="96"/>
      <c r="P67" s="96"/>
      <c r="Q67" s="99" t="s">
        <v>144</v>
      </c>
      <c r="R67" s="99"/>
      <c r="S67" s="100" t="s">
        <v>356</v>
      </c>
      <c r="T67" s="101" t="s">
        <v>82</v>
      </c>
      <c r="U67" s="101" t="s">
        <v>82</v>
      </c>
      <c r="V67" s="102"/>
      <c r="W67" s="103"/>
      <c r="X67" s="104"/>
    </row>
    <row r="68" spans="1:24" ht="15" customHeight="1" thickBot="1" x14ac:dyDescent="0.3">
      <c r="A68" s="84" t="s">
        <v>72</v>
      </c>
      <c r="B68" s="85" t="s">
        <v>74</v>
      </c>
      <c r="C68" s="96" t="s">
        <v>27</v>
      </c>
      <c r="D68" s="86" t="s">
        <v>379</v>
      </c>
      <c r="E68" s="84" t="s">
        <v>380</v>
      </c>
      <c r="F68" s="84" t="s">
        <v>381</v>
      </c>
      <c r="G68" s="88"/>
      <c r="H68" s="84" t="s">
        <v>382</v>
      </c>
      <c r="I68" s="96"/>
      <c r="J68" s="96"/>
      <c r="K68" s="84" t="s">
        <v>1181</v>
      </c>
      <c r="L68" s="97">
        <v>10</v>
      </c>
      <c r="M68" s="98" t="s">
        <v>135</v>
      </c>
      <c r="O68" s="96"/>
      <c r="P68" s="96"/>
      <c r="Q68" s="99" t="s">
        <v>144</v>
      </c>
      <c r="R68" s="99"/>
      <c r="S68" s="100" t="s">
        <v>356</v>
      </c>
      <c r="T68" s="101" t="s">
        <v>82</v>
      </c>
      <c r="U68" s="101" t="s">
        <v>82</v>
      </c>
      <c r="V68" s="102"/>
      <c r="W68" s="103"/>
      <c r="X68" s="104"/>
    </row>
    <row r="69" spans="1:24" ht="15" customHeight="1" thickBot="1" x14ac:dyDescent="0.3">
      <c r="A69" s="84" t="s">
        <v>72</v>
      </c>
      <c r="B69" s="85" t="s">
        <v>74</v>
      </c>
      <c r="C69" s="96" t="s">
        <v>27</v>
      </c>
      <c r="D69" s="86" t="s">
        <v>383</v>
      </c>
      <c r="E69" s="84" t="s">
        <v>384</v>
      </c>
      <c r="F69" s="84" t="s">
        <v>385</v>
      </c>
      <c r="G69" s="88"/>
      <c r="H69" s="84" t="s">
        <v>386</v>
      </c>
      <c r="I69" s="96"/>
      <c r="J69" s="96"/>
      <c r="K69" s="96" t="s">
        <v>78</v>
      </c>
      <c r="L69" s="97">
        <v>2</v>
      </c>
      <c r="M69" s="98" t="s">
        <v>100</v>
      </c>
      <c r="N69" s="26" t="s">
        <v>378</v>
      </c>
      <c r="O69" s="96"/>
      <c r="P69" s="96"/>
      <c r="Q69" s="99" t="s">
        <v>144</v>
      </c>
      <c r="R69" s="99"/>
      <c r="S69" s="100" t="s">
        <v>356</v>
      </c>
      <c r="T69" s="101" t="s">
        <v>82</v>
      </c>
      <c r="U69" s="101" t="s">
        <v>82</v>
      </c>
      <c r="V69" s="102"/>
      <c r="W69" s="103"/>
      <c r="X69" s="104"/>
    </row>
    <row r="70" spans="1:24" s="83" customFormat="1" ht="15" customHeight="1" thickBot="1" x14ac:dyDescent="0.3">
      <c r="A70" s="28" t="s">
        <v>72</v>
      </c>
      <c r="B70" s="112" t="s">
        <v>84</v>
      </c>
      <c r="C70" s="28" t="s">
        <v>28</v>
      </c>
      <c r="D70" s="28" t="s">
        <v>387</v>
      </c>
      <c r="E70" s="28" t="s">
        <v>28</v>
      </c>
      <c r="F70" s="77" t="s">
        <v>28</v>
      </c>
      <c r="G70" s="28"/>
      <c r="H70" s="28"/>
      <c r="I70" s="28"/>
      <c r="J70" s="28"/>
      <c r="K70" s="28"/>
      <c r="L70" s="28"/>
      <c r="M70" s="78"/>
      <c r="N70" s="28"/>
      <c r="O70" s="28"/>
      <c r="P70" s="28"/>
      <c r="Q70" s="79"/>
      <c r="R70" s="99"/>
      <c r="S70" s="28"/>
      <c r="T70" s="28"/>
      <c r="U70" s="28"/>
      <c r="V70" s="28"/>
      <c r="W70" s="28"/>
      <c r="X70" s="79"/>
    </row>
    <row r="71" spans="1:24" ht="15" customHeight="1" thickBot="1" x14ac:dyDescent="0.3">
      <c r="A71" s="84" t="s">
        <v>72</v>
      </c>
      <c r="B71" s="85" t="s">
        <v>84</v>
      </c>
      <c r="C71" s="96" t="s">
        <v>28</v>
      </c>
      <c r="D71" s="86" t="s">
        <v>74</v>
      </c>
      <c r="E71" s="84" t="s">
        <v>158</v>
      </c>
      <c r="F71" s="84" t="s">
        <v>159</v>
      </c>
      <c r="G71" s="88"/>
      <c r="H71" s="84" t="s">
        <v>160</v>
      </c>
      <c r="I71" s="96"/>
      <c r="J71" s="96"/>
      <c r="K71" s="96" t="s">
        <v>1153</v>
      </c>
      <c r="L71" s="97">
        <v>9</v>
      </c>
      <c r="M71" s="98"/>
      <c r="O71" s="96"/>
      <c r="P71" s="96"/>
      <c r="Q71" s="99" t="s">
        <v>64</v>
      </c>
      <c r="R71" s="99"/>
      <c r="S71" s="100" t="s">
        <v>388</v>
      </c>
      <c r="T71" s="101" t="s">
        <v>82</v>
      </c>
      <c r="U71" s="101" t="s">
        <v>82</v>
      </c>
      <c r="V71" s="102"/>
      <c r="W71" s="103"/>
      <c r="X71" s="104"/>
    </row>
    <row r="72" spans="1:24" ht="15" customHeight="1" thickBot="1" x14ac:dyDescent="0.3">
      <c r="A72" s="84" t="s">
        <v>72</v>
      </c>
      <c r="B72" s="85" t="s">
        <v>84</v>
      </c>
      <c r="C72" s="96" t="s">
        <v>28</v>
      </c>
      <c r="D72" s="86" t="s">
        <v>84</v>
      </c>
      <c r="E72" s="84" t="s">
        <v>75</v>
      </c>
      <c r="F72" s="84" t="s">
        <v>76</v>
      </c>
      <c r="G72" s="88"/>
      <c r="H72" s="84" t="s">
        <v>389</v>
      </c>
      <c r="I72" s="96"/>
      <c r="J72" s="96"/>
      <c r="K72" s="96" t="s">
        <v>78</v>
      </c>
      <c r="L72" s="97">
        <v>4</v>
      </c>
      <c r="M72" s="98" t="s">
        <v>79</v>
      </c>
      <c r="N72" s="25" t="s">
        <v>80</v>
      </c>
      <c r="O72" s="96"/>
      <c r="P72" s="96"/>
      <c r="Q72" s="99" t="s">
        <v>64</v>
      </c>
      <c r="R72" s="99"/>
      <c r="S72" s="100" t="s">
        <v>390</v>
      </c>
      <c r="T72" s="101" t="s">
        <v>82</v>
      </c>
      <c r="U72" s="101" t="s">
        <v>82</v>
      </c>
      <c r="V72" s="102"/>
      <c r="W72" s="103"/>
      <c r="X72" s="104"/>
    </row>
    <row r="73" spans="1:24" ht="15" customHeight="1" thickBot="1" x14ac:dyDescent="0.3">
      <c r="A73" s="84" t="s">
        <v>72</v>
      </c>
      <c r="B73" s="85" t="s">
        <v>84</v>
      </c>
      <c r="C73" s="96" t="s">
        <v>28</v>
      </c>
      <c r="D73" s="86" t="s">
        <v>90</v>
      </c>
      <c r="E73" s="84" t="s">
        <v>85</v>
      </c>
      <c r="F73" s="84" t="s">
        <v>86</v>
      </c>
      <c r="G73" s="88"/>
      <c r="H73" s="84" t="s">
        <v>391</v>
      </c>
      <c r="I73" s="96"/>
      <c r="J73" s="96"/>
      <c r="K73" s="96" t="s">
        <v>78</v>
      </c>
      <c r="L73" s="97">
        <v>6</v>
      </c>
      <c r="M73" s="98" t="s">
        <v>88</v>
      </c>
      <c r="N73" s="26" t="s">
        <v>85</v>
      </c>
      <c r="O73" s="96"/>
      <c r="P73" s="96"/>
      <c r="Q73" s="99" t="s">
        <v>64</v>
      </c>
      <c r="R73" s="99"/>
      <c r="S73" s="100" t="s">
        <v>392</v>
      </c>
      <c r="T73" s="101" t="s">
        <v>107</v>
      </c>
      <c r="U73" s="101" t="s">
        <v>82</v>
      </c>
      <c r="V73" s="102"/>
      <c r="W73" s="103"/>
      <c r="X73" s="104"/>
    </row>
    <row r="74" spans="1:24" ht="15" customHeight="1" thickBot="1" x14ac:dyDescent="0.3">
      <c r="A74" s="84" t="s">
        <v>72</v>
      </c>
      <c r="B74" s="85" t="s">
        <v>84</v>
      </c>
      <c r="C74" s="96" t="s">
        <v>28</v>
      </c>
      <c r="D74" s="86" t="s">
        <v>96</v>
      </c>
      <c r="E74" s="84" t="s">
        <v>115</v>
      </c>
      <c r="F74" s="84" t="s">
        <v>116</v>
      </c>
      <c r="G74" s="88"/>
      <c r="H74" s="84" t="s">
        <v>117</v>
      </c>
      <c r="I74" s="96"/>
      <c r="J74" s="96"/>
      <c r="K74" s="96" t="s">
        <v>1186</v>
      </c>
      <c r="L74" s="97">
        <v>15</v>
      </c>
      <c r="M74" s="98" t="s">
        <v>118</v>
      </c>
      <c r="O74" s="96"/>
      <c r="P74" s="96"/>
      <c r="Q74" s="99" t="s">
        <v>64</v>
      </c>
      <c r="R74" s="99"/>
      <c r="S74" s="100" t="s">
        <v>119</v>
      </c>
      <c r="T74" s="101" t="s">
        <v>107</v>
      </c>
      <c r="U74" s="101" t="s">
        <v>82</v>
      </c>
      <c r="V74" s="102"/>
      <c r="W74" s="103"/>
      <c r="X74" s="104"/>
    </row>
    <row r="75" spans="1:24" ht="15" customHeight="1" thickBot="1" x14ac:dyDescent="0.3">
      <c r="A75" s="84" t="s">
        <v>72</v>
      </c>
      <c r="B75" s="85" t="s">
        <v>84</v>
      </c>
      <c r="C75" s="96" t="s">
        <v>28</v>
      </c>
      <c r="D75" s="86" t="s">
        <v>102</v>
      </c>
      <c r="E75" s="84" t="s">
        <v>121</v>
      </c>
      <c r="F75" s="84" t="s">
        <v>122</v>
      </c>
      <c r="G75" s="88"/>
      <c r="H75" s="84" t="s">
        <v>393</v>
      </c>
      <c r="I75" s="96"/>
      <c r="J75" s="96"/>
      <c r="K75" s="96" t="s">
        <v>1186</v>
      </c>
      <c r="L75" s="97">
        <v>25</v>
      </c>
      <c r="M75" s="98" t="s">
        <v>124</v>
      </c>
      <c r="O75" s="96"/>
      <c r="P75" s="96"/>
      <c r="Q75" s="99" t="s">
        <v>64</v>
      </c>
      <c r="R75" s="99"/>
      <c r="S75" s="100" t="s">
        <v>125</v>
      </c>
      <c r="T75" s="101" t="s">
        <v>107</v>
      </c>
      <c r="U75" s="101" t="s">
        <v>82</v>
      </c>
      <c r="V75" s="102"/>
      <c r="W75" s="103"/>
      <c r="X75" s="104"/>
    </row>
    <row r="76" spans="1:24" ht="15" customHeight="1" thickBot="1" x14ac:dyDescent="0.3">
      <c r="A76" s="84" t="s">
        <v>72</v>
      </c>
      <c r="B76" s="85" t="s">
        <v>84</v>
      </c>
      <c r="C76" s="96" t="s">
        <v>28</v>
      </c>
      <c r="D76" s="86" t="s">
        <v>109</v>
      </c>
      <c r="E76" s="84" t="s">
        <v>127</v>
      </c>
      <c r="F76" s="84" t="s">
        <v>128</v>
      </c>
      <c r="G76" s="88"/>
      <c r="H76" s="84" t="s">
        <v>394</v>
      </c>
      <c r="I76" s="96"/>
      <c r="J76" s="96"/>
      <c r="K76" s="96" t="s">
        <v>1186</v>
      </c>
      <c r="L76" s="97">
        <v>50</v>
      </c>
      <c r="M76" s="98"/>
      <c r="O76" s="96"/>
      <c r="P76" s="96"/>
      <c r="Q76" s="99" t="s">
        <v>64</v>
      </c>
      <c r="R76" s="99"/>
      <c r="S76" s="100" t="s">
        <v>119</v>
      </c>
      <c r="T76" s="101" t="s">
        <v>107</v>
      </c>
      <c r="U76" s="101" t="s">
        <v>82</v>
      </c>
      <c r="V76" s="102"/>
      <c r="W76" s="103"/>
      <c r="X76" s="104"/>
    </row>
    <row r="77" spans="1:24" ht="15" customHeight="1" thickBot="1" x14ac:dyDescent="0.3">
      <c r="A77" s="84" t="s">
        <v>72</v>
      </c>
      <c r="B77" s="85" t="s">
        <v>84</v>
      </c>
      <c r="C77" s="96" t="s">
        <v>28</v>
      </c>
      <c r="D77" s="86" t="s">
        <v>114</v>
      </c>
      <c r="E77" s="84" t="s">
        <v>395</v>
      </c>
      <c r="F77" s="84" t="s">
        <v>396</v>
      </c>
      <c r="G77" s="88"/>
      <c r="H77" s="84" t="s">
        <v>397</v>
      </c>
      <c r="I77" s="96"/>
      <c r="J77" s="96"/>
      <c r="K77" s="84" t="s">
        <v>1181</v>
      </c>
      <c r="L77" s="97"/>
      <c r="M77" s="98" t="s">
        <v>135</v>
      </c>
      <c r="O77" s="96"/>
      <c r="P77" s="96"/>
      <c r="Q77" s="99" t="s">
        <v>64</v>
      </c>
      <c r="R77" s="99"/>
      <c r="S77" s="100" t="s">
        <v>390</v>
      </c>
      <c r="T77" s="101" t="s">
        <v>107</v>
      </c>
      <c r="U77" s="101" t="s">
        <v>82</v>
      </c>
      <c r="V77" s="102"/>
      <c r="W77" s="103"/>
      <c r="X77" s="104"/>
    </row>
    <row r="78" spans="1:24" ht="15" customHeight="1" thickBot="1" x14ac:dyDescent="0.3">
      <c r="A78" s="84" t="s">
        <v>72</v>
      </c>
      <c r="B78" s="85" t="s">
        <v>84</v>
      </c>
      <c r="C78" s="96" t="s">
        <v>28</v>
      </c>
      <c r="D78" s="86" t="s">
        <v>120</v>
      </c>
      <c r="E78" s="84" t="s">
        <v>398</v>
      </c>
      <c r="F78" s="84" t="s">
        <v>399</v>
      </c>
      <c r="G78" s="88"/>
      <c r="H78" s="84" t="s">
        <v>400</v>
      </c>
      <c r="I78" s="96"/>
      <c r="J78" s="96"/>
      <c r="K78" s="84" t="s">
        <v>1181</v>
      </c>
      <c r="L78" s="97"/>
      <c r="M78" s="98" t="s">
        <v>135</v>
      </c>
      <c r="O78" s="96"/>
      <c r="P78" s="96"/>
      <c r="Q78" s="99" t="s">
        <v>173</v>
      </c>
      <c r="R78" s="99"/>
      <c r="S78" s="100" t="s">
        <v>390</v>
      </c>
      <c r="T78" s="101" t="s">
        <v>107</v>
      </c>
      <c r="U78" s="101" t="s">
        <v>82</v>
      </c>
      <c r="V78" s="102"/>
      <c r="W78" s="103"/>
      <c r="X78" s="104"/>
    </row>
    <row r="79" spans="1:24" ht="15" customHeight="1" thickBot="1" x14ac:dyDescent="0.3">
      <c r="A79" s="84" t="s">
        <v>72</v>
      </c>
      <c r="B79" s="85" t="s">
        <v>84</v>
      </c>
      <c r="C79" s="96" t="s">
        <v>28</v>
      </c>
      <c r="D79" s="86" t="s">
        <v>126</v>
      </c>
      <c r="E79" s="84" t="s">
        <v>401</v>
      </c>
      <c r="F79" s="84" t="s">
        <v>402</v>
      </c>
      <c r="G79" s="88"/>
      <c r="H79" s="84" t="s">
        <v>403</v>
      </c>
      <c r="I79" s="96"/>
      <c r="J79" s="96"/>
      <c r="K79" s="96" t="s">
        <v>78</v>
      </c>
      <c r="L79" s="97">
        <v>2</v>
      </c>
      <c r="M79" s="98" t="s">
        <v>100</v>
      </c>
      <c r="N79" s="26" t="s">
        <v>401</v>
      </c>
      <c r="O79" s="96"/>
      <c r="P79" s="96"/>
      <c r="Q79" s="99" t="s">
        <v>144</v>
      </c>
      <c r="R79" s="99"/>
      <c r="S79" s="100" t="s">
        <v>404</v>
      </c>
      <c r="T79" s="101" t="s">
        <v>107</v>
      </c>
      <c r="U79" s="101" t="s">
        <v>82</v>
      </c>
      <c r="V79" s="102"/>
      <c r="W79" s="103"/>
      <c r="X79" s="104"/>
    </row>
    <row r="80" spans="1:24" ht="15" customHeight="1" thickBot="1" x14ac:dyDescent="0.3">
      <c r="A80" s="84" t="s">
        <v>72</v>
      </c>
      <c r="B80" s="85" t="s">
        <v>84</v>
      </c>
      <c r="C80" s="96" t="s">
        <v>28</v>
      </c>
      <c r="D80" s="86" t="s">
        <v>130</v>
      </c>
      <c r="E80" s="84" t="s">
        <v>405</v>
      </c>
      <c r="F80" s="84" t="s">
        <v>406</v>
      </c>
      <c r="G80" s="88"/>
      <c r="H80" s="84" t="s">
        <v>407</v>
      </c>
      <c r="I80" s="96"/>
      <c r="J80" s="96"/>
      <c r="K80" s="96" t="s">
        <v>13448</v>
      </c>
      <c r="L80" s="97">
        <v>5</v>
      </c>
      <c r="M80" s="98">
        <v>99.99</v>
      </c>
      <c r="O80" s="96"/>
      <c r="P80" s="96"/>
      <c r="Q80" s="99" t="s">
        <v>64</v>
      </c>
      <c r="R80" s="99"/>
      <c r="S80" s="100" t="s">
        <v>408</v>
      </c>
      <c r="T80" s="101" t="s">
        <v>107</v>
      </c>
      <c r="U80" s="101" t="s">
        <v>82</v>
      </c>
      <c r="V80" s="102"/>
      <c r="W80" s="103"/>
      <c r="X80" s="104"/>
    </row>
    <row r="81" spans="1:24" ht="15" customHeight="1" thickBot="1" x14ac:dyDescent="0.3">
      <c r="A81" s="84" t="s">
        <v>72</v>
      </c>
      <c r="B81" s="85" t="s">
        <v>84</v>
      </c>
      <c r="C81" s="96" t="s">
        <v>28</v>
      </c>
      <c r="D81" s="86" t="s">
        <v>136</v>
      </c>
      <c r="E81" s="84" t="s">
        <v>409</v>
      </c>
      <c r="F81" s="84" t="s">
        <v>410</v>
      </c>
      <c r="G81" s="88"/>
      <c r="H81" s="84" t="s">
        <v>411</v>
      </c>
      <c r="I81" s="96"/>
      <c r="J81" s="96"/>
      <c r="K81" s="96" t="s">
        <v>235</v>
      </c>
      <c r="L81" s="97">
        <v>5</v>
      </c>
      <c r="M81" s="98">
        <v>99.99</v>
      </c>
      <c r="O81" s="96" t="s">
        <v>73</v>
      </c>
      <c r="P81" s="96" t="s">
        <v>412</v>
      </c>
      <c r="Q81" s="99" t="s">
        <v>144</v>
      </c>
      <c r="R81" s="99"/>
      <c r="S81" s="100" t="s">
        <v>408</v>
      </c>
      <c r="T81" s="101" t="s">
        <v>107</v>
      </c>
      <c r="U81" s="101" t="s">
        <v>82</v>
      </c>
      <c r="V81" s="102"/>
      <c r="W81" s="103"/>
      <c r="X81" s="104"/>
    </row>
    <row r="82" spans="1:24" ht="15" customHeight="1" thickBot="1" x14ac:dyDescent="0.3">
      <c r="A82" s="84" t="s">
        <v>72</v>
      </c>
      <c r="B82" s="85" t="s">
        <v>84</v>
      </c>
      <c r="C82" s="96" t="s">
        <v>28</v>
      </c>
      <c r="D82" s="86" t="s">
        <v>140</v>
      </c>
      <c r="E82" s="84" t="s">
        <v>413</v>
      </c>
      <c r="F82" s="84" t="s">
        <v>414</v>
      </c>
      <c r="G82" s="88"/>
      <c r="H82" s="84" t="s">
        <v>415</v>
      </c>
      <c r="I82" s="96"/>
      <c r="J82" s="96"/>
      <c r="K82" s="96" t="s">
        <v>78</v>
      </c>
      <c r="L82" s="97">
        <v>1</v>
      </c>
      <c r="M82" s="98" t="s">
        <v>94</v>
      </c>
      <c r="N82" s="26" t="s">
        <v>188</v>
      </c>
      <c r="O82" s="96"/>
      <c r="P82" s="96"/>
      <c r="Q82" s="99" t="s">
        <v>144</v>
      </c>
      <c r="R82" s="99"/>
      <c r="S82" s="100"/>
      <c r="T82" s="101"/>
      <c r="U82" s="101"/>
      <c r="V82" s="102"/>
      <c r="W82" s="103"/>
      <c r="X82" s="104"/>
    </row>
    <row r="83" spans="1:24" ht="15" customHeight="1" thickBot="1" x14ac:dyDescent="0.3">
      <c r="A83" s="84" t="s">
        <v>72</v>
      </c>
      <c r="B83" s="85" t="s">
        <v>84</v>
      </c>
      <c r="C83" s="96" t="s">
        <v>28</v>
      </c>
      <c r="D83" s="86" t="s">
        <v>146</v>
      </c>
      <c r="E83" s="84" t="s">
        <v>416</v>
      </c>
      <c r="F83" s="84" t="s">
        <v>417</v>
      </c>
      <c r="G83" s="88"/>
      <c r="H83" s="84" t="s">
        <v>418</v>
      </c>
      <c r="I83" s="96"/>
      <c r="J83" s="96"/>
      <c r="K83" s="96" t="s">
        <v>1186</v>
      </c>
      <c r="L83" s="97">
        <v>4</v>
      </c>
      <c r="M83" s="98" t="s">
        <v>419</v>
      </c>
      <c r="O83" s="96"/>
      <c r="P83" s="96"/>
      <c r="Q83" s="99" t="s">
        <v>144</v>
      </c>
      <c r="R83" s="99"/>
      <c r="S83" s="100" t="s">
        <v>408</v>
      </c>
      <c r="T83" s="101" t="s">
        <v>107</v>
      </c>
      <c r="U83" s="101" t="s">
        <v>82</v>
      </c>
      <c r="V83" s="102"/>
      <c r="W83" s="103"/>
      <c r="X83" s="104"/>
    </row>
    <row r="84" spans="1:24" ht="15" customHeight="1" thickBot="1" x14ac:dyDescent="0.3">
      <c r="A84" s="84" t="s">
        <v>72</v>
      </c>
      <c r="B84" s="85" t="s">
        <v>84</v>
      </c>
      <c r="C84" s="96" t="s">
        <v>28</v>
      </c>
      <c r="D84" s="86" t="s">
        <v>150</v>
      </c>
      <c r="E84" s="84" t="s">
        <v>420</v>
      </c>
      <c r="F84" s="84" t="s">
        <v>421</v>
      </c>
      <c r="G84" s="88"/>
      <c r="H84" s="84" t="s">
        <v>422</v>
      </c>
      <c r="I84" s="96"/>
      <c r="J84" s="96"/>
      <c r="K84" s="96" t="s">
        <v>78</v>
      </c>
      <c r="L84" s="97">
        <v>1</v>
      </c>
      <c r="M84" s="98" t="s">
        <v>94</v>
      </c>
      <c r="N84" s="26" t="s">
        <v>188</v>
      </c>
      <c r="O84" s="96"/>
      <c r="P84" s="96"/>
      <c r="Q84" s="99" t="s">
        <v>144</v>
      </c>
      <c r="R84" s="99"/>
      <c r="S84" s="100" t="s">
        <v>408</v>
      </c>
      <c r="T84" s="101" t="s">
        <v>82</v>
      </c>
      <c r="U84" s="101" t="s">
        <v>82</v>
      </c>
      <c r="V84" s="102"/>
      <c r="W84" s="103"/>
      <c r="X84" s="104"/>
    </row>
    <row r="85" spans="1:24" ht="15" customHeight="1" thickBot="1" x14ac:dyDescent="0.3">
      <c r="A85" s="84" t="s">
        <v>72</v>
      </c>
      <c r="B85" s="85" t="s">
        <v>84</v>
      </c>
      <c r="C85" s="96" t="s">
        <v>28</v>
      </c>
      <c r="D85" s="86" t="s">
        <v>154</v>
      </c>
      <c r="E85" s="84" t="s">
        <v>423</v>
      </c>
      <c r="F85" s="84" t="s">
        <v>424</v>
      </c>
      <c r="G85" s="88"/>
      <c r="H85" s="84" t="s">
        <v>425</v>
      </c>
      <c r="I85" s="96"/>
      <c r="J85" s="96"/>
      <c r="K85" s="96" t="s">
        <v>78</v>
      </c>
      <c r="L85" s="97">
        <v>1</v>
      </c>
      <c r="M85" s="98" t="s">
        <v>94</v>
      </c>
      <c r="N85" s="26" t="s">
        <v>188</v>
      </c>
      <c r="O85" s="96"/>
      <c r="P85" s="96"/>
      <c r="Q85" s="99" t="s">
        <v>144</v>
      </c>
      <c r="R85" s="99"/>
      <c r="S85" s="100" t="s">
        <v>408</v>
      </c>
      <c r="T85" s="101" t="s">
        <v>82</v>
      </c>
      <c r="U85" s="101" t="s">
        <v>82</v>
      </c>
      <c r="V85" s="102"/>
      <c r="W85" s="103" t="s">
        <v>426</v>
      </c>
      <c r="X85" s="104"/>
    </row>
    <row r="86" spans="1:24" ht="15" customHeight="1" thickBot="1" x14ac:dyDescent="0.3">
      <c r="A86" s="84" t="s">
        <v>72</v>
      </c>
      <c r="B86" s="85" t="s">
        <v>84</v>
      </c>
      <c r="C86" s="96" t="s">
        <v>28</v>
      </c>
      <c r="D86" s="86" t="s">
        <v>214</v>
      </c>
      <c r="E86" s="84" t="s">
        <v>427</v>
      </c>
      <c r="F86" s="84" t="s">
        <v>428</v>
      </c>
      <c r="G86" s="88"/>
      <c r="H86" s="84" t="s">
        <v>429</v>
      </c>
      <c r="I86" s="96"/>
      <c r="J86" s="96"/>
      <c r="K86" s="96" t="s">
        <v>1156</v>
      </c>
      <c r="L86" s="97">
        <v>1</v>
      </c>
      <c r="M86" s="98">
        <v>9</v>
      </c>
      <c r="O86" s="96"/>
      <c r="P86" s="96"/>
      <c r="Q86" s="99" t="s">
        <v>144</v>
      </c>
      <c r="R86" s="99"/>
      <c r="S86" s="100" t="s">
        <v>408</v>
      </c>
      <c r="T86" s="101" t="s">
        <v>82</v>
      </c>
      <c r="U86" s="101" t="s">
        <v>82</v>
      </c>
      <c r="V86" s="102"/>
      <c r="W86" s="103" t="s">
        <v>426</v>
      </c>
      <c r="X86" s="104"/>
    </row>
    <row r="87" spans="1:24" ht="15" customHeight="1" thickBot="1" x14ac:dyDescent="0.3">
      <c r="A87" s="84" t="s">
        <v>72</v>
      </c>
      <c r="B87" s="85" t="s">
        <v>84</v>
      </c>
      <c r="C87" s="96" t="s">
        <v>28</v>
      </c>
      <c r="D87" s="86" t="s">
        <v>220</v>
      </c>
      <c r="E87" s="84" t="s">
        <v>430</v>
      </c>
      <c r="F87" s="84" t="s">
        <v>431</v>
      </c>
      <c r="G87" s="88"/>
      <c r="H87" s="84" t="s">
        <v>432</v>
      </c>
      <c r="I87" s="96"/>
      <c r="J87" s="96"/>
      <c r="K87" s="96" t="s">
        <v>78</v>
      </c>
      <c r="L87" s="97">
        <v>4</v>
      </c>
      <c r="M87" s="98" t="s">
        <v>79</v>
      </c>
      <c r="N87" s="26" t="s">
        <v>433</v>
      </c>
      <c r="O87" s="96"/>
      <c r="P87" s="96"/>
      <c r="Q87" s="99" t="s">
        <v>144</v>
      </c>
      <c r="R87" s="99"/>
      <c r="S87" s="100" t="s">
        <v>408</v>
      </c>
      <c r="T87" s="101" t="s">
        <v>82</v>
      </c>
      <c r="U87" s="101" t="s">
        <v>82</v>
      </c>
      <c r="V87" s="102"/>
      <c r="W87" s="103" t="s">
        <v>426</v>
      </c>
      <c r="X87" s="104"/>
    </row>
    <row r="88" spans="1:24" s="83" customFormat="1" ht="15" customHeight="1" thickBot="1" x14ac:dyDescent="0.3">
      <c r="A88" s="28" t="s">
        <v>72</v>
      </c>
      <c r="B88" s="112" t="s">
        <v>90</v>
      </c>
      <c r="C88" s="28" t="s">
        <v>13500</v>
      </c>
      <c r="D88" s="113" t="s">
        <v>73</v>
      </c>
      <c r="E88" s="28" t="s">
        <v>13500</v>
      </c>
      <c r="F88" s="77" t="s">
        <v>13500</v>
      </c>
      <c r="G88" s="28" t="b">
        <v>0</v>
      </c>
      <c r="H88" s="28"/>
      <c r="I88" s="28"/>
      <c r="J88" s="28"/>
      <c r="K88" s="28"/>
      <c r="L88" s="28"/>
      <c r="M88" s="78"/>
      <c r="N88" s="28"/>
      <c r="O88" s="28"/>
      <c r="P88" s="28"/>
      <c r="Q88" s="79"/>
      <c r="R88" s="99"/>
      <c r="S88" s="28"/>
      <c r="T88" s="28"/>
      <c r="U88" s="28"/>
      <c r="V88" s="28"/>
      <c r="W88" s="28"/>
      <c r="X88" s="79"/>
    </row>
    <row r="89" spans="1:24" ht="15" customHeight="1" thickBot="1" x14ac:dyDescent="0.3">
      <c r="A89" s="84" t="s">
        <v>72</v>
      </c>
      <c r="B89" s="85" t="s">
        <v>90</v>
      </c>
      <c r="C89" s="96" t="s">
        <v>13500</v>
      </c>
      <c r="D89" s="86" t="s">
        <v>74</v>
      </c>
      <c r="E89" s="84" t="s">
        <v>158</v>
      </c>
      <c r="F89" s="84" t="s">
        <v>159</v>
      </c>
      <c r="G89" s="88"/>
      <c r="H89" s="84" t="s">
        <v>160</v>
      </c>
      <c r="I89" s="96"/>
      <c r="J89" s="96"/>
      <c r="K89" s="96" t="s">
        <v>1153</v>
      </c>
      <c r="L89" s="97">
        <v>9</v>
      </c>
      <c r="M89" s="98" t="s">
        <v>434</v>
      </c>
      <c r="O89" s="96"/>
      <c r="P89" s="96"/>
      <c r="Q89" s="99" t="s">
        <v>64</v>
      </c>
      <c r="R89" s="99"/>
      <c r="S89" s="100" t="s">
        <v>161</v>
      </c>
      <c r="T89" s="101" t="s">
        <v>82</v>
      </c>
      <c r="U89" s="101" t="s">
        <v>82</v>
      </c>
      <c r="V89" s="102" t="s">
        <v>83</v>
      </c>
      <c r="W89" s="103"/>
      <c r="X89" s="104"/>
    </row>
    <row r="90" spans="1:24" ht="15" customHeight="1" thickBot="1" x14ac:dyDescent="0.3">
      <c r="A90" s="84" t="s">
        <v>72</v>
      </c>
      <c r="B90" s="85" t="s">
        <v>90</v>
      </c>
      <c r="C90" s="96" t="s">
        <v>13500</v>
      </c>
      <c r="D90" s="86" t="s">
        <v>84</v>
      </c>
      <c r="E90" s="84" t="s">
        <v>435</v>
      </c>
      <c r="F90" s="84" t="s">
        <v>76</v>
      </c>
      <c r="G90" s="88"/>
      <c r="H90" s="84" t="s">
        <v>436</v>
      </c>
      <c r="I90" s="96"/>
      <c r="J90" s="96"/>
      <c r="K90" s="96" t="s">
        <v>78</v>
      </c>
      <c r="L90" s="97">
        <v>4</v>
      </c>
      <c r="M90" s="98" t="s">
        <v>79</v>
      </c>
      <c r="N90" s="25" t="s">
        <v>80</v>
      </c>
      <c r="O90" s="96"/>
      <c r="P90" s="96"/>
      <c r="Q90" s="99" t="s">
        <v>64</v>
      </c>
      <c r="R90" s="99"/>
      <c r="S90" s="100" t="s">
        <v>161</v>
      </c>
      <c r="T90" s="101" t="s">
        <v>82</v>
      </c>
      <c r="U90" s="101" t="s">
        <v>82</v>
      </c>
      <c r="V90" s="102" t="s">
        <v>83</v>
      </c>
      <c r="W90" s="103"/>
      <c r="X90" s="104"/>
    </row>
    <row r="91" spans="1:24" ht="15" customHeight="1" thickBot="1" x14ac:dyDescent="0.3">
      <c r="A91" s="84" t="s">
        <v>72</v>
      </c>
      <c r="B91" s="85" t="s">
        <v>90</v>
      </c>
      <c r="C91" s="96" t="s">
        <v>13500</v>
      </c>
      <c r="D91" s="86" t="s">
        <v>90</v>
      </c>
      <c r="E91" s="84" t="s">
        <v>437</v>
      </c>
      <c r="F91" s="84" t="s">
        <v>438</v>
      </c>
      <c r="G91" s="88"/>
      <c r="H91" s="84" t="s">
        <v>439</v>
      </c>
      <c r="I91" s="96"/>
      <c r="J91" s="96"/>
      <c r="K91" s="96" t="s">
        <v>1156</v>
      </c>
      <c r="L91" s="97">
        <v>15</v>
      </c>
      <c r="M91" s="98" t="s">
        <v>440</v>
      </c>
      <c r="O91" s="96" t="s">
        <v>74</v>
      </c>
      <c r="P91" s="96" t="s">
        <v>79</v>
      </c>
      <c r="Q91" s="99" t="s">
        <v>64</v>
      </c>
      <c r="R91" s="99"/>
      <c r="S91" s="100" t="s">
        <v>161</v>
      </c>
      <c r="T91" s="101" t="s">
        <v>82</v>
      </c>
      <c r="U91" s="101" t="s">
        <v>82</v>
      </c>
      <c r="V91" s="102" t="s">
        <v>83</v>
      </c>
      <c r="W91" s="103"/>
      <c r="X91" s="104"/>
    </row>
    <row r="92" spans="1:24" ht="15" customHeight="1" thickBot="1" x14ac:dyDescent="0.3">
      <c r="A92" s="84" t="s">
        <v>72</v>
      </c>
      <c r="B92" s="85" t="s">
        <v>90</v>
      </c>
      <c r="C92" s="96" t="s">
        <v>13500</v>
      </c>
      <c r="D92" s="86" t="s">
        <v>96</v>
      </c>
      <c r="E92" s="84" t="s">
        <v>134</v>
      </c>
      <c r="F92" s="84" t="s">
        <v>441</v>
      </c>
      <c r="G92" s="88"/>
      <c r="H92" s="84" t="s">
        <v>442</v>
      </c>
      <c r="I92" s="96"/>
      <c r="J92" s="96"/>
      <c r="K92" s="84" t="s">
        <v>1181</v>
      </c>
      <c r="L92" s="97">
        <v>10</v>
      </c>
      <c r="M92" s="98" t="s">
        <v>135</v>
      </c>
      <c r="O92" s="96"/>
      <c r="P92" s="96"/>
      <c r="Q92" s="99" t="s">
        <v>64</v>
      </c>
      <c r="R92" s="99"/>
      <c r="S92" s="100" t="s">
        <v>161</v>
      </c>
      <c r="T92" s="101" t="s">
        <v>82</v>
      </c>
      <c r="U92" s="101" t="s">
        <v>82</v>
      </c>
      <c r="V92" s="102" t="s">
        <v>83</v>
      </c>
      <c r="W92" s="103"/>
      <c r="X92" s="104"/>
    </row>
    <row r="93" spans="1:24" ht="15" customHeight="1" thickBot="1" x14ac:dyDescent="0.3">
      <c r="A93" s="84" t="s">
        <v>72</v>
      </c>
      <c r="B93" s="85" t="s">
        <v>90</v>
      </c>
      <c r="C93" s="96" t="s">
        <v>13500</v>
      </c>
      <c r="D93" s="86" t="s">
        <v>102</v>
      </c>
      <c r="E93" s="84" t="s">
        <v>443</v>
      </c>
      <c r="F93" s="84" t="s">
        <v>444</v>
      </c>
      <c r="G93" s="88"/>
      <c r="H93" s="84" t="s">
        <v>445</v>
      </c>
      <c r="I93" s="96"/>
      <c r="J93" s="96"/>
      <c r="K93" s="96" t="s">
        <v>446</v>
      </c>
      <c r="L93" s="97">
        <v>6</v>
      </c>
      <c r="M93" s="98" t="s">
        <v>447</v>
      </c>
      <c r="O93" s="96" t="s">
        <v>73</v>
      </c>
      <c r="P93" s="96" t="s">
        <v>140</v>
      </c>
      <c r="Q93" s="99" t="s">
        <v>64</v>
      </c>
      <c r="R93" s="99"/>
      <c r="S93" s="100" t="s">
        <v>448</v>
      </c>
      <c r="T93" s="101" t="s">
        <v>82</v>
      </c>
      <c r="U93" s="101" t="s">
        <v>82</v>
      </c>
      <c r="V93" s="102" t="s">
        <v>83</v>
      </c>
      <c r="W93" s="103"/>
      <c r="X93" s="104"/>
    </row>
    <row r="94" spans="1:24" ht="15" customHeight="1" thickBot="1" x14ac:dyDescent="0.3">
      <c r="A94" s="105" t="s">
        <v>72</v>
      </c>
      <c r="B94" s="106" t="s">
        <v>90</v>
      </c>
      <c r="C94" s="107" t="s">
        <v>13500</v>
      </c>
      <c r="D94" s="108" t="s">
        <v>109</v>
      </c>
      <c r="E94" s="107" t="s">
        <v>449</v>
      </c>
      <c r="F94" s="107" t="s">
        <v>450</v>
      </c>
      <c r="G94" s="109"/>
      <c r="H94" s="107" t="s">
        <v>451</v>
      </c>
      <c r="I94" s="107"/>
      <c r="J94" s="107"/>
      <c r="K94" s="107" t="s">
        <v>78</v>
      </c>
      <c r="L94" s="110">
        <v>1</v>
      </c>
      <c r="M94" s="109" t="s">
        <v>94</v>
      </c>
      <c r="N94" s="27" t="s">
        <v>188</v>
      </c>
      <c r="O94" s="107"/>
      <c r="P94" s="107"/>
      <c r="Q94" s="111" t="s">
        <v>64</v>
      </c>
      <c r="R94" s="99"/>
      <c r="S94" s="100" t="s">
        <v>448</v>
      </c>
      <c r="T94" s="101" t="s">
        <v>82</v>
      </c>
      <c r="U94" s="101" t="s">
        <v>82</v>
      </c>
      <c r="V94" s="102" t="s">
        <v>83</v>
      </c>
      <c r="W94" s="103"/>
      <c r="X94" s="104"/>
    </row>
    <row r="95" spans="1:24" s="83" customFormat="1" ht="15" customHeight="1" thickBot="1" x14ac:dyDescent="0.3">
      <c r="A95" s="28" t="s">
        <v>72</v>
      </c>
      <c r="B95" s="112" t="s">
        <v>96</v>
      </c>
      <c r="C95" s="28" t="s">
        <v>30</v>
      </c>
      <c r="D95" s="113" t="s">
        <v>73</v>
      </c>
      <c r="E95" s="28" t="s">
        <v>30</v>
      </c>
      <c r="F95" s="77" t="s">
        <v>452</v>
      </c>
      <c r="G95" s="28" t="b">
        <v>0</v>
      </c>
      <c r="H95" s="28"/>
      <c r="I95" s="28"/>
      <c r="J95" s="28"/>
      <c r="K95" s="28"/>
      <c r="L95" s="28"/>
      <c r="M95" s="78"/>
      <c r="N95" s="28"/>
      <c r="O95" s="28"/>
      <c r="P95" s="28"/>
      <c r="Q95" s="79"/>
      <c r="R95" s="99"/>
      <c r="S95" s="28"/>
      <c r="T95" s="28"/>
      <c r="U95" s="28"/>
      <c r="V95" s="28"/>
      <c r="W95" s="28"/>
      <c r="X95" s="79"/>
    </row>
    <row r="96" spans="1:24" ht="15" customHeight="1" thickBot="1" x14ac:dyDescent="0.3">
      <c r="A96" s="84" t="s">
        <v>72</v>
      </c>
      <c r="B96" s="85" t="s">
        <v>96</v>
      </c>
      <c r="C96" s="96" t="s">
        <v>30</v>
      </c>
      <c r="D96" s="86" t="s">
        <v>74</v>
      </c>
      <c r="E96" s="84" t="s">
        <v>437</v>
      </c>
      <c r="F96" s="84" t="s">
        <v>438</v>
      </c>
      <c r="G96" s="88"/>
      <c r="H96" s="84" t="s">
        <v>453</v>
      </c>
      <c r="I96" s="96"/>
      <c r="J96" s="96"/>
      <c r="K96" s="96" t="s">
        <v>1156</v>
      </c>
      <c r="L96" s="97">
        <v>15</v>
      </c>
      <c r="M96" s="98" t="s">
        <v>440</v>
      </c>
      <c r="O96" s="96" t="s">
        <v>74</v>
      </c>
      <c r="P96" s="96" t="s">
        <v>440</v>
      </c>
      <c r="Q96" s="99" t="s">
        <v>64</v>
      </c>
      <c r="R96" s="99"/>
      <c r="S96" s="100" t="s">
        <v>161</v>
      </c>
      <c r="T96" s="101" t="s">
        <v>82</v>
      </c>
      <c r="U96" s="101" t="s">
        <v>82</v>
      </c>
      <c r="V96" s="102" t="s">
        <v>83</v>
      </c>
      <c r="W96" s="103"/>
      <c r="X96" s="104" t="s">
        <v>29</v>
      </c>
    </row>
    <row r="97" spans="1:24" ht="15" customHeight="1" thickBot="1" x14ac:dyDescent="0.3">
      <c r="A97" s="84" t="s">
        <v>72</v>
      </c>
      <c r="B97" s="85" t="s">
        <v>96</v>
      </c>
      <c r="C97" s="96" t="s">
        <v>30</v>
      </c>
      <c r="D97" s="86" t="s">
        <v>84</v>
      </c>
      <c r="E97" s="84" t="s">
        <v>454</v>
      </c>
      <c r="F97" s="84" t="s">
        <v>455</v>
      </c>
      <c r="G97" s="88"/>
      <c r="H97" s="84" t="s">
        <v>456</v>
      </c>
      <c r="I97" s="96"/>
      <c r="J97" s="96"/>
      <c r="K97" s="96" t="s">
        <v>78</v>
      </c>
      <c r="L97" s="97" t="s">
        <v>457</v>
      </c>
      <c r="M97" s="98" t="s">
        <v>458</v>
      </c>
      <c r="N97" s="26" t="s">
        <v>454</v>
      </c>
      <c r="O97" s="96"/>
      <c r="P97" s="96"/>
      <c r="Q97" s="99" t="s">
        <v>64</v>
      </c>
      <c r="R97" s="99"/>
      <c r="S97" s="100" t="s">
        <v>161</v>
      </c>
      <c r="T97" s="101" t="s">
        <v>82</v>
      </c>
      <c r="U97" s="101" t="s">
        <v>82</v>
      </c>
      <c r="V97" s="102" t="s">
        <v>83</v>
      </c>
      <c r="W97" s="103"/>
      <c r="X97" s="104" t="s">
        <v>29</v>
      </c>
    </row>
    <row r="98" spans="1:24" ht="15" customHeight="1" thickBot="1" x14ac:dyDescent="0.3">
      <c r="A98" s="84" t="s">
        <v>72</v>
      </c>
      <c r="B98" s="85" t="s">
        <v>96</v>
      </c>
      <c r="C98" s="96" t="s">
        <v>30</v>
      </c>
      <c r="D98" s="86" t="s">
        <v>90</v>
      </c>
      <c r="E98" s="84" t="s">
        <v>459</v>
      </c>
      <c r="F98" s="84" t="s">
        <v>460</v>
      </c>
      <c r="G98" s="88"/>
      <c r="H98" s="84" t="s">
        <v>461</v>
      </c>
      <c r="I98" s="96"/>
      <c r="J98" s="96"/>
      <c r="K98" s="96" t="s">
        <v>78</v>
      </c>
      <c r="L98" s="97">
        <v>1</v>
      </c>
      <c r="M98" s="98" t="s">
        <v>94</v>
      </c>
      <c r="N98" s="26" t="s">
        <v>459</v>
      </c>
      <c r="O98" s="96"/>
      <c r="P98" s="96"/>
      <c r="Q98" s="99" t="s">
        <v>144</v>
      </c>
      <c r="R98" s="99"/>
      <c r="S98" s="100" t="s">
        <v>161</v>
      </c>
      <c r="T98" s="101" t="s">
        <v>82</v>
      </c>
      <c r="U98" s="101" t="s">
        <v>82</v>
      </c>
      <c r="V98" s="102" t="s">
        <v>83</v>
      </c>
      <c r="W98" s="103"/>
      <c r="X98" s="104" t="s">
        <v>29</v>
      </c>
    </row>
    <row r="99" spans="1:24" ht="15" customHeight="1" thickBot="1" x14ac:dyDescent="0.3">
      <c r="A99" s="84" t="s">
        <v>72</v>
      </c>
      <c r="B99" s="85" t="s">
        <v>96</v>
      </c>
      <c r="C99" s="96" t="s">
        <v>30</v>
      </c>
      <c r="D99" s="86" t="s">
        <v>96</v>
      </c>
      <c r="E99" s="84" t="s">
        <v>134</v>
      </c>
      <c r="F99" s="84" t="s">
        <v>441</v>
      </c>
      <c r="G99" s="88"/>
      <c r="H99" s="84" t="s">
        <v>462</v>
      </c>
      <c r="I99" s="96"/>
      <c r="J99" s="96"/>
      <c r="K99" s="84" t="s">
        <v>1181</v>
      </c>
      <c r="L99" s="97">
        <v>10</v>
      </c>
      <c r="M99" s="98" t="s">
        <v>135</v>
      </c>
      <c r="O99" s="96"/>
      <c r="P99" s="96"/>
      <c r="Q99" s="99" t="s">
        <v>64</v>
      </c>
      <c r="R99" s="99"/>
      <c r="S99" s="100" t="s">
        <v>161</v>
      </c>
      <c r="T99" s="101" t="s">
        <v>82</v>
      </c>
      <c r="U99" s="101" t="s">
        <v>82</v>
      </c>
      <c r="V99" s="102" t="s">
        <v>83</v>
      </c>
      <c r="W99" s="103"/>
      <c r="X99" s="104" t="s">
        <v>29</v>
      </c>
    </row>
    <row r="100" spans="1:24" ht="15" customHeight="1" thickBot="1" x14ac:dyDescent="0.3">
      <c r="A100" s="84" t="s">
        <v>72</v>
      </c>
      <c r="B100" s="85" t="s">
        <v>96</v>
      </c>
      <c r="C100" s="96" t="s">
        <v>30</v>
      </c>
      <c r="D100" s="86" t="s">
        <v>102</v>
      </c>
      <c r="E100" s="84" t="s">
        <v>463</v>
      </c>
      <c r="F100" s="84" t="s">
        <v>464</v>
      </c>
      <c r="G100" s="88"/>
      <c r="H100" s="84" t="s">
        <v>465</v>
      </c>
      <c r="I100" s="96"/>
      <c r="J100" s="96"/>
      <c r="K100" s="96" t="s">
        <v>446</v>
      </c>
      <c r="L100" s="97">
        <v>4</v>
      </c>
      <c r="M100" s="98" t="s">
        <v>466</v>
      </c>
      <c r="O100" s="96" t="s">
        <v>73</v>
      </c>
      <c r="P100" s="96" t="s">
        <v>140</v>
      </c>
      <c r="Q100" s="99" t="s">
        <v>64</v>
      </c>
      <c r="R100" s="99"/>
      <c r="S100" s="100" t="s">
        <v>161</v>
      </c>
      <c r="T100" s="101" t="s">
        <v>82</v>
      </c>
      <c r="U100" s="101" t="s">
        <v>82</v>
      </c>
      <c r="V100" s="102" t="s">
        <v>83</v>
      </c>
      <c r="W100" s="103"/>
      <c r="X100" s="104" t="s">
        <v>29</v>
      </c>
    </row>
    <row r="101" spans="1:24" ht="15" customHeight="1" thickBot="1" x14ac:dyDescent="0.3">
      <c r="A101" s="84" t="s">
        <v>72</v>
      </c>
      <c r="B101" s="85" t="s">
        <v>96</v>
      </c>
      <c r="C101" s="96" t="s">
        <v>30</v>
      </c>
      <c r="D101" s="86" t="s">
        <v>109</v>
      </c>
      <c r="E101" s="84" t="s">
        <v>467</v>
      </c>
      <c r="F101" s="84" t="s">
        <v>468</v>
      </c>
      <c r="G101" s="88"/>
      <c r="H101" s="84" t="s">
        <v>469</v>
      </c>
      <c r="I101" s="96"/>
      <c r="J101" s="96"/>
      <c r="K101" s="96" t="s">
        <v>446</v>
      </c>
      <c r="L101" s="97">
        <v>4</v>
      </c>
      <c r="M101" s="98" t="s">
        <v>466</v>
      </c>
      <c r="O101" s="96"/>
      <c r="P101" s="96"/>
      <c r="Q101" s="99" t="s">
        <v>64</v>
      </c>
      <c r="R101" s="99"/>
      <c r="S101" s="100" t="s">
        <v>161</v>
      </c>
      <c r="T101" s="101" t="s">
        <v>82</v>
      </c>
      <c r="U101" s="101" t="s">
        <v>82</v>
      </c>
      <c r="V101" s="102" t="s">
        <v>83</v>
      </c>
      <c r="W101" s="103"/>
      <c r="X101" s="104" t="s">
        <v>29</v>
      </c>
    </row>
    <row r="102" spans="1:24" ht="15" customHeight="1" thickBot="1" x14ac:dyDescent="0.3">
      <c r="A102" s="84" t="s">
        <v>72</v>
      </c>
      <c r="B102" s="85" t="s">
        <v>96</v>
      </c>
      <c r="C102" s="96" t="s">
        <v>30</v>
      </c>
      <c r="D102" s="86" t="s">
        <v>114</v>
      </c>
      <c r="E102" s="84" t="s">
        <v>470</v>
      </c>
      <c r="F102" s="84" t="s">
        <v>471</v>
      </c>
      <c r="G102" s="88"/>
      <c r="H102" s="84" t="s">
        <v>472</v>
      </c>
      <c r="I102" s="96"/>
      <c r="J102" s="96"/>
      <c r="K102" s="96" t="s">
        <v>446</v>
      </c>
      <c r="L102" s="97">
        <v>4</v>
      </c>
      <c r="M102" s="98" t="s">
        <v>466</v>
      </c>
      <c r="O102" s="96"/>
      <c r="P102" s="96"/>
      <c r="Q102" s="99" t="s">
        <v>64</v>
      </c>
      <c r="R102" s="99"/>
      <c r="S102" s="100" t="s">
        <v>161</v>
      </c>
      <c r="T102" s="101" t="s">
        <v>82</v>
      </c>
      <c r="U102" s="101" t="s">
        <v>82</v>
      </c>
      <c r="V102" s="102" t="s">
        <v>83</v>
      </c>
      <c r="W102" s="103"/>
      <c r="X102" s="104" t="s">
        <v>29</v>
      </c>
    </row>
    <row r="103" spans="1:24" s="83" customFormat="1" ht="15" customHeight="1" thickBot="1" x14ac:dyDescent="0.3">
      <c r="A103" s="28" t="s">
        <v>72</v>
      </c>
      <c r="B103" s="112" t="s">
        <v>102</v>
      </c>
      <c r="C103" s="28" t="s">
        <v>31</v>
      </c>
      <c r="D103" s="113" t="s">
        <v>73</v>
      </c>
      <c r="E103" s="28" t="s">
        <v>31</v>
      </c>
      <c r="F103" s="77" t="s">
        <v>473</v>
      </c>
      <c r="G103" s="28"/>
      <c r="H103" s="28"/>
      <c r="I103" s="28"/>
      <c r="J103" s="28"/>
      <c r="K103" s="28"/>
      <c r="L103" s="28"/>
      <c r="M103" s="78"/>
      <c r="N103" s="28"/>
      <c r="O103" s="28"/>
      <c r="P103" s="28"/>
      <c r="Q103" s="79"/>
      <c r="R103" s="99"/>
      <c r="S103" s="28"/>
      <c r="T103" s="28"/>
      <c r="U103" s="28"/>
      <c r="V103" s="28"/>
      <c r="W103" s="28"/>
      <c r="X103" s="79"/>
    </row>
    <row r="104" spans="1:24" ht="15" customHeight="1" thickBot="1" x14ac:dyDescent="0.3">
      <c r="A104" s="84" t="s">
        <v>72</v>
      </c>
      <c r="B104" s="85" t="s">
        <v>102</v>
      </c>
      <c r="C104" s="96" t="s">
        <v>31</v>
      </c>
      <c r="D104" s="86" t="s">
        <v>74</v>
      </c>
      <c r="E104" s="84" t="s">
        <v>158</v>
      </c>
      <c r="F104" s="84" t="s">
        <v>159</v>
      </c>
      <c r="G104" s="88"/>
      <c r="H104" s="84" t="s">
        <v>160</v>
      </c>
      <c r="I104" s="96"/>
      <c r="J104" s="96"/>
      <c r="K104" s="96" t="s">
        <v>1153</v>
      </c>
      <c r="L104" s="97">
        <v>9</v>
      </c>
      <c r="M104" s="98"/>
      <c r="O104" s="96"/>
      <c r="P104" s="96"/>
      <c r="Q104" s="99" t="s">
        <v>64</v>
      </c>
      <c r="R104" s="99"/>
      <c r="S104" s="100" t="s">
        <v>119</v>
      </c>
      <c r="T104" s="101" t="s">
        <v>82</v>
      </c>
      <c r="U104" s="101" t="s">
        <v>82</v>
      </c>
      <c r="V104" s="102" t="s">
        <v>83</v>
      </c>
      <c r="W104" s="103"/>
      <c r="X104" s="104"/>
    </row>
    <row r="105" spans="1:24" ht="15" customHeight="1" thickBot="1" x14ac:dyDescent="0.3">
      <c r="A105" s="84" t="s">
        <v>72</v>
      </c>
      <c r="B105" s="85" t="s">
        <v>102</v>
      </c>
      <c r="C105" s="96" t="s">
        <v>31</v>
      </c>
      <c r="D105" s="86" t="s">
        <v>84</v>
      </c>
      <c r="E105" s="84" t="s">
        <v>474</v>
      </c>
      <c r="F105" s="84" t="s">
        <v>475</v>
      </c>
      <c r="G105" s="88"/>
      <c r="H105" s="84" t="s">
        <v>476</v>
      </c>
      <c r="I105" s="96"/>
      <c r="J105" s="96"/>
      <c r="K105" s="96" t="s">
        <v>78</v>
      </c>
      <c r="L105" s="97">
        <v>4</v>
      </c>
      <c r="M105" s="98" t="s">
        <v>79</v>
      </c>
      <c r="N105" s="25" t="s">
        <v>80</v>
      </c>
      <c r="O105" s="96"/>
      <c r="P105" s="96"/>
      <c r="Q105" s="99" t="s">
        <v>64</v>
      </c>
      <c r="R105" s="99"/>
      <c r="S105" s="100" t="s">
        <v>477</v>
      </c>
      <c r="T105" s="101" t="s">
        <v>82</v>
      </c>
      <c r="U105" s="101" t="s">
        <v>82</v>
      </c>
      <c r="V105" s="102" t="s">
        <v>83</v>
      </c>
      <c r="W105" s="103"/>
      <c r="X105" s="104"/>
    </row>
    <row r="106" spans="1:24" ht="15" customHeight="1" thickBot="1" x14ac:dyDescent="0.3">
      <c r="A106" s="84" t="s">
        <v>72</v>
      </c>
      <c r="B106" s="85" t="s">
        <v>102</v>
      </c>
      <c r="C106" s="96" t="s">
        <v>31</v>
      </c>
      <c r="D106" s="86" t="s">
        <v>90</v>
      </c>
      <c r="E106" s="84" t="s">
        <v>478</v>
      </c>
      <c r="F106" s="84" t="s">
        <v>479</v>
      </c>
      <c r="G106" s="88"/>
      <c r="H106" s="84" t="s">
        <v>480</v>
      </c>
      <c r="I106" s="96"/>
      <c r="J106" s="96"/>
      <c r="K106" s="96" t="s">
        <v>78</v>
      </c>
      <c r="L106" s="97">
        <v>4</v>
      </c>
      <c r="M106" s="98" t="s">
        <v>79</v>
      </c>
      <c r="N106" s="25" t="s">
        <v>80</v>
      </c>
      <c r="O106" s="96"/>
      <c r="P106" s="96"/>
      <c r="Q106" s="99" t="s">
        <v>64</v>
      </c>
      <c r="R106" s="99"/>
      <c r="S106" s="100" t="s">
        <v>477</v>
      </c>
      <c r="T106" s="101" t="s">
        <v>82</v>
      </c>
      <c r="U106" s="101" t="s">
        <v>82</v>
      </c>
      <c r="V106" s="102" t="s">
        <v>83</v>
      </c>
      <c r="W106" s="103"/>
      <c r="X106" s="104"/>
    </row>
    <row r="107" spans="1:24" ht="15" customHeight="1" thickBot="1" x14ac:dyDescent="0.3">
      <c r="A107" s="114" t="s">
        <v>72</v>
      </c>
      <c r="B107" s="85" t="s">
        <v>102</v>
      </c>
      <c r="C107" s="96" t="s">
        <v>31</v>
      </c>
      <c r="D107" s="86" t="s">
        <v>96</v>
      </c>
      <c r="E107" s="84" t="s">
        <v>481</v>
      </c>
      <c r="F107" s="84" t="s">
        <v>482</v>
      </c>
      <c r="G107" s="88"/>
      <c r="H107" s="114" t="s">
        <v>13355</v>
      </c>
      <c r="I107" s="96"/>
      <c r="J107" s="96"/>
      <c r="K107" s="96" t="s">
        <v>78</v>
      </c>
      <c r="L107" s="97">
        <v>2</v>
      </c>
      <c r="M107" s="115"/>
      <c r="N107" s="26" t="s">
        <v>483</v>
      </c>
      <c r="O107" s="96"/>
      <c r="P107" s="96"/>
      <c r="Q107" s="99" t="s">
        <v>144</v>
      </c>
      <c r="R107" s="99"/>
      <c r="S107" s="100" t="s">
        <v>477</v>
      </c>
      <c r="T107" s="101" t="s">
        <v>82</v>
      </c>
      <c r="U107" s="101" t="s">
        <v>82</v>
      </c>
      <c r="V107" s="102" t="s">
        <v>484</v>
      </c>
      <c r="W107" s="103"/>
      <c r="X107" s="104"/>
    </row>
    <row r="108" spans="1:24" ht="15" customHeight="1" thickBot="1" x14ac:dyDescent="0.3">
      <c r="A108" s="116" t="s">
        <v>72</v>
      </c>
      <c r="B108" s="85" t="s">
        <v>102</v>
      </c>
      <c r="C108" s="96" t="s">
        <v>31</v>
      </c>
      <c r="D108" s="86" t="s">
        <v>102</v>
      </c>
      <c r="E108" s="84" t="s">
        <v>485</v>
      </c>
      <c r="F108" s="84" t="s">
        <v>486</v>
      </c>
      <c r="G108" s="88"/>
      <c r="H108" s="84" t="s">
        <v>487</v>
      </c>
      <c r="I108" s="96"/>
      <c r="J108" s="96"/>
      <c r="K108" s="96" t="s">
        <v>78</v>
      </c>
      <c r="L108" s="97">
        <v>2</v>
      </c>
      <c r="M108" s="98"/>
      <c r="N108" s="26" t="s">
        <v>488</v>
      </c>
      <c r="O108" s="96"/>
      <c r="P108" s="96"/>
      <c r="Q108" s="99" t="s">
        <v>144</v>
      </c>
      <c r="R108" s="99"/>
      <c r="S108" s="100" t="s">
        <v>477</v>
      </c>
      <c r="T108" s="101" t="s">
        <v>82</v>
      </c>
      <c r="U108" s="101" t="s">
        <v>82</v>
      </c>
      <c r="V108" s="102" t="s">
        <v>484</v>
      </c>
      <c r="W108" s="103"/>
      <c r="X108" s="104"/>
    </row>
    <row r="109" spans="1:24" ht="15" customHeight="1" thickBot="1" x14ac:dyDescent="0.3">
      <c r="A109" s="84" t="s">
        <v>72</v>
      </c>
      <c r="B109" s="85" t="s">
        <v>102</v>
      </c>
      <c r="C109" s="96" t="s">
        <v>31</v>
      </c>
      <c r="D109" s="86" t="s">
        <v>109</v>
      </c>
      <c r="E109" s="84" t="s">
        <v>103</v>
      </c>
      <c r="F109" s="84" t="s">
        <v>489</v>
      </c>
      <c r="G109" s="88"/>
      <c r="H109" s="84" t="s">
        <v>13362</v>
      </c>
      <c r="I109" s="96"/>
      <c r="J109" s="96"/>
      <c r="K109" s="96" t="s">
        <v>1156</v>
      </c>
      <c r="L109" s="97">
        <v>4</v>
      </c>
      <c r="M109" s="98" t="s">
        <v>79</v>
      </c>
      <c r="O109" s="96" t="s">
        <v>73</v>
      </c>
      <c r="P109" s="96" t="s">
        <v>490</v>
      </c>
      <c r="Q109" s="99" t="s">
        <v>144</v>
      </c>
      <c r="R109" s="99"/>
      <c r="S109" s="100" t="s">
        <v>477</v>
      </c>
      <c r="T109" s="101" t="s">
        <v>107</v>
      </c>
      <c r="U109" s="101" t="s">
        <v>82</v>
      </c>
      <c r="V109" s="102" t="s">
        <v>83</v>
      </c>
      <c r="W109" s="103"/>
      <c r="X109" s="104"/>
    </row>
    <row r="110" spans="1:24" ht="15" customHeight="1" thickBot="1" x14ac:dyDescent="0.3">
      <c r="A110" s="114" t="s">
        <v>72</v>
      </c>
      <c r="B110" s="85" t="s">
        <v>102</v>
      </c>
      <c r="C110" s="96" t="s">
        <v>31</v>
      </c>
      <c r="D110" s="86" t="s">
        <v>114</v>
      </c>
      <c r="E110" s="84" t="s">
        <v>491</v>
      </c>
      <c r="F110" s="84" t="s">
        <v>492</v>
      </c>
      <c r="G110" s="88"/>
      <c r="H110" s="114" t="s">
        <v>493</v>
      </c>
      <c r="I110" s="96"/>
      <c r="J110" s="96"/>
      <c r="K110" s="96" t="s">
        <v>78</v>
      </c>
      <c r="L110" s="97">
        <v>1</v>
      </c>
      <c r="M110" s="98" t="s">
        <v>94</v>
      </c>
      <c r="N110" s="26" t="s">
        <v>188</v>
      </c>
      <c r="O110" s="96"/>
      <c r="P110" s="96"/>
      <c r="Q110" s="99" t="s">
        <v>144</v>
      </c>
      <c r="R110" s="99"/>
      <c r="S110" s="100" t="s">
        <v>477</v>
      </c>
      <c r="T110" s="101" t="s">
        <v>82</v>
      </c>
      <c r="U110" s="101" t="s">
        <v>82</v>
      </c>
      <c r="V110" s="102" t="s">
        <v>83</v>
      </c>
      <c r="W110" s="103"/>
      <c r="X110" s="104"/>
    </row>
    <row r="111" spans="1:24" ht="15" customHeight="1" thickBot="1" x14ac:dyDescent="0.3">
      <c r="A111" s="114" t="s">
        <v>72</v>
      </c>
      <c r="B111" s="85" t="s">
        <v>102</v>
      </c>
      <c r="C111" s="96" t="s">
        <v>31</v>
      </c>
      <c r="D111" s="86" t="s">
        <v>120</v>
      </c>
      <c r="E111" s="84" t="s">
        <v>494</v>
      </c>
      <c r="F111" s="84" t="s">
        <v>495</v>
      </c>
      <c r="G111" s="88"/>
      <c r="H111" s="114" t="s">
        <v>13356</v>
      </c>
      <c r="I111" s="96"/>
      <c r="J111" s="96"/>
      <c r="K111" s="96" t="s">
        <v>78</v>
      </c>
      <c r="L111" s="97">
        <v>1</v>
      </c>
      <c r="M111" s="98" t="s">
        <v>94</v>
      </c>
      <c r="N111" s="26" t="s">
        <v>188</v>
      </c>
      <c r="O111" s="96"/>
      <c r="P111" s="96"/>
      <c r="Q111" s="99" t="s">
        <v>144</v>
      </c>
      <c r="R111" s="99"/>
      <c r="S111" s="100" t="s">
        <v>477</v>
      </c>
      <c r="T111" s="101" t="s">
        <v>82</v>
      </c>
      <c r="U111" s="101" t="s">
        <v>82</v>
      </c>
      <c r="V111" s="102" t="s">
        <v>83</v>
      </c>
      <c r="W111" s="103"/>
      <c r="X111" s="104"/>
    </row>
    <row r="112" spans="1:24" ht="15" customHeight="1" thickBot="1" x14ac:dyDescent="0.3">
      <c r="A112" s="84" t="s">
        <v>72</v>
      </c>
      <c r="B112" s="85" t="s">
        <v>102</v>
      </c>
      <c r="C112" s="96" t="s">
        <v>31</v>
      </c>
      <c r="D112" s="86" t="s">
        <v>126</v>
      </c>
      <c r="E112" s="84" t="s">
        <v>496</v>
      </c>
      <c r="F112" s="84" t="s">
        <v>497</v>
      </c>
      <c r="G112" s="88"/>
      <c r="H112" s="84" t="s">
        <v>498</v>
      </c>
      <c r="I112" s="96"/>
      <c r="J112" s="96"/>
      <c r="K112" s="96" t="s">
        <v>1156</v>
      </c>
      <c r="L112" s="97">
        <v>3</v>
      </c>
      <c r="M112" s="98" t="s">
        <v>499</v>
      </c>
      <c r="O112" s="96"/>
      <c r="P112" s="96"/>
      <c r="Q112" s="99" t="s">
        <v>144</v>
      </c>
      <c r="R112" s="99" t="s">
        <v>500</v>
      </c>
      <c r="S112" s="100" t="s">
        <v>477</v>
      </c>
      <c r="T112" s="101" t="s">
        <v>82</v>
      </c>
      <c r="U112" s="101" t="s">
        <v>82</v>
      </c>
      <c r="V112" s="102" t="s">
        <v>83</v>
      </c>
      <c r="W112" s="103"/>
      <c r="X112" s="104"/>
    </row>
    <row r="113" spans="1:24" ht="15" customHeight="1" thickBot="1" x14ac:dyDescent="0.3">
      <c r="A113" s="84" t="s">
        <v>72</v>
      </c>
      <c r="B113" s="85" t="s">
        <v>102</v>
      </c>
      <c r="C113" s="96" t="s">
        <v>31</v>
      </c>
      <c r="D113" s="86" t="s">
        <v>130</v>
      </c>
      <c r="E113" s="84" t="s">
        <v>501</v>
      </c>
      <c r="F113" s="84" t="s">
        <v>502</v>
      </c>
      <c r="G113" s="88"/>
      <c r="H113" s="84" t="s">
        <v>503</v>
      </c>
      <c r="I113" s="96"/>
      <c r="J113" s="96"/>
      <c r="K113" s="96" t="s">
        <v>78</v>
      </c>
      <c r="L113" s="97">
        <v>2</v>
      </c>
      <c r="M113" s="98" t="s">
        <v>100</v>
      </c>
      <c r="N113" s="26" t="s">
        <v>504</v>
      </c>
      <c r="O113" s="96"/>
      <c r="P113" s="96"/>
      <c r="Q113" s="99" t="s">
        <v>144</v>
      </c>
      <c r="R113" s="99"/>
      <c r="S113" s="100" t="s">
        <v>477</v>
      </c>
      <c r="T113" s="101" t="s">
        <v>82</v>
      </c>
      <c r="U113" s="101" t="s">
        <v>82</v>
      </c>
      <c r="V113" s="102" t="s">
        <v>83</v>
      </c>
      <c r="W113" s="103"/>
      <c r="X113" s="104"/>
    </row>
    <row r="114" spans="1:24" ht="15" customHeight="1" thickBot="1" x14ac:dyDescent="0.3">
      <c r="A114" s="84" t="s">
        <v>72</v>
      </c>
      <c r="B114" s="85" t="s">
        <v>102</v>
      </c>
      <c r="C114" s="96" t="s">
        <v>31</v>
      </c>
      <c r="D114" s="86" t="s">
        <v>136</v>
      </c>
      <c r="E114" s="84" t="s">
        <v>505</v>
      </c>
      <c r="F114" s="84" t="s">
        <v>506</v>
      </c>
      <c r="G114" s="88"/>
      <c r="H114" s="84" t="s">
        <v>507</v>
      </c>
      <c r="I114" s="96"/>
      <c r="J114" s="96"/>
      <c r="K114" s="96" t="s">
        <v>1186</v>
      </c>
      <c r="L114" s="97">
        <v>250</v>
      </c>
      <c r="M114" s="98"/>
      <c r="O114" s="96"/>
      <c r="P114" s="96"/>
      <c r="Q114" s="99" t="s">
        <v>144</v>
      </c>
      <c r="R114" s="99"/>
      <c r="S114" s="100" t="s">
        <v>477</v>
      </c>
      <c r="T114" s="101" t="s">
        <v>82</v>
      </c>
      <c r="U114" s="101" t="s">
        <v>82</v>
      </c>
      <c r="V114" s="102" t="s">
        <v>83</v>
      </c>
      <c r="W114" s="103"/>
      <c r="X114" s="104"/>
    </row>
    <row r="115" spans="1:24" ht="15" customHeight="1" thickBot="1" x14ac:dyDescent="0.3">
      <c r="A115" s="84" t="s">
        <v>72</v>
      </c>
      <c r="B115" s="85" t="s">
        <v>102</v>
      </c>
      <c r="C115" s="96" t="s">
        <v>31</v>
      </c>
      <c r="D115" s="86" t="s">
        <v>140</v>
      </c>
      <c r="E115" s="84" t="s">
        <v>508</v>
      </c>
      <c r="F115" s="84" t="s">
        <v>509</v>
      </c>
      <c r="G115" s="88"/>
      <c r="H115" s="84" t="s">
        <v>510</v>
      </c>
      <c r="I115" s="96"/>
      <c r="J115" s="96"/>
      <c r="K115" s="84" t="s">
        <v>1181</v>
      </c>
      <c r="L115" s="97">
        <v>10</v>
      </c>
      <c r="M115" s="98" t="s">
        <v>135</v>
      </c>
      <c r="O115" s="96"/>
      <c r="P115" s="96"/>
      <c r="Q115" s="99" t="s">
        <v>144</v>
      </c>
      <c r="R115" s="99"/>
      <c r="S115" s="100" t="s">
        <v>477</v>
      </c>
      <c r="T115" s="101" t="s">
        <v>82</v>
      </c>
      <c r="U115" s="101" t="s">
        <v>82</v>
      </c>
      <c r="V115" s="102" t="s">
        <v>83</v>
      </c>
      <c r="W115" s="103"/>
      <c r="X115" s="104"/>
    </row>
    <row r="116" spans="1:24" ht="15" customHeight="1" thickBot="1" x14ac:dyDescent="0.3">
      <c r="A116" s="84" t="s">
        <v>72</v>
      </c>
      <c r="B116" s="85" t="s">
        <v>102</v>
      </c>
      <c r="C116" s="96" t="s">
        <v>31</v>
      </c>
      <c r="D116" s="86" t="s">
        <v>146</v>
      </c>
      <c r="E116" s="84" t="s">
        <v>511</v>
      </c>
      <c r="F116" s="84" t="s">
        <v>512</v>
      </c>
      <c r="G116" s="88"/>
      <c r="H116" s="84" t="s">
        <v>513</v>
      </c>
      <c r="I116" s="96"/>
      <c r="J116" s="96"/>
      <c r="K116" s="84" t="s">
        <v>1181</v>
      </c>
      <c r="L116" s="97">
        <v>10</v>
      </c>
      <c r="M116" s="98" t="s">
        <v>135</v>
      </c>
      <c r="O116" s="96"/>
      <c r="P116" s="96"/>
      <c r="Q116" s="99" t="s">
        <v>144</v>
      </c>
      <c r="R116" s="99"/>
      <c r="S116" s="100" t="s">
        <v>477</v>
      </c>
      <c r="T116" s="101" t="s">
        <v>82</v>
      </c>
      <c r="U116" s="101" t="s">
        <v>82</v>
      </c>
      <c r="V116" s="102" t="s">
        <v>83</v>
      </c>
      <c r="W116" s="103"/>
      <c r="X116" s="104"/>
    </row>
    <row r="117" spans="1:24" ht="15" customHeight="1" thickBot="1" x14ac:dyDescent="0.3">
      <c r="A117" s="84" t="s">
        <v>72</v>
      </c>
      <c r="B117" s="85" t="s">
        <v>102</v>
      </c>
      <c r="C117" s="96" t="s">
        <v>31</v>
      </c>
      <c r="D117" s="86" t="s">
        <v>150</v>
      </c>
      <c r="E117" s="84" t="s">
        <v>514</v>
      </c>
      <c r="F117" s="84" t="s">
        <v>515</v>
      </c>
      <c r="G117" s="88"/>
      <c r="H117" s="84" t="s">
        <v>516</v>
      </c>
      <c r="I117" s="96"/>
      <c r="J117" s="96"/>
      <c r="K117" s="84" t="s">
        <v>1181</v>
      </c>
      <c r="L117" s="97">
        <v>10</v>
      </c>
      <c r="M117" s="98" t="s">
        <v>135</v>
      </c>
      <c r="O117" s="96"/>
      <c r="P117" s="96"/>
      <c r="Q117" s="99" t="s">
        <v>144</v>
      </c>
      <c r="R117" s="99"/>
      <c r="S117" s="100" t="s">
        <v>477</v>
      </c>
      <c r="T117" s="101" t="s">
        <v>82</v>
      </c>
      <c r="U117" s="101" t="s">
        <v>82</v>
      </c>
      <c r="V117" s="102" t="s">
        <v>517</v>
      </c>
      <c r="W117" s="103"/>
      <c r="X117" s="104"/>
    </row>
    <row r="118" spans="1:24" ht="15" customHeight="1" thickBot="1" x14ac:dyDescent="0.3">
      <c r="A118" s="84" t="s">
        <v>72</v>
      </c>
      <c r="B118" s="85" t="s">
        <v>102</v>
      </c>
      <c r="C118" s="96" t="s">
        <v>31</v>
      </c>
      <c r="D118" s="86" t="s">
        <v>154</v>
      </c>
      <c r="E118" s="84" t="s">
        <v>518</v>
      </c>
      <c r="F118" s="84" t="s">
        <v>519</v>
      </c>
      <c r="G118" s="88"/>
      <c r="H118" s="84" t="s">
        <v>520</v>
      </c>
      <c r="I118" s="96"/>
      <c r="J118" s="96"/>
      <c r="K118" s="84" t="s">
        <v>1181</v>
      </c>
      <c r="L118" s="97">
        <v>10</v>
      </c>
      <c r="M118" s="98" t="s">
        <v>135</v>
      </c>
      <c r="O118" s="96"/>
      <c r="P118" s="96"/>
      <c r="Q118" s="99" t="s">
        <v>144</v>
      </c>
      <c r="R118" s="99"/>
      <c r="S118" s="100" t="s">
        <v>477</v>
      </c>
      <c r="T118" s="101" t="s">
        <v>82</v>
      </c>
      <c r="U118" s="101" t="s">
        <v>82</v>
      </c>
      <c r="V118" s="102" t="s">
        <v>83</v>
      </c>
      <c r="W118" s="103"/>
      <c r="X118" s="104"/>
    </row>
    <row r="119" spans="1:24" ht="15" customHeight="1" thickBot="1" x14ac:dyDescent="0.3">
      <c r="A119" s="114" t="s">
        <v>72</v>
      </c>
      <c r="B119" s="85" t="s">
        <v>102</v>
      </c>
      <c r="C119" s="96" t="s">
        <v>31</v>
      </c>
      <c r="D119" s="86" t="s">
        <v>214</v>
      </c>
      <c r="E119" s="84" t="s">
        <v>521</v>
      </c>
      <c r="F119" s="84" t="s">
        <v>522</v>
      </c>
      <c r="G119" s="88"/>
      <c r="H119" s="114" t="s">
        <v>13378</v>
      </c>
      <c r="I119" s="96"/>
      <c r="J119" s="96"/>
      <c r="K119" s="96" t="s">
        <v>78</v>
      </c>
      <c r="L119" s="97">
        <v>1</v>
      </c>
      <c r="M119" s="98" t="s">
        <v>94</v>
      </c>
      <c r="N119" s="26" t="s">
        <v>188</v>
      </c>
      <c r="O119" s="96"/>
      <c r="P119" s="96"/>
      <c r="Q119" s="99" t="s">
        <v>144</v>
      </c>
      <c r="R119" s="117" t="s">
        <v>13366</v>
      </c>
      <c r="S119" s="100" t="s">
        <v>477</v>
      </c>
      <c r="T119" s="101" t="s">
        <v>82</v>
      </c>
      <c r="U119" s="101" t="s">
        <v>82</v>
      </c>
      <c r="V119" s="102" t="s">
        <v>83</v>
      </c>
      <c r="W119" s="103"/>
      <c r="X119" s="104"/>
    </row>
    <row r="120" spans="1:24" ht="15" customHeight="1" thickBot="1" x14ac:dyDescent="0.3">
      <c r="A120" s="114" t="s">
        <v>72</v>
      </c>
      <c r="B120" s="85" t="s">
        <v>102</v>
      </c>
      <c r="C120" s="96" t="s">
        <v>31</v>
      </c>
      <c r="D120" s="86" t="s">
        <v>220</v>
      </c>
      <c r="E120" s="84" t="s">
        <v>523</v>
      </c>
      <c r="F120" s="84" t="s">
        <v>524</v>
      </c>
      <c r="G120" s="88"/>
      <c r="H120" s="114" t="s">
        <v>13365</v>
      </c>
      <c r="I120" s="96"/>
      <c r="J120" s="96"/>
      <c r="K120" s="96" t="s">
        <v>1156</v>
      </c>
      <c r="L120" s="97">
        <v>3</v>
      </c>
      <c r="M120" s="98" t="s">
        <v>499</v>
      </c>
      <c r="O120" s="96"/>
      <c r="P120" s="96"/>
      <c r="Q120" s="99" t="s">
        <v>144</v>
      </c>
      <c r="R120" s="117" t="s">
        <v>13364</v>
      </c>
      <c r="S120" s="100" t="s">
        <v>477</v>
      </c>
      <c r="T120" s="101" t="s">
        <v>82</v>
      </c>
      <c r="U120" s="101" t="s">
        <v>82</v>
      </c>
      <c r="V120" s="102" t="s">
        <v>83</v>
      </c>
      <c r="W120" s="103"/>
      <c r="X120" s="104"/>
    </row>
    <row r="121" spans="1:24" ht="15" customHeight="1" thickBot="1" x14ac:dyDescent="0.3">
      <c r="A121" s="114" t="s">
        <v>72</v>
      </c>
      <c r="B121" s="85" t="s">
        <v>102</v>
      </c>
      <c r="C121" s="96" t="s">
        <v>31</v>
      </c>
      <c r="D121" s="86" t="s">
        <v>226</v>
      </c>
      <c r="E121" s="84" t="s">
        <v>525</v>
      </c>
      <c r="F121" s="84" t="s">
        <v>526</v>
      </c>
      <c r="G121" s="88"/>
      <c r="H121" s="114" t="s">
        <v>13363</v>
      </c>
      <c r="I121" s="96"/>
      <c r="J121" s="96"/>
      <c r="K121" s="96" t="s">
        <v>78</v>
      </c>
      <c r="L121" s="97">
        <v>2</v>
      </c>
      <c r="M121" s="98" t="s">
        <v>100</v>
      </c>
      <c r="N121" s="26" t="s">
        <v>527</v>
      </c>
      <c r="O121" s="96"/>
      <c r="P121" s="96"/>
      <c r="Q121" s="99" t="s">
        <v>144</v>
      </c>
      <c r="R121" s="117" t="s">
        <v>13364</v>
      </c>
      <c r="S121" s="100" t="s">
        <v>477</v>
      </c>
      <c r="T121" s="101" t="s">
        <v>82</v>
      </c>
      <c r="U121" s="101" t="s">
        <v>82</v>
      </c>
      <c r="V121" s="102" t="s">
        <v>83</v>
      </c>
      <c r="W121" s="103"/>
      <c r="X121" s="104"/>
    </row>
    <row r="122" spans="1:24" ht="15" customHeight="1" thickBot="1" x14ac:dyDescent="0.3">
      <c r="A122" s="114" t="s">
        <v>72</v>
      </c>
      <c r="B122" s="85" t="s">
        <v>102</v>
      </c>
      <c r="C122" s="96" t="s">
        <v>31</v>
      </c>
      <c r="D122" s="86" t="s">
        <v>230</v>
      </c>
      <c r="E122" s="84" t="s">
        <v>528</v>
      </c>
      <c r="F122" s="84" t="s">
        <v>529</v>
      </c>
      <c r="G122" s="88"/>
      <c r="H122" s="114" t="s">
        <v>13379</v>
      </c>
      <c r="I122" s="96"/>
      <c r="J122" s="96"/>
      <c r="K122" s="96" t="s">
        <v>78</v>
      </c>
      <c r="L122" s="97">
        <v>2</v>
      </c>
      <c r="M122" s="115" t="s">
        <v>100</v>
      </c>
      <c r="N122" s="26" t="s">
        <v>530</v>
      </c>
      <c r="O122" s="96"/>
      <c r="P122" s="96"/>
      <c r="Q122" s="99" t="s">
        <v>144</v>
      </c>
      <c r="R122" s="117" t="s">
        <v>13380</v>
      </c>
      <c r="S122" s="100" t="s">
        <v>477</v>
      </c>
      <c r="T122" s="101" t="s">
        <v>82</v>
      </c>
      <c r="U122" s="101" t="s">
        <v>82</v>
      </c>
      <c r="V122" s="102" t="s">
        <v>83</v>
      </c>
      <c r="W122" s="103"/>
      <c r="X122" s="104"/>
    </row>
    <row r="123" spans="1:24" ht="15" customHeight="1" thickBot="1" x14ac:dyDescent="0.3">
      <c r="A123" s="114" t="s">
        <v>72</v>
      </c>
      <c r="B123" s="85" t="s">
        <v>102</v>
      </c>
      <c r="C123" s="96" t="s">
        <v>31</v>
      </c>
      <c r="D123" s="86" t="s">
        <v>240</v>
      </c>
      <c r="E123" s="84" t="s">
        <v>531</v>
      </c>
      <c r="F123" s="84" t="s">
        <v>532</v>
      </c>
      <c r="G123" s="88"/>
      <c r="H123" s="114" t="s">
        <v>13381</v>
      </c>
      <c r="I123" s="96"/>
      <c r="J123" s="96"/>
      <c r="K123" s="96" t="s">
        <v>78</v>
      </c>
      <c r="L123" s="97">
        <v>1</v>
      </c>
      <c r="M123" s="115" t="s">
        <v>94</v>
      </c>
      <c r="N123" s="26" t="s">
        <v>533</v>
      </c>
      <c r="O123" s="96"/>
      <c r="P123" s="96"/>
      <c r="Q123" s="99" t="s">
        <v>64</v>
      </c>
      <c r="R123" s="99"/>
      <c r="S123" s="100" t="s">
        <v>477</v>
      </c>
      <c r="T123" s="101" t="s">
        <v>82</v>
      </c>
      <c r="U123" s="101" t="s">
        <v>82</v>
      </c>
      <c r="V123" s="102" t="s">
        <v>83</v>
      </c>
      <c r="W123" s="103"/>
      <c r="X123" s="104"/>
    </row>
    <row r="124" spans="1:24" ht="15" customHeight="1" thickBot="1" x14ac:dyDescent="0.3">
      <c r="A124" s="84" t="s">
        <v>72</v>
      </c>
      <c r="B124" s="85" t="s">
        <v>102</v>
      </c>
      <c r="C124" s="96" t="s">
        <v>31</v>
      </c>
      <c r="D124" s="86" t="s">
        <v>246</v>
      </c>
      <c r="E124" s="84" t="s">
        <v>534</v>
      </c>
      <c r="F124" s="84" t="s">
        <v>535</v>
      </c>
      <c r="G124" s="88"/>
      <c r="H124" s="84" t="s">
        <v>536</v>
      </c>
      <c r="I124" s="96"/>
      <c r="J124" s="96"/>
      <c r="K124" s="96" t="s">
        <v>78</v>
      </c>
      <c r="L124" s="97">
        <v>2</v>
      </c>
      <c r="M124" s="115" t="s">
        <v>94</v>
      </c>
      <c r="N124" s="26" t="s">
        <v>534</v>
      </c>
      <c r="O124" s="96"/>
      <c r="P124" s="96"/>
      <c r="Q124" s="99" t="s">
        <v>144</v>
      </c>
      <c r="R124" s="99"/>
      <c r="S124" s="100" t="s">
        <v>477</v>
      </c>
      <c r="T124" s="101" t="s">
        <v>82</v>
      </c>
      <c r="U124" s="101" t="s">
        <v>82</v>
      </c>
      <c r="V124" s="102" t="s">
        <v>83</v>
      </c>
      <c r="W124" s="103"/>
      <c r="X124" s="104"/>
    </row>
    <row r="125" spans="1:24" ht="15" customHeight="1" thickBot="1" x14ac:dyDescent="0.3">
      <c r="A125" s="114" t="s">
        <v>72</v>
      </c>
      <c r="B125" s="85" t="s">
        <v>102</v>
      </c>
      <c r="C125" s="96" t="s">
        <v>31</v>
      </c>
      <c r="D125" s="86" t="s">
        <v>250</v>
      </c>
      <c r="E125" s="84" t="s">
        <v>537</v>
      </c>
      <c r="F125" s="84" t="s">
        <v>538</v>
      </c>
      <c r="G125" s="88"/>
      <c r="H125" s="114" t="s">
        <v>13382</v>
      </c>
      <c r="I125" s="96"/>
      <c r="J125" s="96"/>
      <c r="K125" s="96" t="s">
        <v>78</v>
      </c>
      <c r="L125" s="97">
        <v>1</v>
      </c>
      <c r="M125" s="115"/>
      <c r="N125" s="25" t="s">
        <v>539</v>
      </c>
      <c r="O125" s="96"/>
      <c r="P125" s="96"/>
      <c r="Q125" s="99" t="s">
        <v>144</v>
      </c>
      <c r="R125" s="117" t="s">
        <v>13367</v>
      </c>
      <c r="S125" s="100" t="s">
        <v>477</v>
      </c>
      <c r="T125" s="101" t="s">
        <v>82</v>
      </c>
      <c r="U125" s="101" t="s">
        <v>82</v>
      </c>
      <c r="V125" s="102" t="s">
        <v>83</v>
      </c>
      <c r="W125" s="103"/>
      <c r="X125" s="104"/>
    </row>
    <row r="126" spans="1:24" ht="15" customHeight="1" thickBot="1" x14ac:dyDescent="0.3">
      <c r="A126" s="116" t="s">
        <v>72</v>
      </c>
      <c r="B126" s="85" t="s">
        <v>102</v>
      </c>
      <c r="C126" s="96" t="s">
        <v>31</v>
      </c>
      <c r="D126" s="86" t="s">
        <v>254</v>
      </c>
      <c r="E126" s="84" t="s">
        <v>540</v>
      </c>
      <c r="F126" s="84" t="s">
        <v>541</v>
      </c>
      <c r="G126" s="88"/>
      <c r="H126" s="116" t="s">
        <v>13368</v>
      </c>
      <c r="I126" s="96"/>
      <c r="J126" s="96"/>
      <c r="K126" s="84" t="s">
        <v>1181</v>
      </c>
      <c r="L126" s="97">
        <v>10</v>
      </c>
      <c r="M126" s="98" t="s">
        <v>542</v>
      </c>
      <c r="O126" s="96"/>
      <c r="P126" s="96"/>
      <c r="Q126" s="99" t="s">
        <v>144</v>
      </c>
      <c r="R126" s="99"/>
      <c r="S126" s="100" t="s">
        <v>477</v>
      </c>
      <c r="T126" s="101" t="s">
        <v>82</v>
      </c>
      <c r="U126" s="101" t="s">
        <v>82</v>
      </c>
      <c r="V126" s="102" t="s">
        <v>517</v>
      </c>
      <c r="W126" s="103"/>
      <c r="X126" s="104"/>
    </row>
    <row r="127" spans="1:24" ht="15" customHeight="1" thickBot="1" x14ac:dyDescent="0.3">
      <c r="A127" s="116" t="s">
        <v>72</v>
      </c>
      <c r="B127" s="85" t="s">
        <v>102</v>
      </c>
      <c r="C127" s="96" t="s">
        <v>31</v>
      </c>
      <c r="D127" s="86" t="s">
        <v>258</v>
      </c>
      <c r="E127" s="84" t="s">
        <v>543</v>
      </c>
      <c r="F127" s="84" t="s">
        <v>544</v>
      </c>
      <c r="G127" s="88"/>
      <c r="H127" s="116" t="s">
        <v>13369</v>
      </c>
      <c r="I127" s="96"/>
      <c r="J127" s="96"/>
      <c r="K127" s="96" t="s">
        <v>78</v>
      </c>
      <c r="L127" s="97">
        <v>2</v>
      </c>
      <c r="M127" s="98" t="s">
        <v>100</v>
      </c>
      <c r="N127" s="26" t="s">
        <v>545</v>
      </c>
      <c r="O127" s="96"/>
      <c r="P127" s="96"/>
      <c r="Q127" s="99" t="s">
        <v>144</v>
      </c>
      <c r="R127" s="99"/>
      <c r="S127" s="100" t="s">
        <v>477</v>
      </c>
      <c r="T127" s="101" t="s">
        <v>82</v>
      </c>
      <c r="U127" s="101" t="s">
        <v>82</v>
      </c>
      <c r="V127" s="102" t="s">
        <v>517</v>
      </c>
      <c r="W127" s="103"/>
      <c r="X127" s="104"/>
    </row>
    <row r="128" spans="1:24" ht="15" customHeight="1" thickBot="1" x14ac:dyDescent="0.3">
      <c r="A128" s="84" t="s">
        <v>72</v>
      </c>
      <c r="B128" s="85" t="s">
        <v>102</v>
      </c>
      <c r="C128" s="96" t="s">
        <v>31</v>
      </c>
      <c r="D128" s="86" t="s">
        <v>264</v>
      </c>
      <c r="E128" s="84" t="s">
        <v>546</v>
      </c>
      <c r="F128" s="84" t="s">
        <v>547</v>
      </c>
      <c r="G128" s="88"/>
      <c r="H128" s="84" t="s">
        <v>548</v>
      </c>
      <c r="I128" s="96"/>
      <c r="J128" s="96"/>
      <c r="K128" s="96" t="s">
        <v>1153</v>
      </c>
      <c r="L128" s="97">
        <v>9</v>
      </c>
      <c r="M128" s="98" t="s">
        <v>549</v>
      </c>
      <c r="O128" s="96"/>
      <c r="P128" s="96"/>
      <c r="Q128" s="99" t="s">
        <v>64</v>
      </c>
      <c r="R128" s="99"/>
      <c r="S128" s="100" t="s">
        <v>477</v>
      </c>
      <c r="T128" s="101" t="s">
        <v>107</v>
      </c>
      <c r="U128" s="101" t="s">
        <v>82</v>
      </c>
      <c r="V128" s="102" t="s">
        <v>83</v>
      </c>
      <c r="W128" s="103"/>
      <c r="X128" s="104"/>
    </row>
    <row r="129" spans="1:24" ht="15" customHeight="1" thickBot="1" x14ac:dyDescent="0.3">
      <c r="A129" s="84" t="s">
        <v>72</v>
      </c>
      <c r="B129" s="85" t="s">
        <v>102</v>
      </c>
      <c r="C129" s="96" t="s">
        <v>31</v>
      </c>
      <c r="D129" s="86" t="s">
        <v>269</v>
      </c>
      <c r="E129" s="84" t="s">
        <v>550</v>
      </c>
      <c r="F129" s="84" t="s">
        <v>551</v>
      </c>
      <c r="G129" s="88"/>
      <c r="H129" s="84" t="s">
        <v>552</v>
      </c>
      <c r="I129" s="96"/>
      <c r="J129" s="96"/>
      <c r="K129" s="96" t="s">
        <v>1186</v>
      </c>
      <c r="L129" s="97">
        <v>250</v>
      </c>
      <c r="M129" s="98"/>
      <c r="O129" s="96"/>
      <c r="P129" s="96"/>
      <c r="Q129" s="99" t="s">
        <v>173</v>
      </c>
      <c r="R129" s="99"/>
      <c r="S129" s="100" t="s">
        <v>553</v>
      </c>
      <c r="T129" s="101" t="s">
        <v>107</v>
      </c>
      <c r="U129" s="101" t="s">
        <v>107</v>
      </c>
      <c r="V129" s="102"/>
      <c r="W129" s="103"/>
      <c r="X129" s="104"/>
    </row>
    <row r="130" spans="1:24" s="83" customFormat="1" ht="15" customHeight="1" thickBot="1" x14ac:dyDescent="0.3">
      <c r="A130" s="28" t="s">
        <v>72</v>
      </c>
      <c r="B130" s="76" t="s">
        <v>109</v>
      </c>
      <c r="C130" s="28" t="s">
        <v>32</v>
      </c>
      <c r="D130" s="113" t="s">
        <v>73</v>
      </c>
      <c r="E130" s="28" t="s">
        <v>32</v>
      </c>
      <c r="F130" s="77" t="s">
        <v>554</v>
      </c>
      <c r="G130" s="28"/>
      <c r="H130" s="28"/>
      <c r="I130" s="28"/>
      <c r="J130" s="28"/>
      <c r="K130" s="28"/>
      <c r="L130" s="28"/>
      <c r="M130" s="78"/>
      <c r="N130" s="28"/>
      <c r="O130" s="28"/>
      <c r="P130" s="28"/>
      <c r="Q130" s="79"/>
      <c r="R130" s="99"/>
      <c r="S130" s="28"/>
      <c r="T130" s="28"/>
      <c r="U130" s="28"/>
      <c r="V130" s="28"/>
      <c r="W130" s="28"/>
      <c r="X130" s="79"/>
    </row>
    <row r="131" spans="1:24" ht="15" customHeight="1" thickBot="1" x14ac:dyDescent="0.3">
      <c r="A131" s="84" t="s">
        <v>72</v>
      </c>
      <c r="B131" s="85" t="s">
        <v>109</v>
      </c>
      <c r="C131" s="96" t="s">
        <v>32</v>
      </c>
      <c r="D131" s="86" t="s">
        <v>74</v>
      </c>
      <c r="E131" s="84" t="s">
        <v>158</v>
      </c>
      <c r="F131" s="84" t="s">
        <v>159</v>
      </c>
      <c r="G131" s="88"/>
      <c r="H131" s="84" t="s">
        <v>160</v>
      </c>
      <c r="I131" s="96"/>
      <c r="J131" s="96"/>
      <c r="K131" s="96" t="s">
        <v>1153</v>
      </c>
      <c r="L131" s="97">
        <v>9</v>
      </c>
      <c r="M131" s="98"/>
      <c r="O131" s="96"/>
      <c r="P131" s="96"/>
      <c r="Q131" s="99" t="s">
        <v>64</v>
      </c>
      <c r="R131" s="99"/>
      <c r="S131" s="100" t="s">
        <v>555</v>
      </c>
      <c r="T131" s="101" t="s">
        <v>107</v>
      </c>
      <c r="U131" s="101" t="s">
        <v>82</v>
      </c>
      <c r="V131" s="102" t="s">
        <v>83</v>
      </c>
      <c r="W131" s="103"/>
      <c r="X131" s="104" t="s">
        <v>119</v>
      </c>
    </row>
    <row r="132" spans="1:24" ht="15" customHeight="1" thickBot="1" x14ac:dyDescent="0.3">
      <c r="A132" s="84" t="s">
        <v>72</v>
      </c>
      <c r="B132" s="85" t="s">
        <v>109</v>
      </c>
      <c r="C132" s="96" t="s">
        <v>32</v>
      </c>
      <c r="D132" s="86" t="s">
        <v>84</v>
      </c>
      <c r="E132" s="84" t="s">
        <v>478</v>
      </c>
      <c r="F132" s="84" t="s">
        <v>479</v>
      </c>
      <c r="G132" s="88"/>
      <c r="H132" s="84" t="s">
        <v>556</v>
      </c>
      <c r="I132" s="96"/>
      <c r="J132" s="96"/>
      <c r="K132" s="96" t="s">
        <v>78</v>
      </c>
      <c r="L132" s="97">
        <v>4</v>
      </c>
      <c r="M132" s="98" t="s">
        <v>79</v>
      </c>
      <c r="N132" s="25" t="s">
        <v>80</v>
      </c>
      <c r="O132" s="96"/>
      <c r="P132" s="96"/>
      <c r="Q132" s="99" t="s">
        <v>64</v>
      </c>
      <c r="R132" s="99"/>
      <c r="S132" s="100" t="s">
        <v>557</v>
      </c>
      <c r="T132" s="101" t="s">
        <v>107</v>
      </c>
      <c r="U132" s="101" t="s">
        <v>82</v>
      </c>
      <c r="V132" s="102" t="s">
        <v>83</v>
      </c>
      <c r="W132" s="103"/>
      <c r="X132" s="104" t="s">
        <v>119</v>
      </c>
    </row>
    <row r="133" spans="1:24" ht="15" customHeight="1" thickBot="1" x14ac:dyDescent="0.3">
      <c r="A133" s="84" t="s">
        <v>72</v>
      </c>
      <c r="B133" s="85" t="s">
        <v>109</v>
      </c>
      <c r="C133" s="96" t="s">
        <v>32</v>
      </c>
      <c r="D133" s="86" t="s">
        <v>90</v>
      </c>
      <c r="E133" s="84" t="s">
        <v>558</v>
      </c>
      <c r="F133" s="84" t="s">
        <v>559</v>
      </c>
      <c r="G133" s="88"/>
      <c r="H133" s="84" t="s">
        <v>560</v>
      </c>
      <c r="I133" s="96"/>
      <c r="J133" s="96"/>
      <c r="K133" s="96" t="s">
        <v>78</v>
      </c>
      <c r="L133" s="97">
        <v>1</v>
      </c>
      <c r="M133" s="98" t="s">
        <v>94</v>
      </c>
      <c r="N133" s="26" t="s">
        <v>188</v>
      </c>
      <c r="O133" s="96"/>
      <c r="P133" s="96"/>
      <c r="Q133" s="99" t="s">
        <v>64</v>
      </c>
      <c r="R133" s="99"/>
      <c r="S133" s="100" t="s">
        <v>257</v>
      </c>
      <c r="T133" s="101" t="s">
        <v>107</v>
      </c>
      <c r="U133" s="101" t="s">
        <v>82</v>
      </c>
      <c r="V133" s="102" t="s">
        <v>83</v>
      </c>
      <c r="W133" s="103"/>
      <c r="X133" s="104" t="s">
        <v>119</v>
      </c>
    </row>
    <row r="134" spans="1:24" ht="15" customHeight="1" thickBot="1" x14ac:dyDescent="0.3">
      <c r="A134" s="84" t="s">
        <v>72</v>
      </c>
      <c r="B134" s="85" t="s">
        <v>109</v>
      </c>
      <c r="C134" s="96" t="s">
        <v>32</v>
      </c>
      <c r="D134" s="86" t="s">
        <v>96</v>
      </c>
      <c r="E134" s="84" t="s">
        <v>561</v>
      </c>
      <c r="F134" s="84" t="s">
        <v>562</v>
      </c>
      <c r="G134" s="88"/>
      <c r="H134" s="84" t="s">
        <v>563</v>
      </c>
      <c r="I134" s="96"/>
      <c r="J134" s="96"/>
      <c r="K134" s="96" t="s">
        <v>78</v>
      </c>
      <c r="L134" s="97">
        <v>1</v>
      </c>
      <c r="M134" s="98" t="s">
        <v>94</v>
      </c>
      <c r="N134" s="26" t="s">
        <v>188</v>
      </c>
      <c r="O134" s="96"/>
      <c r="P134" s="96"/>
      <c r="Q134" s="99" t="s">
        <v>64</v>
      </c>
      <c r="R134" s="99"/>
      <c r="S134" s="100" t="s">
        <v>257</v>
      </c>
      <c r="T134" s="101" t="s">
        <v>107</v>
      </c>
      <c r="U134" s="101" t="s">
        <v>82</v>
      </c>
      <c r="V134" s="102" t="s">
        <v>83</v>
      </c>
      <c r="W134" s="103"/>
      <c r="X134" s="104" t="s">
        <v>119</v>
      </c>
    </row>
    <row r="135" spans="1:24" ht="15" customHeight="1" thickBot="1" x14ac:dyDescent="0.3">
      <c r="A135" s="84" t="s">
        <v>72</v>
      </c>
      <c r="B135" s="85" t="s">
        <v>109</v>
      </c>
      <c r="C135" s="96" t="s">
        <v>32</v>
      </c>
      <c r="D135" s="86" t="s">
        <v>102</v>
      </c>
      <c r="E135" s="84" t="s">
        <v>564</v>
      </c>
      <c r="F135" s="84" t="s">
        <v>565</v>
      </c>
      <c r="G135" s="88"/>
      <c r="H135" s="84" t="s">
        <v>566</v>
      </c>
      <c r="I135" s="96"/>
      <c r="J135" s="96"/>
      <c r="K135" s="96" t="s">
        <v>78</v>
      </c>
      <c r="L135" s="97">
        <v>1</v>
      </c>
      <c r="M135" s="98" t="s">
        <v>94</v>
      </c>
      <c r="N135" s="26" t="s">
        <v>188</v>
      </c>
      <c r="O135" s="96"/>
      <c r="P135" s="96"/>
      <c r="Q135" s="99" t="s">
        <v>64</v>
      </c>
      <c r="R135" s="99"/>
      <c r="S135" s="100" t="s">
        <v>257</v>
      </c>
      <c r="T135" s="101" t="s">
        <v>107</v>
      </c>
      <c r="U135" s="101" t="s">
        <v>82</v>
      </c>
      <c r="V135" s="102" t="s">
        <v>83</v>
      </c>
      <c r="W135" s="103"/>
      <c r="X135" s="104" t="s">
        <v>119</v>
      </c>
    </row>
    <row r="136" spans="1:24" ht="15" customHeight="1" thickBot="1" x14ac:dyDescent="0.3">
      <c r="A136" s="84" t="s">
        <v>72</v>
      </c>
      <c r="B136" s="85" t="s">
        <v>109</v>
      </c>
      <c r="C136" s="96" t="s">
        <v>32</v>
      </c>
      <c r="D136" s="86" t="s">
        <v>109</v>
      </c>
      <c r="E136" s="84" t="s">
        <v>567</v>
      </c>
      <c r="F136" s="84" t="s">
        <v>568</v>
      </c>
      <c r="G136" s="88"/>
      <c r="H136" s="84" t="s">
        <v>569</v>
      </c>
      <c r="I136" s="96"/>
      <c r="J136" s="96"/>
      <c r="K136" s="96" t="s">
        <v>78</v>
      </c>
      <c r="L136" s="97">
        <v>1</v>
      </c>
      <c r="M136" s="98" t="s">
        <v>94</v>
      </c>
      <c r="N136" s="26" t="s">
        <v>188</v>
      </c>
      <c r="O136" s="96"/>
      <c r="P136" s="96"/>
      <c r="Q136" s="99" t="s">
        <v>64</v>
      </c>
      <c r="R136" s="99"/>
      <c r="S136" s="100" t="s">
        <v>257</v>
      </c>
      <c r="T136" s="101" t="s">
        <v>107</v>
      </c>
      <c r="U136" s="101" t="s">
        <v>82</v>
      </c>
      <c r="V136" s="102" t="s">
        <v>83</v>
      </c>
      <c r="W136" s="103"/>
      <c r="X136" s="104" t="s">
        <v>119</v>
      </c>
    </row>
    <row r="137" spans="1:24" ht="15" customHeight="1" thickBot="1" x14ac:dyDescent="0.3">
      <c r="A137" s="84" t="s">
        <v>72</v>
      </c>
      <c r="B137" s="85" t="s">
        <v>109</v>
      </c>
      <c r="C137" s="96" t="s">
        <v>32</v>
      </c>
      <c r="D137" s="86" t="s">
        <v>114</v>
      </c>
      <c r="E137" s="84" t="s">
        <v>570</v>
      </c>
      <c r="F137" s="84" t="s">
        <v>571</v>
      </c>
      <c r="G137" s="88"/>
      <c r="H137" s="84" t="s">
        <v>572</v>
      </c>
      <c r="I137" s="96"/>
      <c r="J137" s="96"/>
      <c r="K137" s="96" t="s">
        <v>78</v>
      </c>
      <c r="L137" s="97">
        <v>1</v>
      </c>
      <c r="M137" s="98" t="s">
        <v>94</v>
      </c>
      <c r="N137" s="26" t="s">
        <v>188</v>
      </c>
      <c r="O137" s="96"/>
      <c r="P137" s="96"/>
      <c r="Q137" s="99" t="s">
        <v>64</v>
      </c>
      <c r="R137" s="99"/>
      <c r="S137" s="100" t="s">
        <v>257</v>
      </c>
      <c r="T137" s="101" t="s">
        <v>107</v>
      </c>
      <c r="U137" s="101" t="s">
        <v>82</v>
      </c>
      <c r="V137" s="102" t="s">
        <v>83</v>
      </c>
      <c r="W137" s="103"/>
      <c r="X137" s="104" t="s">
        <v>119</v>
      </c>
    </row>
    <row r="138" spans="1:24" ht="15" customHeight="1" thickBot="1" x14ac:dyDescent="0.3">
      <c r="A138" s="84" t="s">
        <v>72</v>
      </c>
      <c r="B138" s="85" t="s">
        <v>109</v>
      </c>
      <c r="C138" s="96" t="s">
        <v>32</v>
      </c>
      <c r="D138" s="86" t="s">
        <v>120</v>
      </c>
      <c r="E138" s="84" t="s">
        <v>573</v>
      </c>
      <c r="F138" s="84" t="s">
        <v>574</v>
      </c>
      <c r="G138" s="88"/>
      <c r="H138" s="84" t="s">
        <v>575</v>
      </c>
      <c r="I138" s="96"/>
      <c r="J138" s="96"/>
      <c r="K138" s="96" t="s">
        <v>78</v>
      </c>
      <c r="L138" s="97">
        <v>1</v>
      </c>
      <c r="M138" s="98"/>
      <c r="N138" s="25" t="s">
        <v>539</v>
      </c>
      <c r="O138" s="96"/>
      <c r="P138" s="96"/>
      <c r="Q138" s="99" t="s">
        <v>64</v>
      </c>
      <c r="R138" s="99"/>
      <c r="S138" s="100" t="s">
        <v>257</v>
      </c>
      <c r="T138" s="101" t="s">
        <v>107</v>
      </c>
      <c r="U138" s="101" t="s">
        <v>82</v>
      </c>
      <c r="V138" s="102" t="s">
        <v>83</v>
      </c>
      <c r="W138" s="103"/>
      <c r="X138" s="104" t="s">
        <v>119</v>
      </c>
    </row>
    <row r="139" spans="1:24" ht="15" customHeight="1" thickBot="1" x14ac:dyDescent="0.3">
      <c r="A139" s="84" t="s">
        <v>72</v>
      </c>
      <c r="B139" s="85" t="s">
        <v>109</v>
      </c>
      <c r="C139" s="96" t="s">
        <v>32</v>
      </c>
      <c r="D139" s="86" t="s">
        <v>126</v>
      </c>
      <c r="E139" s="84" t="s">
        <v>576</v>
      </c>
      <c r="F139" s="84" t="s">
        <v>577</v>
      </c>
      <c r="G139" s="88"/>
      <c r="H139" s="84" t="s">
        <v>578</v>
      </c>
      <c r="I139" s="96"/>
      <c r="J139" s="96"/>
      <c r="K139" s="84" t="s">
        <v>1181</v>
      </c>
      <c r="L139" s="97">
        <v>10</v>
      </c>
      <c r="M139" s="98" t="s">
        <v>135</v>
      </c>
      <c r="O139" s="96"/>
      <c r="P139" s="96"/>
      <c r="Q139" s="99" t="s">
        <v>173</v>
      </c>
      <c r="R139" s="99"/>
      <c r="S139" s="100" t="s">
        <v>257</v>
      </c>
      <c r="T139" s="101" t="s">
        <v>107</v>
      </c>
      <c r="U139" s="101" t="s">
        <v>82</v>
      </c>
      <c r="V139" s="102" t="s">
        <v>83</v>
      </c>
      <c r="W139" s="103"/>
      <c r="X139" s="104" t="s">
        <v>119</v>
      </c>
    </row>
    <row r="140" spans="1:24" ht="15" customHeight="1" thickBot="1" x14ac:dyDescent="0.3">
      <c r="A140" s="84" t="s">
        <v>72</v>
      </c>
      <c r="B140" s="85" t="s">
        <v>109</v>
      </c>
      <c r="C140" s="96" t="s">
        <v>32</v>
      </c>
      <c r="D140" s="86" t="s">
        <v>130</v>
      </c>
      <c r="E140" s="84" t="s">
        <v>579</v>
      </c>
      <c r="F140" s="84" t="s">
        <v>580</v>
      </c>
      <c r="G140" s="88"/>
      <c r="H140" s="84" t="s">
        <v>581</v>
      </c>
      <c r="I140" s="96"/>
      <c r="J140" s="96"/>
      <c r="K140" s="84" t="s">
        <v>1181</v>
      </c>
      <c r="L140" s="97">
        <v>10</v>
      </c>
      <c r="M140" s="98" t="s">
        <v>135</v>
      </c>
      <c r="O140" s="96"/>
      <c r="P140" s="96"/>
      <c r="Q140" s="99" t="s">
        <v>64</v>
      </c>
      <c r="R140" s="99"/>
      <c r="S140" s="100" t="s">
        <v>257</v>
      </c>
      <c r="T140" s="101" t="s">
        <v>107</v>
      </c>
      <c r="U140" s="101" t="s">
        <v>82</v>
      </c>
      <c r="V140" s="102" t="s">
        <v>83</v>
      </c>
      <c r="W140" s="103"/>
      <c r="X140" s="104" t="s">
        <v>119</v>
      </c>
    </row>
    <row r="141" spans="1:24" ht="15" customHeight="1" thickBot="1" x14ac:dyDescent="0.3">
      <c r="A141" s="84" t="s">
        <v>72</v>
      </c>
      <c r="B141" s="85" t="s">
        <v>109</v>
      </c>
      <c r="C141" s="96" t="s">
        <v>32</v>
      </c>
      <c r="D141" s="86" t="s">
        <v>136</v>
      </c>
      <c r="E141" s="84" t="s">
        <v>582</v>
      </c>
      <c r="F141" s="84" t="s">
        <v>583</v>
      </c>
      <c r="G141" s="88"/>
      <c r="H141" s="84" t="s">
        <v>584</v>
      </c>
      <c r="I141" s="96"/>
      <c r="J141" s="96"/>
      <c r="K141" s="84" t="s">
        <v>1181</v>
      </c>
      <c r="L141" s="97">
        <v>10</v>
      </c>
      <c r="M141" s="98" t="s">
        <v>135</v>
      </c>
      <c r="O141" s="96"/>
      <c r="P141" s="96"/>
      <c r="Q141" s="99" t="s">
        <v>173</v>
      </c>
      <c r="R141" s="99"/>
      <c r="S141" s="100" t="s">
        <v>257</v>
      </c>
      <c r="T141" s="101" t="s">
        <v>107</v>
      </c>
      <c r="U141" s="101" t="s">
        <v>82</v>
      </c>
      <c r="V141" s="102" t="s">
        <v>83</v>
      </c>
      <c r="W141" s="103"/>
      <c r="X141" s="104" t="s">
        <v>119</v>
      </c>
    </row>
    <row r="142" spans="1:24" ht="15" customHeight="1" thickBot="1" x14ac:dyDescent="0.3">
      <c r="A142" s="84" t="s">
        <v>72</v>
      </c>
      <c r="B142" s="85" t="s">
        <v>109</v>
      </c>
      <c r="C142" s="96" t="s">
        <v>32</v>
      </c>
      <c r="D142" s="86" t="s">
        <v>140</v>
      </c>
      <c r="E142" s="84" t="s">
        <v>585</v>
      </c>
      <c r="F142" s="84" t="s">
        <v>586</v>
      </c>
      <c r="G142" s="88"/>
      <c r="H142" s="84" t="s">
        <v>587</v>
      </c>
      <c r="I142" s="96"/>
      <c r="J142" s="96"/>
      <c r="K142" s="96" t="s">
        <v>78</v>
      </c>
      <c r="L142" s="97">
        <v>2</v>
      </c>
      <c r="M142" s="98"/>
      <c r="N142" s="26" t="s">
        <v>588</v>
      </c>
      <c r="O142" s="96"/>
      <c r="P142" s="96"/>
      <c r="Q142" s="99" t="s">
        <v>144</v>
      </c>
      <c r="R142" s="99"/>
      <c r="S142" s="100" t="s">
        <v>257</v>
      </c>
      <c r="T142" s="101" t="s">
        <v>107</v>
      </c>
      <c r="U142" s="101" t="s">
        <v>82</v>
      </c>
      <c r="V142" s="102" t="s">
        <v>83</v>
      </c>
      <c r="W142" s="103"/>
      <c r="X142" s="104" t="s">
        <v>119</v>
      </c>
    </row>
    <row r="143" spans="1:24" s="83" customFormat="1" ht="15" customHeight="1" thickBot="1" x14ac:dyDescent="0.3">
      <c r="A143" s="28" t="s">
        <v>72</v>
      </c>
      <c r="B143" s="112" t="s">
        <v>114</v>
      </c>
      <c r="C143" s="28" t="s">
        <v>33</v>
      </c>
      <c r="D143" s="113" t="s">
        <v>73</v>
      </c>
      <c r="E143" s="28" t="s">
        <v>33</v>
      </c>
      <c r="F143" s="77" t="s">
        <v>589</v>
      </c>
      <c r="G143" s="28"/>
      <c r="H143" s="28"/>
      <c r="I143" s="28"/>
      <c r="J143" s="28"/>
      <c r="K143" s="28"/>
      <c r="L143" s="28"/>
      <c r="M143" s="78"/>
      <c r="N143" s="28"/>
      <c r="O143" s="28"/>
      <c r="P143" s="28"/>
      <c r="Q143" s="79"/>
      <c r="R143" s="99"/>
      <c r="S143" s="28"/>
      <c r="T143" s="28"/>
      <c r="U143" s="28"/>
      <c r="V143" s="28"/>
      <c r="W143" s="28"/>
      <c r="X143" s="79"/>
    </row>
    <row r="144" spans="1:24" ht="15" customHeight="1" thickBot="1" x14ac:dyDescent="0.3">
      <c r="A144" s="84" t="s">
        <v>72</v>
      </c>
      <c r="B144" s="85" t="s">
        <v>114</v>
      </c>
      <c r="C144" s="96" t="s">
        <v>33</v>
      </c>
      <c r="D144" s="86" t="s">
        <v>74</v>
      </c>
      <c r="E144" s="84" t="s">
        <v>590</v>
      </c>
      <c r="F144" s="84" t="s">
        <v>591</v>
      </c>
      <c r="G144" s="88"/>
      <c r="H144" s="84" t="s">
        <v>592</v>
      </c>
      <c r="I144" s="96"/>
      <c r="J144" s="96"/>
      <c r="K144" s="96" t="s">
        <v>1153</v>
      </c>
      <c r="L144" s="97">
        <v>9</v>
      </c>
      <c r="M144" s="98" t="s">
        <v>549</v>
      </c>
      <c r="O144" s="96"/>
      <c r="P144" s="96"/>
      <c r="Q144" s="99" t="s">
        <v>64</v>
      </c>
      <c r="R144" s="99"/>
      <c r="S144" s="100" t="s">
        <v>593</v>
      </c>
      <c r="T144" s="101" t="s">
        <v>82</v>
      </c>
      <c r="U144" s="101" t="s">
        <v>82</v>
      </c>
      <c r="V144" s="102" t="s">
        <v>83</v>
      </c>
      <c r="W144" s="103"/>
      <c r="X144" s="104"/>
    </row>
    <row r="145" spans="1:24" ht="15" customHeight="1" thickBot="1" x14ac:dyDescent="0.3">
      <c r="A145" s="84" t="s">
        <v>72</v>
      </c>
      <c r="B145" s="85" t="s">
        <v>114</v>
      </c>
      <c r="C145" s="96" t="s">
        <v>33</v>
      </c>
      <c r="D145" s="86" t="s">
        <v>84</v>
      </c>
      <c r="E145" s="84" t="s">
        <v>163</v>
      </c>
      <c r="F145" s="84" t="s">
        <v>164</v>
      </c>
      <c r="G145" s="88"/>
      <c r="H145" s="84" t="s">
        <v>594</v>
      </c>
      <c r="I145" s="96"/>
      <c r="J145" s="96"/>
      <c r="K145" s="96" t="s">
        <v>1186</v>
      </c>
      <c r="L145" s="97">
        <v>35</v>
      </c>
      <c r="M145" s="98"/>
      <c r="O145" s="96"/>
      <c r="P145" s="96"/>
      <c r="Q145" s="99" t="s">
        <v>64</v>
      </c>
      <c r="R145" s="99"/>
      <c r="S145" s="100" t="s">
        <v>595</v>
      </c>
      <c r="T145" s="101" t="s">
        <v>82</v>
      </c>
      <c r="U145" s="101" t="s">
        <v>82</v>
      </c>
      <c r="V145" s="102" t="s">
        <v>83</v>
      </c>
      <c r="W145" s="103"/>
      <c r="X145" s="104"/>
    </row>
    <row r="146" spans="1:24" ht="15" customHeight="1" thickBot="1" x14ac:dyDescent="0.3">
      <c r="A146" s="84" t="s">
        <v>72</v>
      </c>
      <c r="B146" s="85" t="s">
        <v>114</v>
      </c>
      <c r="C146" s="96" t="s">
        <v>33</v>
      </c>
      <c r="D146" s="86" t="s">
        <v>90</v>
      </c>
      <c r="E146" s="84" t="s">
        <v>167</v>
      </c>
      <c r="F146" s="84" t="s">
        <v>168</v>
      </c>
      <c r="G146" s="88"/>
      <c r="H146" s="84" t="s">
        <v>169</v>
      </c>
      <c r="I146" s="96"/>
      <c r="J146" s="96"/>
      <c r="K146" s="96" t="s">
        <v>1186</v>
      </c>
      <c r="L146" s="97">
        <v>35</v>
      </c>
      <c r="M146" s="98"/>
      <c r="O146" s="96"/>
      <c r="P146" s="96"/>
      <c r="Q146" s="99" t="s">
        <v>64</v>
      </c>
      <c r="R146" s="99"/>
      <c r="S146" s="100" t="s">
        <v>595</v>
      </c>
      <c r="T146" s="101" t="s">
        <v>82</v>
      </c>
      <c r="U146" s="101" t="s">
        <v>82</v>
      </c>
      <c r="V146" s="102" t="s">
        <v>83</v>
      </c>
      <c r="W146" s="103"/>
      <c r="X146" s="104"/>
    </row>
    <row r="147" spans="1:24" ht="15" customHeight="1" thickBot="1" x14ac:dyDescent="0.3">
      <c r="A147" s="84" t="s">
        <v>72</v>
      </c>
      <c r="B147" s="85" t="s">
        <v>114</v>
      </c>
      <c r="C147" s="96" t="s">
        <v>33</v>
      </c>
      <c r="D147" s="86" t="s">
        <v>96</v>
      </c>
      <c r="E147" s="84" t="s">
        <v>170</v>
      </c>
      <c r="F147" s="84" t="s">
        <v>171</v>
      </c>
      <c r="G147" s="88"/>
      <c r="H147" s="84" t="s">
        <v>172</v>
      </c>
      <c r="I147" s="96"/>
      <c r="J147" s="96"/>
      <c r="K147" s="96" t="s">
        <v>1186</v>
      </c>
      <c r="L147" s="97">
        <v>40</v>
      </c>
      <c r="M147" s="98"/>
      <c r="O147" s="96"/>
      <c r="P147" s="96"/>
      <c r="Q147" s="99" t="s">
        <v>173</v>
      </c>
      <c r="R147" s="99"/>
      <c r="S147" s="100" t="s">
        <v>595</v>
      </c>
      <c r="T147" s="101" t="s">
        <v>82</v>
      </c>
      <c r="U147" s="101" t="s">
        <v>82</v>
      </c>
      <c r="V147" s="102" t="s">
        <v>83</v>
      </c>
      <c r="W147" s="103"/>
      <c r="X147" s="104"/>
    </row>
    <row r="148" spans="1:24" ht="15" customHeight="1" thickBot="1" x14ac:dyDescent="0.3">
      <c r="A148" s="84" t="s">
        <v>72</v>
      </c>
      <c r="B148" s="85" t="s">
        <v>114</v>
      </c>
      <c r="C148" s="96" t="s">
        <v>33</v>
      </c>
      <c r="D148" s="86" t="s">
        <v>102</v>
      </c>
      <c r="E148" s="84" t="s">
        <v>174</v>
      </c>
      <c r="F148" s="84" t="s">
        <v>175</v>
      </c>
      <c r="G148" s="88"/>
      <c r="H148" s="84" t="s">
        <v>596</v>
      </c>
      <c r="I148" s="96"/>
      <c r="J148" s="96"/>
      <c r="K148" s="96" t="s">
        <v>1186</v>
      </c>
      <c r="L148" s="97">
        <v>8</v>
      </c>
      <c r="M148" s="98"/>
      <c r="O148" s="96"/>
      <c r="P148" s="96"/>
      <c r="Q148" s="99" t="s">
        <v>173</v>
      </c>
      <c r="R148" s="99"/>
      <c r="S148" s="100" t="s">
        <v>595</v>
      </c>
      <c r="T148" s="101" t="s">
        <v>82</v>
      </c>
      <c r="U148" s="101" t="s">
        <v>82</v>
      </c>
      <c r="V148" s="102" t="s">
        <v>83</v>
      </c>
      <c r="W148" s="103"/>
      <c r="X148" s="104"/>
    </row>
    <row r="149" spans="1:24" ht="15" customHeight="1" thickBot="1" x14ac:dyDescent="0.3">
      <c r="A149" s="84" t="s">
        <v>72</v>
      </c>
      <c r="B149" s="85" t="s">
        <v>114</v>
      </c>
      <c r="C149" s="96" t="s">
        <v>33</v>
      </c>
      <c r="D149" s="86" t="s">
        <v>109</v>
      </c>
      <c r="E149" s="84" t="s">
        <v>597</v>
      </c>
      <c r="F149" s="84" t="s">
        <v>598</v>
      </c>
      <c r="G149" s="88"/>
      <c r="H149" s="84" t="s">
        <v>599</v>
      </c>
      <c r="I149" s="96"/>
      <c r="J149" s="96"/>
      <c r="K149" s="96" t="s">
        <v>1186</v>
      </c>
      <c r="L149" s="97">
        <v>50</v>
      </c>
      <c r="M149" s="98"/>
      <c r="O149" s="96"/>
      <c r="P149" s="96"/>
      <c r="Q149" s="99" t="s">
        <v>173</v>
      </c>
      <c r="R149" s="99"/>
      <c r="S149" s="100" t="s">
        <v>595</v>
      </c>
      <c r="T149" s="101" t="s">
        <v>82</v>
      </c>
      <c r="U149" s="101" t="s">
        <v>82</v>
      </c>
      <c r="V149" s="102" t="s">
        <v>83</v>
      </c>
      <c r="W149" s="103"/>
      <c r="X149" s="104"/>
    </row>
    <row r="150" spans="1:24" ht="15" customHeight="1" thickBot="1" x14ac:dyDescent="0.3">
      <c r="A150" s="84" t="s">
        <v>72</v>
      </c>
      <c r="B150" s="85" t="s">
        <v>114</v>
      </c>
      <c r="C150" s="96" t="s">
        <v>33</v>
      </c>
      <c r="D150" s="86" t="s">
        <v>114</v>
      </c>
      <c r="E150" s="84" t="s">
        <v>177</v>
      </c>
      <c r="F150" s="84" t="s">
        <v>178</v>
      </c>
      <c r="G150" s="88"/>
      <c r="H150" s="84" t="s">
        <v>179</v>
      </c>
      <c r="I150" s="96"/>
      <c r="J150" s="96"/>
      <c r="K150" s="84" t="s">
        <v>1181</v>
      </c>
      <c r="L150" s="97"/>
      <c r="M150" s="98" t="s">
        <v>135</v>
      </c>
      <c r="O150" s="96"/>
      <c r="P150" s="96"/>
      <c r="Q150" s="99" t="s">
        <v>64</v>
      </c>
      <c r="R150" s="99"/>
      <c r="S150" s="100" t="s">
        <v>595</v>
      </c>
      <c r="T150" s="101" t="s">
        <v>82</v>
      </c>
      <c r="U150" s="101" t="s">
        <v>82</v>
      </c>
      <c r="V150" s="102" t="s">
        <v>83</v>
      </c>
      <c r="W150" s="103"/>
      <c r="X150" s="104"/>
    </row>
    <row r="151" spans="1:24" ht="15" customHeight="1" thickBot="1" x14ac:dyDescent="0.3">
      <c r="A151" s="84" t="s">
        <v>72</v>
      </c>
      <c r="B151" s="85" t="s">
        <v>114</v>
      </c>
      <c r="C151" s="96" t="s">
        <v>33</v>
      </c>
      <c r="D151" s="86" t="s">
        <v>120</v>
      </c>
      <c r="E151" s="84" t="s">
        <v>181</v>
      </c>
      <c r="F151" s="84" t="s">
        <v>182</v>
      </c>
      <c r="G151" s="88"/>
      <c r="H151" s="84" t="s">
        <v>183</v>
      </c>
      <c r="I151" s="96"/>
      <c r="J151" s="96"/>
      <c r="K151" s="96" t="s">
        <v>78</v>
      </c>
      <c r="L151" s="97">
        <v>1</v>
      </c>
      <c r="M151" s="98" t="s">
        <v>94</v>
      </c>
      <c r="N151" s="26" t="s">
        <v>181</v>
      </c>
      <c r="O151" s="96"/>
      <c r="P151" s="96"/>
      <c r="Q151" s="99" t="s">
        <v>64</v>
      </c>
      <c r="R151" s="99"/>
      <c r="S151" s="100" t="s">
        <v>595</v>
      </c>
      <c r="T151" s="101" t="s">
        <v>82</v>
      </c>
      <c r="U151" s="101" t="s">
        <v>82</v>
      </c>
      <c r="V151" s="102" t="s">
        <v>83</v>
      </c>
      <c r="W151" s="103"/>
      <c r="X151" s="104"/>
    </row>
    <row r="152" spans="1:24" ht="15" customHeight="1" thickBot="1" x14ac:dyDescent="0.3">
      <c r="A152" s="84" t="s">
        <v>72</v>
      </c>
      <c r="B152" s="85" t="s">
        <v>114</v>
      </c>
      <c r="C152" s="96" t="s">
        <v>33</v>
      </c>
      <c r="D152" s="86" t="s">
        <v>126</v>
      </c>
      <c r="E152" s="84" t="s">
        <v>185</v>
      </c>
      <c r="F152" s="84" t="s">
        <v>186</v>
      </c>
      <c r="G152" s="88"/>
      <c r="H152" s="84" t="s">
        <v>187</v>
      </c>
      <c r="I152" s="96"/>
      <c r="J152" s="96"/>
      <c r="K152" s="96" t="s">
        <v>78</v>
      </c>
      <c r="L152" s="97">
        <v>1</v>
      </c>
      <c r="M152" s="98" t="s">
        <v>94</v>
      </c>
      <c r="N152" s="26" t="s">
        <v>188</v>
      </c>
      <c r="O152" s="96"/>
      <c r="P152" s="96"/>
      <c r="Q152" s="99" t="s">
        <v>64</v>
      </c>
      <c r="R152" s="99"/>
      <c r="S152" s="100" t="s">
        <v>600</v>
      </c>
      <c r="T152" s="101" t="s">
        <v>107</v>
      </c>
      <c r="U152" s="101" t="s">
        <v>107</v>
      </c>
      <c r="V152" s="102" t="s">
        <v>83</v>
      </c>
      <c r="W152" s="103"/>
      <c r="X152" s="104"/>
    </row>
    <row r="153" spans="1:24" ht="15" customHeight="1" thickBot="1" x14ac:dyDescent="0.3">
      <c r="A153" s="84" t="s">
        <v>72</v>
      </c>
      <c r="B153" s="85" t="s">
        <v>114</v>
      </c>
      <c r="C153" s="96" t="s">
        <v>33</v>
      </c>
      <c r="D153" s="86" t="s">
        <v>130</v>
      </c>
      <c r="E153" s="84" t="s">
        <v>189</v>
      </c>
      <c r="F153" s="84" t="s">
        <v>190</v>
      </c>
      <c r="G153" s="88"/>
      <c r="H153" s="84" t="s">
        <v>191</v>
      </c>
      <c r="I153" s="96"/>
      <c r="J153" s="96"/>
      <c r="K153" s="96" t="s">
        <v>78</v>
      </c>
      <c r="L153" s="97">
        <v>1</v>
      </c>
      <c r="M153" s="98" t="s">
        <v>94</v>
      </c>
      <c r="N153" s="26" t="s">
        <v>188</v>
      </c>
      <c r="O153" s="96"/>
      <c r="P153" s="96"/>
      <c r="Q153" s="99" t="s">
        <v>64</v>
      </c>
      <c r="R153" s="99"/>
      <c r="S153" s="100" t="s">
        <v>600</v>
      </c>
      <c r="T153" s="101" t="s">
        <v>107</v>
      </c>
      <c r="U153" s="101" t="s">
        <v>107</v>
      </c>
      <c r="V153" s="102" t="s">
        <v>83</v>
      </c>
      <c r="W153" s="103"/>
      <c r="X153" s="104"/>
    </row>
    <row r="154" spans="1:24" ht="15" customHeight="1" thickBot="1" x14ac:dyDescent="0.3">
      <c r="A154" s="84" t="s">
        <v>72</v>
      </c>
      <c r="B154" s="85" t="s">
        <v>114</v>
      </c>
      <c r="C154" s="96" t="s">
        <v>33</v>
      </c>
      <c r="D154" s="86" t="s">
        <v>136</v>
      </c>
      <c r="E154" s="84" t="s">
        <v>192</v>
      </c>
      <c r="F154" s="84" t="s">
        <v>193</v>
      </c>
      <c r="G154" s="88"/>
      <c r="H154" s="84" t="s">
        <v>194</v>
      </c>
      <c r="I154" s="96"/>
      <c r="J154" s="96"/>
      <c r="K154" s="96" t="s">
        <v>78</v>
      </c>
      <c r="L154" s="97">
        <v>1</v>
      </c>
      <c r="M154" s="98" t="s">
        <v>94</v>
      </c>
      <c r="N154" s="26" t="s">
        <v>188</v>
      </c>
      <c r="O154" s="96"/>
      <c r="P154" s="96"/>
      <c r="Q154" s="99" t="s">
        <v>64</v>
      </c>
      <c r="R154" s="99"/>
      <c r="S154" s="100" t="s">
        <v>600</v>
      </c>
      <c r="T154" s="101" t="s">
        <v>107</v>
      </c>
      <c r="U154" s="101" t="s">
        <v>107</v>
      </c>
      <c r="V154" s="102" t="s">
        <v>83</v>
      </c>
      <c r="W154" s="103"/>
      <c r="X154" s="104"/>
    </row>
    <row r="155" spans="1:24" ht="15" customHeight="1" thickBot="1" x14ac:dyDescent="0.3">
      <c r="A155" s="84" t="s">
        <v>72</v>
      </c>
      <c r="B155" s="85" t="s">
        <v>114</v>
      </c>
      <c r="C155" s="96" t="s">
        <v>33</v>
      </c>
      <c r="D155" s="86" t="s">
        <v>140</v>
      </c>
      <c r="E155" s="84" t="s">
        <v>195</v>
      </c>
      <c r="F155" s="84" t="s">
        <v>196</v>
      </c>
      <c r="G155" s="88"/>
      <c r="H155" s="84" t="s">
        <v>197</v>
      </c>
      <c r="I155" s="96"/>
      <c r="J155" s="96"/>
      <c r="K155" s="96" t="s">
        <v>78</v>
      </c>
      <c r="L155" s="97">
        <v>1</v>
      </c>
      <c r="M155" s="98" t="s">
        <v>94</v>
      </c>
      <c r="N155" s="26" t="s">
        <v>188</v>
      </c>
      <c r="O155" s="96"/>
      <c r="P155" s="96"/>
      <c r="Q155" s="99" t="s">
        <v>64</v>
      </c>
      <c r="R155" s="99"/>
      <c r="S155" s="100" t="s">
        <v>600</v>
      </c>
      <c r="T155" s="101" t="s">
        <v>107</v>
      </c>
      <c r="U155" s="101" t="s">
        <v>107</v>
      </c>
      <c r="V155" s="102" t="s">
        <v>83</v>
      </c>
      <c r="W155" s="103"/>
      <c r="X155" s="104"/>
    </row>
    <row r="156" spans="1:24" ht="15" customHeight="1" thickBot="1" x14ac:dyDescent="0.3">
      <c r="A156" s="84" t="s">
        <v>72</v>
      </c>
      <c r="B156" s="85" t="s">
        <v>114</v>
      </c>
      <c r="C156" s="96" t="s">
        <v>33</v>
      </c>
      <c r="D156" s="86" t="s">
        <v>146</v>
      </c>
      <c r="E156" s="84" t="s">
        <v>198</v>
      </c>
      <c r="F156" s="84" t="s">
        <v>199</v>
      </c>
      <c r="G156" s="88"/>
      <c r="H156" s="84" t="s">
        <v>200</v>
      </c>
      <c r="I156" s="96"/>
      <c r="J156" s="96"/>
      <c r="K156" s="96" t="s">
        <v>78</v>
      </c>
      <c r="L156" s="97">
        <v>1</v>
      </c>
      <c r="M156" s="98" t="s">
        <v>94</v>
      </c>
      <c r="N156" s="26" t="s">
        <v>188</v>
      </c>
      <c r="O156" s="96"/>
      <c r="P156" s="96"/>
      <c r="Q156" s="99" t="s">
        <v>64</v>
      </c>
      <c r="R156" s="99"/>
      <c r="S156" s="100" t="s">
        <v>600</v>
      </c>
      <c r="T156" s="101" t="s">
        <v>107</v>
      </c>
      <c r="U156" s="101" t="s">
        <v>107</v>
      </c>
      <c r="V156" s="102" t="s">
        <v>83</v>
      </c>
      <c r="W156" s="103"/>
      <c r="X156" s="104"/>
    </row>
    <row r="157" spans="1:24" ht="15" customHeight="1" thickBot="1" x14ac:dyDescent="0.3">
      <c r="A157" s="84" t="s">
        <v>72</v>
      </c>
      <c r="B157" s="85" t="s">
        <v>114</v>
      </c>
      <c r="C157" s="96" t="s">
        <v>33</v>
      </c>
      <c r="D157" s="86" t="s">
        <v>150</v>
      </c>
      <c r="E157" s="84" t="s">
        <v>201</v>
      </c>
      <c r="F157" s="84" t="s">
        <v>202</v>
      </c>
      <c r="G157" s="88"/>
      <c r="H157" s="84" t="s">
        <v>203</v>
      </c>
      <c r="I157" s="96"/>
      <c r="J157" s="96"/>
      <c r="K157" s="96" t="s">
        <v>78</v>
      </c>
      <c r="L157" s="97">
        <v>1</v>
      </c>
      <c r="M157" s="98" t="s">
        <v>94</v>
      </c>
      <c r="N157" s="26" t="s">
        <v>188</v>
      </c>
      <c r="O157" s="96"/>
      <c r="P157" s="96"/>
      <c r="Q157" s="99" t="s">
        <v>64</v>
      </c>
      <c r="R157" s="99"/>
      <c r="S157" s="100" t="s">
        <v>600</v>
      </c>
      <c r="T157" s="101" t="s">
        <v>107</v>
      </c>
      <c r="U157" s="101" t="s">
        <v>107</v>
      </c>
      <c r="V157" s="102" t="s">
        <v>83</v>
      </c>
      <c r="W157" s="103"/>
      <c r="X157" s="104"/>
    </row>
    <row r="158" spans="1:24" ht="15" customHeight="1" thickBot="1" x14ac:dyDescent="0.3">
      <c r="A158" s="84" t="s">
        <v>72</v>
      </c>
      <c r="B158" s="85" t="s">
        <v>114</v>
      </c>
      <c r="C158" s="96" t="s">
        <v>33</v>
      </c>
      <c r="D158" s="86" t="s">
        <v>154</v>
      </c>
      <c r="E158" s="84" t="s">
        <v>601</v>
      </c>
      <c r="F158" s="84" t="s">
        <v>602</v>
      </c>
      <c r="G158" s="88"/>
      <c r="H158" s="84" t="s">
        <v>603</v>
      </c>
      <c r="I158" s="96"/>
      <c r="J158" s="96"/>
      <c r="K158" s="96" t="s">
        <v>78</v>
      </c>
      <c r="L158" s="97">
        <v>3</v>
      </c>
      <c r="M158" s="98" t="s">
        <v>604</v>
      </c>
      <c r="N158" s="26" t="s">
        <v>325</v>
      </c>
      <c r="O158" s="96"/>
      <c r="P158" s="96"/>
      <c r="Q158" s="99" t="s">
        <v>173</v>
      </c>
      <c r="R158" s="99"/>
      <c r="S158" s="100" t="s">
        <v>600</v>
      </c>
      <c r="T158" s="101" t="s">
        <v>107</v>
      </c>
      <c r="U158" s="101" t="s">
        <v>107</v>
      </c>
      <c r="V158" s="102" t="s">
        <v>83</v>
      </c>
      <c r="W158" s="103"/>
      <c r="X158" s="104"/>
    </row>
    <row r="159" spans="1:24" ht="15" customHeight="1" thickBot="1" x14ac:dyDescent="0.3">
      <c r="A159" s="84" t="s">
        <v>72</v>
      </c>
      <c r="B159" s="85" t="s">
        <v>114</v>
      </c>
      <c r="C159" s="96" t="s">
        <v>33</v>
      </c>
      <c r="D159" s="86" t="s">
        <v>214</v>
      </c>
      <c r="E159" s="84" t="s">
        <v>605</v>
      </c>
      <c r="F159" s="84" t="s">
        <v>606</v>
      </c>
      <c r="G159" s="88"/>
      <c r="H159" s="84" t="s">
        <v>607</v>
      </c>
      <c r="I159" s="96"/>
      <c r="J159" s="96"/>
      <c r="K159" s="96" t="s">
        <v>78</v>
      </c>
      <c r="L159" s="97">
        <v>1</v>
      </c>
      <c r="M159" s="98" t="s">
        <v>94</v>
      </c>
      <c r="N159" s="26" t="s">
        <v>188</v>
      </c>
      <c r="O159" s="96"/>
      <c r="P159" s="96"/>
      <c r="Q159" s="99" t="s">
        <v>64</v>
      </c>
      <c r="R159" s="99"/>
      <c r="S159" s="100" t="s">
        <v>608</v>
      </c>
      <c r="T159" s="101" t="s">
        <v>82</v>
      </c>
      <c r="U159" s="101" t="s">
        <v>82</v>
      </c>
      <c r="V159" s="102" t="s">
        <v>83</v>
      </c>
      <c r="W159" s="103"/>
      <c r="X159" s="104"/>
    </row>
    <row r="160" spans="1:24" ht="15" customHeight="1" thickBot="1" x14ac:dyDescent="0.3">
      <c r="A160" s="84" t="s">
        <v>72</v>
      </c>
      <c r="B160" s="85" t="s">
        <v>114</v>
      </c>
      <c r="C160" s="96" t="s">
        <v>33</v>
      </c>
      <c r="D160" s="86" t="s">
        <v>220</v>
      </c>
      <c r="E160" s="84" t="s">
        <v>609</v>
      </c>
      <c r="F160" s="84" t="s">
        <v>610</v>
      </c>
      <c r="G160" s="88"/>
      <c r="H160" s="84" t="s">
        <v>611</v>
      </c>
      <c r="I160" s="96"/>
      <c r="J160" s="96"/>
      <c r="K160" s="96" t="s">
        <v>78</v>
      </c>
      <c r="L160" s="97">
        <v>1</v>
      </c>
      <c r="M160" s="98" t="s">
        <v>94</v>
      </c>
      <c r="N160" s="26" t="s">
        <v>612</v>
      </c>
      <c r="O160" s="96"/>
      <c r="P160" s="96"/>
      <c r="Q160" s="99" t="s">
        <v>64</v>
      </c>
      <c r="R160" s="99"/>
      <c r="S160" s="100" t="s">
        <v>608</v>
      </c>
      <c r="T160" s="101" t="s">
        <v>82</v>
      </c>
      <c r="U160" s="101" t="s">
        <v>107</v>
      </c>
      <c r="V160" s="102" t="s">
        <v>83</v>
      </c>
      <c r="W160" s="103"/>
      <c r="X160" s="104"/>
    </row>
    <row r="161" spans="1:24" ht="15" customHeight="1" thickBot="1" x14ac:dyDescent="0.3">
      <c r="A161" s="84" t="s">
        <v>72</v>
      </c>
      <c r="B161" s="85" t="s">
        <v>114</v>
      </c>
      <c r="C161" s="96" t="s">
        <v>33</v>
      </c>
      <c r="D161" s="86" t="s">
        <v>226</v>
      </c>
      <c r="E161" s="84" t="s">
        <v>13474</v>
      </c>
      <c r="F161" s="84" t="s">
        <v>613</v>
      </c>
      <c r="G161" s="88"/>
      <c r="H161" s="84" t="s">
        <v>614</v>
      </c>
      <c r="I161" s="96"/>
      <c r="J161" s="96"/>
      <c r="K161" s="96" t="s">
        <v>1156</v>
      </c>
      <c r="L161" s="97">
        <v>4</v>
      </c>
      <c r="M161" s="98">
        <v>9999</v>
      </c>
      <c r="O161" s="96" t="s">
        <v>615</v>
      </c>
      <c r="P161" s="96"/>
      <c r="Q161" s="99" t="s">
        <v>144</v>
      </c>
      <c r="R161" s="99"/>
      <c r="S161" s="100" t="s">
        <v>608</v>
      </c>
      <c r="T161" s="101" t="s">
        <v>107</v>
      </c>
      <c r="U161" s="101" t="s">
        <v>82</v>
      </c>
      <c r="V161" s="102" t="s">
        <v>83</v>
      </c>
      <c r="W161" s="103"/>
      <c r="X161" s="104"/>
    </row>
    <row r="162" spans="1:24" ht="15" customHeight="1" thickBot="1" x14ac:dyDescent="0.3">
      <c r="A162" s="84" t="s">
        <v>72</v>
      </c>
      <c r="B162" s="85" t="s">
        <v>114</v>
      </c>
      <c r="C162" s="96" t="s">
        <v>33</v>
      </c>
      <c r="D162" s="86" t="s">
        <v>230</v>
      </c>
      <c r="E162" s="84" t="s">
        <v>616</v>
      </c>
      <c r="F162" s="84" t="s">
        <v>617</v>
      </c>
      <c r="G162" s="88"/>
      <c r="H162" s="84" t="s">
        <v>618</v>
      </c>
      <c r="I162" s="96"/>
      <c r="J162" s="96"/>
      <c r="K162" s="96" t="s">
        <v>78</v>
      </c>
      <c r="L162" s="97">
        <v>2</v>
      </c>
      <c r="M162" s="98" t="s">
        <v>100</v>
      </c>
      <c r="N162" s="26" t="s">
        <v>619</v>
      </c>
      <c r="O162" s="96"/>
      <c r="P162" s="96"/>
      <c r="Q162" s="99" t="s">
        <v>144</v>
      </c>
      <c r="R162" s="99"/>
      <c r="S162" s="100" t="s">
        <v>608</v>
      </c>
      <c r="T162" s="101" t="s">
        <v>107</v>
      </c>
      <c r="U162" s="101" t="s">
        <v>82</v>
      </c>
      <c r="V162" s="102" t="s">
        <v>83</v>
      </c>
      <c r="W162" s="103"/>
      <c r="X162" s="104"/>
    </row>
    <row r="163" spans="1:24" ht="15" customHeight="1" thickBot="1" x14ac:dyDescent="0.3">
      <c r="A163" s="84" t="s">
        <v>72</v>
      </c>
      <c r="B163" s="85" t="s">
        <v>114</v>
      </c>
      <c r="C163" s="96" t="s">
        <v>33</v>
      </c>
      <c r="D163" s="86" t="s">
        <v>240</v>
      </c>
      <c r="E163" s="84" t="s">
        <v>620</v>
      </c>
      <c r="F163" s="84" t="s">
        <v>621</v>
      </c>
      <c r="G163" s="88"/>
      <c r="H163" s="84" t="s">
        <v>622</v>
      </c>
      <c r="I163" s="96"/>
      <c r="J163" s="96"/>
      <c r="K163" s="96" t="s">
        <v>78</v>
      </c>
      <c r="L163" s="97">
        <v>2</v>
      </c>
      <c r="M163" s="98" t="s">
        <v>100</v>
      </c>
      <c r="N163" s="26" t="s">
        <v>623</v>
      </c>
      <c r="O163" s="96"/>
      <c r="P163" s="96"/>
      <c r="Q163" s="99" t="s">
        <v>144</v>
      </c>
      <c r="R163" s="99"/>
      <c r="S163" s="100" t="s">
        <v>608</v>
      </c>
      <c r="T163" s="101" t="s">
        <v>107</v>
      </c>
      <c r="U163" s="101" t="s">
        <v>82</v>
      </c>
      <c r="V163" s="102" t="s">
        <v>83</v>
      </c>
      <c r="W163" s="103"/>
      <c r="X163" s="104"/>
    </row>
    <row r="164" spans="1:24" ht="15" customHeight="1" thickBot="1" x14ac:dyDescent="0.3">
      <c r="A164" s="84" t="s">
        <v>72</v>
      </c>
      <c r="B164" s="85" t="s">
        <v>114</v>
      </c>
      <c r="C164" s="96" t="s">
        <v>33</v>
      </c>
      <c r="D164" s="86" t="s">
        <v>246</v>
      </c>
      <c r="E164" s="84" t="s">
        <v>624</v>
      </c>
      <c r="F164" s="84" t="s">
        <v>625</v>
      </c>
      <c r="G164" s="88"/>
      <c r="H164" s="84" t="s">
        <v>626</v>
      </c>
      <c r="I164" s="96"/>
      <c r="J164" s="96"/>
      <c r="K164" s="96" t="s">
        <v>1156</v>
      </c>
      <c r="L164" s="97">
        <v>4</v>
      </c>
      <c r="M164" s="98">
        <v>9999</v>
      </c>
      <c r="O164" s="96"/>
      <c r="P164" s="96"/>
      <c r="Q164" s="99" t="s">
        <v>144</v>
      </c>
      <c r="R164" s="99"/>
      <c r="S164" s="100" t="s">
        <v>608</v>
      </c>
      <c r="T164" s="101" t="s">
        <v>107</v>
      </c>
      <c r="U164" s="101" t="s">
        <v>82</v>
      </c>
      <c r="V164" s="102" t="s">
        <v>83</v>
      </c>
      <c r="W164" s="103"/>
      <c r="X164" s="104"/>
    </row>
    <row r="165" spans="1:24" ht="15" customHeight="1" thickBot="1" x14ac:dyDescent="0.3">
      <c r="A165" s="84" t="s">
        <v>72</v>
      </c>
      <c r="B165" s="85" t="s">
        <v>114</v>
      </c>
      <c r="C165" s="96" t="s">
        <v>33</v>
      </c>
      <c r="D165" s="86" t="s">
        <v>250</v>
      </c>
      <c r="E165" s="84" t="s">
        <v>627</v>
      </c>
      <c r="F165" s="84" t="s">
        <v>628</v>
      </c>
      <c r="G165" s="88"/>
      <c r="H165" s="84" t="s">
        <v>629</v>
      </c>
      <c r="I165" s="96"/>
      <c r="J165" s="96"/>
      <c r="K165" s="96" t="s">
        <v>78</v>
      </c>
      <c r="L165" s="97">
        <v>3</v>
      </c>
      <c r="M165" s="98" t="s">
        <v>499</v>
      </c>
      <c r="N165" s="26" t="s">
        <v>630</v>
      </c>
      <c r="O165" s="96"/>
      <c r="P165" s="96"/>
      <c r="Q165" s="99" t="s">
        <v>144</v>
      </c>
      <c r="R165" s="99"/>
      <c r="S165" s="100" t="s">
        <v>608</v>
      </c>
      <c r="T165" s="101" t="s">
        <v>107</v>
      </c>
      <c r="U165" s="101" t="s">
        <v>82</v>
      </c>
      <c r="V165" s="102" t="s">
        <v>83</v>
      </c>
      <c r="W165" s="103"/>
      <c r="X165" s="104"/>
    </row>
    <row r="166" spans="1:24" ht="15" customHeight="1" thickBot="1" x14ac:dyDescent="0.3">
      <c r="A166" s="84" t="s">
        <v>72</v>
      </c>
      <c r="B166" s="85" t="s">
        <v>114</v>
      </c>
      <c r="C166" s="96" t="s">
        <v>33</v>
      </c>
      <c r="D166" s="86" t="s">
        <v>254</v>
      </c>
      <c r="E166" s="84" t="s">
        <v>631</v>
      </c>
      <c r="F166" s="84" t="s">
        <v>632</v>
      </c>
      <c r="G166" s="88"/>
      <c r="H166" s="84" t="s">
        <v>633</v>
      </c>
      <c r="I166" s="96"/>
      <c r="J166" s="96"/>
      <c r="K166" s="96" t="s">
        <v>78</v>
      </c>
      <c r="L166" s="97">
        <v>2</v>
      </c>
      <c r="M166" s="98" t="s">
        <v>100</v>
      </c>
      <c r="N166" s="26" t="s">
        <v>619</v>
      </c>
      <c r="O166" s="96"/>
      <c r="P166" s="96"/>
      <c r="Q166" s="99" t="s">
        <v>144</v>
      </c>
      <c r="R166" s="99"/>
      <c r="S166" s="100" t="s">
        <v>608</v>
      </c>
      <c r="T166" s="101" t="s">
        <v>107</v>
      </c>
      <c r="U166" s="101" t="s">
        <v>82</v>
      </c>
      <c r="V166" s="102" t="s">
        <v>83</v>
      </c>
      <c r="W166" s="103"/>
      <c r="X166" s="104"/>
    </row>
    <row r="167" spans="1:24" ht="15" customHeight="1" thickBot="1" x14ac:dyDescent="0.3">
      <c r="A167" s="84" t="s">
        <v>72</v>
      </c>
      <c r="B167" s="85" t="s">
        <v>114</v>
      </c>
      <c r="C167" s="96" t="s">
        <v>33</v>
      </c>
      <c r="D167" s="86" t="s">
        <v>258</v>
      </c>
      <c r="E167" s="84" t="s">
        <v>634</v>
      </c>
      <c r="F167" s="84" t="s">
        <v>635</v>
      </c>
      <c r="G167" s="88"/>
      <c r="H167" s="84" t="s">
        <v>636</v>
      </c>
      <c r="I167" s="96"/>
      <c r="J167" s="96"/>
      <c r="K167" s="96" t="s">
        <v>78</v>
      </c>
      <c r="L167" s="97">
        <v>7</v>
      </c>
      <c r="M167" s="98" t="s">
        <v>637</v>
      </c>
      <c r="N167" s="26" t="s">
        <v>638</v>
      </c>
      <c r="O167" s="96"/>
      <c r="P167" s="96"/>
      <c r="Q167" s="99" t="s">
        <v>144</v>
      </c>
      <c r="R167" s="99"/>
      <c r="S167" s="100" t="s">
        <v>608</v>
      </c>
      <c r="T167" s="101" t="s">
        <v>107</v>
      </c>
      <c r="U167" s="101" t="s">
        <v>82</v>
      </c>
      <c r="V167" s="102" t="s">
        <v>83</v>
      </c>
      <c r="W167" s="103"/>
      <c r="X167" s="104"/>
    </row>
    <row r="168" spans="1:24" ht="15" customHeight="1" thickBot="1" x14ac:dyDescent="0.3">
      <c r="A168" s="84" t="s">
        <v>72</v>
      </c>
      <c r="B168" s="85" t="s">
        <v>114</v>
      </c>
      <c r="C168" s="96" t="s">
        <v>33</v>
      </c>
      <c r="D168" s="86" t="s">
        <v>264</v>
      </c>
      <c r="E168" s="84" t="s">
        <v>639</v>
      </c>
      <c r="F168" s="84" t="s">
        <v>640</v>
      </c>
      <c r="G168" s="88"/>
      <c r="H168" s="84" t="s">
        <v>641</v>
      </c>
      <c r="I168" s="96"/>
      <c r="J168" s="96"/>
      <c r="K168" s="96" t="s">
        <v>78</v>
      </c>
      <c r="L168" s="97">
        <v>7</v>
      </c>
      <c r="M168" s="98" t="s">
        <v>637</v>
      </c>
      <c r="N168" s="26" t="s">
        <v>638</v>
      </c>
      <c r="O168" s="96"/>
      <c r="P168" s="96"/>
      <c r="Q168" s="99" t="s">
        <v>173</v>
      </c>
      <c r="R168" s="99"/>
      <c r="S168" s="100" t="s">
        <v>608</v>
      </c>
      <c r="T168" s="101" t="s">
        <v>107</v>
      </c>
      <c r="U168" s="101" t="s">
        <v>82</v>
      </c>
      <c r="V168" s="102" t="s">
        <v>83</v>
      </c>
      <c r="W168" s="103"/>
      <c r="X168" s="104"/>
    </row>
    <row r="169" spans="1:24" ht="15" customHeight="1" thickBot="1" x14ac:dyDescent="0.3">
      <c r="A169" s="84" t="s">
        <v>72</v>
      </c>
      <c r="B169" s="85" t="s">
        <v>114</v>
      </c>
      <c r="C169" s="96" t="s">
        <v>33</v>
      </c>
      <c r="D169" s="86" t="s">
        <v>269</v>
      </c>
      <c r="E169" s="84" t="s">
        <v>642</v>
      </c>
      <c r="F169" s="84" t="s">
        <v>643</v>
      </c>
      <c r="G169" s="88"/>
      <c r="H169" s="84" t="s">
        <v>644</v>
      </c>
      <c r="I169" s="96"/>
      <c r="J169" s="96"/>
      <c r="K169" s="96" t="s">
        <v>235</v>
      </c>
      <c r="L169" s="97">
        <v>6</v>
      </c>
      <c r="M169" s="98" t="s">
        <v>645</v>
      </c>
      <c r="O169" s="96" t="s">
        <v>237</v>
      </c>
      <c r="P169" s="96" t="s">
        <v>646</v>
      </c>
      <c r="Q169" s="99" t="s">
        <v>144</v>
      </c>
      <c r="R169" s="99"/>
      <c r="S169" s="100" t="s">
        <v>608</v>
      </c>
      <c r="T169" s="101" t="s">
        <v>107</v>
      </c>
      <c r="U169" s="101" t="s">
        <v>82</v>
      </c>
      <c r="V169" s="102" t="s">
        <v>83</v>
      </c>
      <c r="W169" s="103"/>
      <c r="X169" s="104"/>
    </row>
    <row r="170" spans="1:24" ht="15" customHeight="1" thickBot="1" x14ac:dyDescent="0.3">
      <c r="A170" s="84" t="s">
        <v>72</v>
      </c>
      <c r="B170" s="85" t="s">
        <v>114</v>
      </c>
      <c r="C170" s="96" t="s">
        <v>33</v>
      </c>
      <c r="D170" s="86" t="s">
        <v>275</v>
      </c>
      <c r="E170" s="84" t="s">
        <v>647</v>
      </c>
      <c r="F170" s="84" t="s">
        <v>648</v>
      </c>
      <c r="G170" s="88"/>
      <c r="H170" s="84" t="s">
        <v>649</v>
      </c>
      <c r="I170" s="96"/>
      <c r="J170" s="96"/>
      <c r="K170" s="96" t="s">
        <v>78</v>
      </c>
      <c r="L170" s="97">
        <v>2</v>
      </c>
      <c r="M170" s="98" t="s">
        <v>100</v>
      </c>
      <c r="N170" s="26" t="s">
        <v>623</v>
      </c>
      <c r="O170" s="96"/>
      <c r="P170" s="96"/>
      <c r="Q170" s="99" t="s">
        <v>173</v>
      </c>
      <c r="R170" s="99"/>
      <c r="S170" s="100" t="s">
        <v>608</v>
      </c>
      <c r="T170" s="101" t="s">
        <v>107</v>
      </c>
      <c r="U170" s="101" t="s">
        <v>82</v>
      </c>
      <c r="V170" s="102" t="s">
        <v>83</v>
      </c>
      <c r="W170" s="103"/>
      <c r="X170" s="104"/>
    </row>
    <row r="171" spans="1:24" ht="15" customHeight="1" thickBot="1" x14ac:dyDescent="0.3">
      <c r="A171" s="84" t="s">
        <v>72</v>
      </c>
      <c r="B171" s="85" t="s">
        <v>114</v>
      </c>
      <c r="C171" s="96" t="s">
        <v>33</v>
      </c>
      <c r="D171" s="86" t="s">
        <v>280</v>
      </c>
      <c r="E171" s="84" t="s">
        <v>650</v>
      </c>
      <c r="F171" s="84" t="s">
        <v>651</v>
      </c>
      <c r="G171" s="88"/>
      <c r="H171" s="84" t="s">
        <v>652</v>
      </c>
      <c r="I171" s="96"/>
      <c r="J171" s="96"/>
      <c r="K171" s="96" t="s">
        <v>1156</v>
      </c>
      <c r="L171" s="97">
        <v>4</v>
      </c>
      <c r="M171" s="98">
        <v>9999</v>
      </c>
      <c r="O171" s="96"/>
      <c r="P171" s="96"/>
      <c r="Q171" s="99" t="s">
        <v>144</v>
      </c>
      <c r="R171" s="99"/>
      <c r="S171" s="100" t="s">
        <v>608</v>
      </c>
      <c r="T171" s="101" t="s">
        <v>107</v>
      </c>
      <c r="U171" s="101" t="s">
        <v>82</v>
      </c>
      <c r="V171" s="102" t="s">
        <v>83</v>
      </c>
      <c r="W171" s="103"/>
      <c r="X171" s="104"/>
    </row>
    <row r="172" spans="1:24" ht="15" customHeight="1" thickBot="1" x14ac:dyDescent="0.3">
      <c r="A172" s="84" t="s">
        <v>72</v>
      </c>
      <c r="B172" s="85" t="s">
        <v>114</v>
      </c>
      <c r="C172" s="96" t="s">
        <v>33</v>
      </c>
      <c r="D172" s="86" t="s">
        <v>284</v>
      </c>
      <c r="E172" s="84" t="s">
        <v>653</v>
      </c>
      <c r="F172" s="84" t="s">
        <v>654</v>
      </c>
      <c r="G172" s="88"/>
      <c r="H172" s="84" t="s">
        <v>655</v>
      </c>
      <c r="I172" s="96"/>
      <c r="J172" s="96"/>
      <c r="K172" s="96" t="s">
        <v>78</v>
      </c>
      <c r="L172" s="97">
        <v>3</v>
      </c>
      <c r="M172" s="98" t="s">
        <v>499</v>
      </c>
      <c r="N172" s="26" t="s">
        <v>630</v>
      </c>
      <c r="O172" s="96"/>
      <c r="P172" s="96"/>
      <c r="Q172" s="99" t="s">
        <v>144</v>
      </c>
      <c r="R172" s="99"/>
      <c r="S172" s="100" t="s">
        <v>608</v>
      </c>
      <c r="T172" s="101" t="s">
        <v>107</v>
      </c>
      <c r="U172" s="101" t="s">
        <v>82</v>
      </c>
      <c r="V172" s="102" t="s">
        <v>83</v>
      </c>
      <c r="W172" s="103"/>
      <c r="X172" s="104"/>
    </row>
    <row r="173" spans="1:24" ht="15" customHeight="1" thickBot="1" x14ac:dyDescent="0.3">
      <c r="A173" s="84" t="s">
        <v>72</v>
      </c>
      <c r="B173" s="85" t="s">
        <v>114</v>
      </c>
      <c r="C173" s="96" t="s">
        <v>33</v>
      </c>
      <c r="D173" s="86" t="s">
        <v>289</v>
      </c>
      <c r="E173" s="84" t="s">
        <v>656</v>
      </c>
      <c r="F173" s="84" t="s">
        <v>657</v>
      </c>
      <c r="G173" s="88"/>
      <c r="H173" s="84" t="s">
        <v>658</v>
      </c>
      <c r="I173" s="96"/>
      <c r="J173" s="96"/>
      <c r="K173" s="96" t="s">
        <v>78</v>
      </c>
      <c r="L173" s="97">
        <v>2</v>
      </c>
      <c r="M173" s="98" t="s">
        <v>100</v>
      </c>
      <c r="N173" s="26" t="s">
        <v>619</v>
      </c>
      <c r="O173" s="96"/>
      <c r="P173" s="96"/>
      <c r="Q173" s="99" t="s">
        <v>144</v>
      </c>
      <c r="R173" s="99"/>
      <c r="S173" s="100" t="s">
        <v>608</v>
      </c>
      <c r="T173" s="101" t="s">
        <v>107</v>
      </c>
      <c r="U173" s="101" t="s">
        <v>82</v>
      </c>
      <c r="V173" s="102" t="s">
        <v>83</v>
      </c>
      <c r="W173" s="103"/>
      <c r="X173" s="104"/>
    </row>
    <row r="174" spans="1:24" ht="15" customHeight="1" thickBot="1" x14ac:dyDescent="0.3">
      <c r="A174" s="84" t="s">
        <v>72</v>
      </c>
      <c r="B174" s="85" t="s">
        <v>114</v>
      </c>
      <c r="C174" s="96" t="s">
        <v>33</v>
      </c>
      <c r="D174" s="86" t="s">
        <v>293</v>
      </c>
      <c r="E174" s="84" t="s">
        <v>659</v>
      </c>
      <c r="F174" s="84" t="s">
        <v>660</v>
      </c>
      <c r="G174" s="88"/>
      <c r="H174" s="84" t="s">
        <v>661</v>
      </c>
      <c r="I174" s="96"/>
      <c r="J174" s="96"/>
      <c r="K174" s="96" t="s">
        <v>78</v>
      </c>
      <c r="L174" s="97">
        <v>7</v>
      </c>
      <c r="M174" s="98" t="s">
        <v>637</v>
      </c>
      <c r="N174" s="26" t="s">
        <v>638</v>
      </c>
      <c r="O174" s="96"/>
      <c r="P174" s="96"/>
      <c r="Q174" s="99" t="s">
        <v>144</v>
      </c>
      <c r="R174" s="99"/>
      <c r="S174" s="100" t="s">
        <v>608</v>
      </c>
      <c r="T174" s="101" t="s">
        <v>107</v>
      </c>
      <c r="U174" s="101" t="s">
        <v>82</v>
      </c>
      <c r="V174" s="102" t="s">
        <v>83</v>
      </c>
      <c r="W174" s="103"/>
      <c r="X174" s="104"/>
    </row>
    <row r="175" spans="1:24" ht="15" customHeight="1" thickBot="1" x14ac:dyDescent="0.3">
      <c r="A175" s="84" t="s">
        <v>72</v>
      </c>
      <c r="B175" s="85" t="s">
        <v>114</v>
      </c>
      <c r="C175" s="96" t="s">
        <v>33</v>
      </c>
      <c r="D175" s="86" t="s">
        <v>297</v>
      </c>
      <c r="E175" s="84" t="s">
        <v>662</v>
      </c>
      <c r="F175" s="84" t="s">
        <v>663</v>
      </c>
      <c r="G175" s="88"/>
      <c r="H175" s="84" t="s">
        <v>664</v>
      </c>
      <c r="I175" s="96"/>
      <c r="J175" s="96"/>
      <c r="K175" s="96" t="s">
        <v>78</v>
      </c>
      <c r="L175" s="97">
        <v>7</v>
      </c>
      <c r="M175" s="98" t="s">
        <v>637</v>
      </c>
      <c r="N175" s="26" t="s">
        <v>638</v>
      </c>
      <c r="O175" s="96"/>
      <c r="P175" s="96"/>
      <c r="Q175" s="99" t="s">
        <v>173</v>
      </c>
      <c r="R175" s="99"/>
      <c r="S175" s="100" t="s">
        <v>608</v>
      </c>
      <c r="T175" s="101" t="s">
        <v>107</v>
      </c>
      <c r="U175" s="101" t="s">
        <v>82</v>
      </c>
      <c r="V175" s="102" t="s">
        <v>83</v>
      </c>
      <c r="W175" s="103"/>
      <c r="X175" s="104"/>
    </row>
    <row r="176" spans="1:24" ht="15" customHeight="1" thickBot="1" x14ac:dyDescent="0.3">
      <c r="A176" s="84" t="s">
        <v>72</v>
      </c>
      <c r="B176" s="85" t="s">
        <v>114</v>
      </c>
      <c r="C176" s="96" t="s">
        <v>33</v>
      </c>
      <c r="D176" s="86" t="s">
        <v>301</v>
      </c>
      <c r="E176" s="84" t="s">
        <v>665</v>
      </c>
      <c r="F176" s="84" t="s">
        <v>666</v>
      </c>
      <c r="G176" s="88"/>
      <c r="H176" s="84" t="s">
        <v>667</v>
      </c>
      <c r="I176" s="96"/>
      <c r="J176" s="96"/>
      <c r="K176" s="96" t="s">
        <v>78</v>
      </c>
      <c r="L176" s="97">
        <v>2</v>
      </c>
      <c r="M176" s="98" t="s">
        <v>100</v>
      </c>
      <c r="N176" s="26" t="s">
        <v>623</v>
      </c>
      <c r="O176" s="96"/>
      <c r="P176" s="96"/>
      <c r="Q176" s="99" t="s">
        <v>173</v>
      </c>
      <c r="R176" s="99"/>
      <c r="S176" s="100" t="s">
        <v>608</v>
      </c>
      <c r="T176" s="101" t="s">
        <v>107</v>
      </c>
      <c r="U176" s="101" t="s">
        <v>82</v>
      </c>
      <c r="V176" s="102" t="s">
        <v>83</v>
      </c>
      <c r="W176" s="103"/>
      <c r="X176" s="104"/>
    </row>
    <row r="177" spans="1:24" ht="15" customHeight="1" thickBot="1" x14ac:dyDescent="0.3">
      <c r="A177" s="84" t="s">
        <v>72</v>
      </c>
      <c r="B177" s="85" t="s">
        <v>114</v>
      </c>
      <c r="C177" s="96" t="s">
        <v>33</v>
      </c>
      <c r="D177" s="86" t="s">
        <v>308</v>
      </c>
      <c r="E177" s="84" t="s">
        <v>668</v>
      </c>
      <c r="F177" s="84" t="s">
        <v>669</v>
      </c>
      <c r="G177" s="88"/>
      <c r="H177" s="84" t="s">
        <v>670</v>
      </c>
      <c r="I177" s="96"/>
      <c r="J177" s="96"/>
      <c r="K177" s="96" t="s">
        <v>1156</v>
      </c>
      <c r="L177" s="97">
        <v>4</v>
      </c>
      <c r="M177" s="98">
        <v>9999</v>
      </c>
      <c r="O177" s="96"/>
      <c r="P177" s="96"/>
      <c r="Q177" s="99" t="s">
        <v>144</v>
      </c>
      <c r="R177" s="99"/>
      <c r="S177" s="100" t="s">
        <v>608</v>
      </c>
      <c r="T177" s="101" t="s">
        <v>107</v>
      </c>
      <c r="U177" s="101" t="s">
        <v>82</v>
      </c>
      <c r="V177" s="102" t="s">
        <v>83</v>
      </c>
      <c r="W177" s="103"/>
      <c r="X177" s="104"/>
    </row>
    <row r="178" spans="1:24" ht="15" customHeight="1" thickBot="1" x14ac:dyDescent="0.3">
      <c r="A178" s="84" t="s">
        <v>72</v>
      </c>
      <c r="B178" s="85" t="s">
        <v>114</v>
      </c>
      <c r="C178" s="96" t="s">
        <v>33</v>
      </c>
      <c r="D178" s="86" t="s">
        <v>312</v>
      </c>
      <c r="E178" s="84" t="s">
        <v>671</v>
      </c>
      <c r="F178" s="84" t="s">
        <v>672</v>
      </c>
      <c r="G178" s="88"/>
      <c r="H178" s="84" t="s">
        <v>673</v>
      </c>
      <c r="I178" s="96"/>
      <c r="J178" s="96"/>
      <c r="K178" s="96" t="s">
        <v>78</v>
      </c>
      <c r="L178" s="97">
        <v>3</v>
      </c>
      <c r="M178" s="98" t="s">
        <v>499</v>
      </c>
      <c r="N178" s="26" t="s">
        <v>630</v>
      </c>
      <c r="O178" s="96"/>
      <c r="P178" s="96"/>
      <c r="Q178" s="99" t="s">
        <v>144</v>
      </c>
      <c r="R178" s="99"/>
      <c r="S178" s="100" t="s">
        <v>608</v>
      </c>
      <c r="T178" s="101" t="s">
        <v>107</v>
      </c>
      <c r="U178" s="101" t="s">
        <v>82</v>
      </c>
      <c r="V178" s="102" t="s">
        <v>83</v>
      </c>
      <c r="W178" s="103"/>
      <c r="X178" s="104"/>
    </row>
    <row r="179" spans="1:24" ht="15" customHeight="1" thickBot="1" x14ac:dyDescent="0.3">
      <c r="A179" s="84" t="s">
        <v>72</v>
      </c>
      <c r="B179" s="85" t="s">
        <v>114</v>
      </c>
      <c r="C179" s="96" t="s">
        <v>33</v>
      </c>
      <c r="D179" s="86" t="s">
        <v>317</v>
      </c>
      <c r="E179" s="84" t="s">
        <v>674</v>
      </c>
      <c r="F179" s="84" t="s">
        <v>675</v>
      </c>
      <c r="G179" s="88"/>
      <c r="H179" s="84" t="s">
        <v>676</v>
      </c>
      <c r="I179" s="96"/>
      <c r="J179" s="96"/>
      <c r="K179" s="96" t="s">
        <v>78</v>
      </c>
      <c r="L179" s="97">
        <v>2</v>
      </c>
      <c r="M179" s="98" t="s">
        <v>100</v>
      </c>
      <c r="N179" s="26" t="s">
        <v>619</v>
      </c>
      <c r="O179" s="96"/>
      <c r="P179" s="96"/>
      <c r="Q179" s="99" t="s">
        <v>144</v>
      </c>
      <c r="R179" s="99"/>
      <c r="S179" s="100" t="s">
        <v>608</v>
      </c>
      <c r="T179" s="101" t="s">
        <v>107</v>
      </c>
      <c r="U179" s="101" t="s">
        <v>82</v>
      </c>
      <c r="V179" s="102" t="s">
        <v>83</v>
      </c>
      <c r="W179" s="103"/>
      <c r="X179" s="104"/>
    </row>
    <row r="180" spans="1:24" ht="15" customHeight="1" thickBot="1" x14ac:dyDescent="0.3">
      <c r="A180" s="84" t="s">
        <v>72</v>
      </c>
      <c r="B180" s="85" t="s">
        <v>114</v>
      </c>
      <c r="C180" s="96" t="s">
        <v>33</v>
      </c>
      <c r="D180" s="86" t="s">
        <v>321</v>
      </c>
      <c r="E180" s="84" t="s">
        <v>677</v>
      </c>
      <c r="F180" s="84" t="s">
        <v>678</v>
      </c>
      <c r="G180" s="88"/>
      <c r="H180" s="84" t="s">
        <v>679</v>
      </c>
      <c r="I180" s="96"/>
      <c r="J180" s="96"/>
      <c r="K180" s="96" t="s">
        <v>78</v>
      </c>
      <c r="L180" s="97">
        <v>7</v>
      </c>
      <c r="M180" s="98" t="s">
        <v>637</v>
      </c>
      <c r="N180" s="26" t="s">
        <v>638</v>
      </c>
      <c r="O180" s="96"/>
      <c r="P180" s="96"/>
      <c r="Q180" s="99" t="s">
        <v>144</v>
      </c>
      <c r="R180" s="99"/>
      <c r="S180" s="100" t="s">
        <v>608</v>
      </c>
      <c r="T180" s="101" t="s">
        <v>107</v>
      </c>
      <c r="U180" s="101" t="s">
        <v>82</v>
      </c>
      <c r="V180" s="102" t="s">
        <v>83</v>
      </c>
      <c r="W180" s="103"/>
      <c r="X180" s="104"/>
    </row>
    <row r="181" spans="1:24" ht="15" customHeight="1" thickBot="1" x14ac:dyDescent="0.3">
      <c r="A181" s="84" t="s">
        <v>72</v>
      </c>
      <c r="B181" s="85" t="s">
        <v>114</v>
      </c>
      <c r="C181" s="96" t="s">
        <v>33</v>
      </c>
      <c r="D181" s="86" t="s">
        <v>326</v>
      </c>
      <c r="E181" s="84" t="s">
        <v>680</v>
      </c>
      <c r="F181" s="84" t="s">
        <v>681</v>
      </c>
      <c r="G181" s="88"/>
      <c r="H181" s="84" t="s">
        <v>682</v>
      </c>
      <c r="I181" s="96"/>
      <c r="J181" s="96"/>
      <c r="K181" s="96" t="s">
        <v>78</v>
      </c>
      <c r="L181" s="97">
        <v>7</v>
      </c>
      <c r="M181" s="98" t="s">
        <v>637</v>
      </c>
      <c r="N181" s="26" t="s">
        <v>638</v>
      </c>
      <c r="O181" s="96"/>
      <c r="P181" s="96"/>
      <c r="Q181" s="99" t="s">
        <v>173</v>
      </c>
      <c r="R181" s="99"/>
      <c r="S181" s="100" t="s">
        <v>608</v>
      </c>
      <c r="T181" s="101" t="s">
        <v>107</v>
      </c>
      <c r="U181" s="101" t="s">
        <v>82</v>
      </c>
      <c r="V181" s="102" t="s">
        <v>83</v>
      </c>
      <c r="W181" s="103"/>
      <c r="X181" s="104"/>
    </row>
    <row r="182" spans="1:24" ht="15" customHeight="1" thickBot="1" x14ac:dyDescent="0.3">
      <c r="A182" s="84" t="s">
        <v>72</v>
      </c>
      <c r="B182" s="85" t="s">
        <v>114</v>
      </c>
      <c r="C182" s="96" t="s">
        <v>33</v>
      </c>
      <c r="D182" s="86" t="s">
        <v>331</v>
      </c>
      <c r="E182" s="84" t="s">
        <v>683</v>
      </c>
      <c r="F182" s="84" t="s">
        <v>684</v>
      </c>
      <c r="G182" s="88"/>
      <c r="H182" s="84" t="s">
        <v>685</v>
      </c>
      <c r="I182" s="96"/>
      <c r="J182" s="96"/>
      <c r="K182" s="96" t="s">
        <v>78</v>
      </c>
      <c r="L182" s="97">
        <v>2</v>
      </c>
      <c r="M182" s="98" t="s">
        <v>100</v>
      </c>
      <c r="N182" s="26" t="s">
        <v>623</v>
      </c>
      <c r="O182" s="96"/>
      <c r="P182" s="96"/>
      <c r="Q182" s="99" t="s">
        <v>173</v>
      </c>
      <c r="R182" s="99"/>
      <c r="S182" s="100" t="s">
        <v>608</v>
      </c>
      <c r="T182" s="101" t="s">
        <v>107</v>
      </c>
      <c r="U182" s="101" t="s">
        <v>82</v>
      </c>
      <c r="V182" s="102" t="s">
        <v>83</v>
      </c>
      <c r="W182" s="103"/>
      <c r="X182" s="104"/>
    </row>
    <row r="183" spans="1:24" ht="15" customHeight="1" thickBot="1" x14ac:dyDescent="0.3">
      <c r="A183" s="84" t="s">
        <v>72</v>
      </c>
      <c r="B183" s="85" t="s">
        <v>114</v>
      </c>
      <c r="C183" s="96" t="s">
        <v>33</v>
      </c>
      <c r="D183" s="86" t="s">
        <v>336</v>
      </c>
      <c r="E183" s="84" t="s">
        <v>686</v>
      </c>
      <c r="F183" s="84" t="s">
        <v>687</v>
      </c>
      <c r="G183" s="88"/>
      <c r="H183" s="84" t="s">
        <v>688</v>
      </c>
      <c r="I183" s="96"/>
      <c r="J183" s="96"/>
      <c r="K183" s="96" t="s">
        <v>1156</v>
      </c>
      <c r="L183" s="97">
        <v>4</v>
      </c>
      <c r="M183" s="98">
        <v>9999</v>
      </c>
      <c r="O183" s="96"/>
      <c r="P183" s="96"/>
      <c r="Q183" s="99" t="s">
        <v>144</v>
      </c>
      <c r="R183" s="99"/>
      <c r="S183" s="100" t="s">
        <v>608</v>
      </c>
      <c r="T183" s="101" t="s">
        <v>107</v>
      </c>
      <c r="U183" s="101" t="s">
        <v>82</v>
      </c>
      <c r="V183" s="102" t="s">
        <v>83</v>
      </c>
      <c r="W183" s="103"/>
      <c r="X183" s="104"/>
    </row>
    <row r="184" spans="1:24" ht="15" customHeight="1" thickBot="1" x14ac:dyDescent="0.3">
      <c r="A184" s="84" t="s">
        <v>72</v>
      </c>
      <c r="B184" s="85" t="s">
        <v>114</v>
      </c>
      <c r="C184" s="96" t="s">
        <v>33</v>
      </c>
      <c r="D184" s="86" t="s">
        <v>340</v>
      </c>
      <c r="E184" s="84" t="s">
        <v>689</v>
      </c>
      <c r="F184" s="84" t="s">
        <v>690</v>
      </c>
      <c r="G184" s="88"/>
      <c r="H184" s="84" t="s">
        <v>691</v>
      </c>
      <c r="I184" s="96"/>
      <c r="J184" s="96"/>
      <c r="K184" s="96" t="s">
        <v>78</v>
      </c>
      <c r="L184" s="97">
        <v>3</v>
      </c>
      <c r="M184" s="98" t="s">
        <v>499</v>
      </c>
      <c r="N184" s="26" t="s">
        <v>630</v>
      </c>
      <c r="O184" s="96"/>
      <c r="P184" s="96"/>
      <c r="Q184" s="99" t="s">
        <v>173</v>
      </c>
      <c r="R184" s="99"/>
      <c r="S184" s="100" t="s">
        <v>608</v>
      </c>
      <c r="T184" s="101" t="s">
        <v>107</v>
      </c>
      <c r="U184" s="101" t="s">
        <v>82</v>
      </c>
      <c r="V184" s="102" t="s">
        <v>83</v>
      </c>
      <c r="W184" s="103"/>
      <c r="X184" s="104"/>
    </row>
    <row r="185" spans="1:24" ht="15" customHeight="1" thickBot="1" x14ac:dyDescent="0.3">
      <c r="A185" s="84" t="s">
        <v>72</v>
      </c>
      <c r="B185" s="85" t="s">
        <v>114</v>
      </c>
      <c r="C185" s="96" t="s">
        <v>33</v>
      </c>
      <c r="D185" s="86" t="s">
        <v>344</v>
      </c>
      <c r="E185" s="84" t="s">
        <v>692</v>
      </c>
      <c r="F185" s="84" t="s">
        <v>693</v>
      </c>
      <c r="G185" s="88"/>
      <c r="H185" s="84" t="s">
        <v>694</v>
      </c>
      <c r="I185" s="96"/>
      <c r="J185" s="96"/>
      <c r="K185" s="96" t="s">
        <v>78</v>
      </c>
      <c r="L185" s="97">
        <v>2</v>
      </c>
      <c r="M185" s="98" t="s">
        <v>100</v>
      </c>
      <c r="N185" s="26" t="s">
        <v>619</v>
      </c>
      <c r="O185" s="96"/>
      <c r="P185" s="96"/>
      <c r="Q185" s="99" t="s">
        <v>144</v>
      </c>
      <c r="R185" s="99"/>
      <c r="S185" s="100" t="s">
        <v>608</v>
      </c>
      <c r="T185" s="101" t="s">
        <v>107</v>
      </c>
      <c r="U185" s="101" t="s">
        <v>82</v>
      </c>
      <c r="V185" s="102" t="s">
        <v>83</v>
      </c>
      <c r="W185" s="103"/>
      <c r="X185" s="104"/>
    </row>
    <row r="186" spans="1:24" ht="15" customHeight="1" thickBot="1" x14ac:dyDescent="0.3">
      <c r="A186" s="84" t="s">
        <v>72</v>
      </c>
      <c r="B186" s="85" t="s">
        <v>114</v>
      </c>
      <c r="C186" s="96" t="s">
        <v>33</v>
      </c>
      <c r="D186" s="86" t="s">
        <v>348</v>
      </c>
      <c r="E186" s="84" t="s">
        <v>695</v>
      </c>
      <c r="F186" s="84" t="s">
        <v>696</v>
      </c>
      <c r="G186" s="88"/>
      <c r="H186" s="84" t="s">
        <v>697</v>
      </c>
      <c r="I186" s="96"/>
      <c r="J186" s="96"/>
      <c r="K186" s="96" t="s">
        <v>78</v>
      </c>
      <c r="L186" s="97">
        <v>7</v>
      </c>
      <c r="M186" s="98" t="s">
        <v>637</v>
      </c>
      <c r="N186" s="26" t="s">
        <v>638</v>
      </c>
      <c r="O186" s="96"/>
      <c r="P186" s="96"/>
      <c r="Q186" s="99" t="s">
        <v>173</v>
      </c>
      <c r="R186" s="99"/>
      <c r="S186" s="100" t="s">
        <v>608</v>
      </c>
      <c r="T186" s="101" t="s">
        <v>107</v>
      </c>
      <c r="U186" s="101" t="s">
        <v>82</v>
      </c>
      <c r="V186" s="102" t="s">
        <v>83</v>
      </c>
      <c r="W186" s="103"/>
      <c r="X186" s="104"/>
    </row>
    <row r="187" spans="1:24" ht="15" customHeight="1" thickBot="1" x14ac:dyDescent="0.3">
      <c r="A187" s="84" t="s">
        <v>72</v>
      </c>
      <c r="B187" s="85" t="s">
        <v>114</v>
      </c>
      <c r="C187" s="96" t="s">
        <v>33</v>
      </c>
      <c r="D187" s="86" t="s">
        <v>352</v>
      </c>
      <c r="E187" s="84" t="s">
        <v>698</v>
      </c>
      <c r="F187" s="84" t="s">
        <v>699</v>
      </c>
      <c r="G187" s="88"/>
      <c r="H187" s="84" t="s">
        <v>700</v>
      </c>
      <c r="I187" s="96"/>
      <c r="J187" s="96"/>
      <c r="K187" s="96" t="s">
        <v>78</v>
      </c>
      <c r="L187" s="97">
        <v>7</v>
      </c>
      <c r="M187" s="98" t="s">
        <v>637</v>
      </c>
      <c r="N187" s="26" t="s">
        <v>638</v>
      </c>
      <c r="O187" s="96"/>
      <c r="P187" s="96"/>
      <c r="Q187" s="99" t="s">
        <v>173</v>
      </c>
      <c r="R187" s="99"/>
      <c r="S187" s="100" t="s">
        <v>608</v>
      </c>
      <c r="T187" s="101" t="s">
        <v>107</v>
      </c>
      <c r="U187" s="101" t="s">
        <v>82</v>
      </c>
      <c r="V187" s="102" t="s">
        <v>83</v>
      </c>
      <c r="W187" s="103"/>
      <c r="X187" s="104"/>
    </row>
    <row r="188" spans="1:24" ht="15" customHeight="1" thickBot="1" x14ac:dyDescent="0.3">
      <c r="A188" s="84" t="s">
        <v>72</v>
      </c>
      <c r="B188" s="85" t="s">
        <v>114</v>
      </c>
      <c r="C188" s="96" t="s">
        <v>33</v>
      </c>
      <c r="D188" s="86" t="s">
        <v>357</v>
      </c>
      <c r="E188" s="84" t="s">
        <v>701</v>
      </c>
      <c r="F188" s="84" t="s">
        <v>702</v>
      </c>
      <c r="G188" s="88"/>
      <c r="H188" s="84" t="s">
        <v>703</v>
      </c>
      <c r="I188" s="96"/>
      <c r="J188" s="96"/>
      <c r="K188" s="96" t="s">
        <v>78</v>
      </c>
      <c r="L188" s="97">
        <v>2</v>
      </c>
      <c r="M188" s="98" t="s">
        <v>100</v>
      </c>
      <c r="N188" s="26" t="s">
        <v>623</v>
      </c>
      <c r="O188" s="96"/>
      <c r="P188" s="96"/>
      <c r="Q188" s="99" t="s">
        <v>173</v>
      </c>
      <c r="R188" s="99"/>
      <c r="S188" s="100" t="s">
        <v>608</v>
      </c>
      <c r="T188" s="101" t="s">
        <v>107</v>
      </c>
      <c r="U188" s="101" t="s">
        <v>82</v>
      </c>
      <c r="V188" s="102" t="s">
        <v>83</v>
      </c>
      <c r="W188" s="103"/>
      <c r="X188" s="104"/>
    </row>
    <row r="189" spans="1:24" ht="15" customHeight="1" thickBot="1" x14ac:dyDescent="0.3">
      <c r="A189" s="84" t="s">
        <v>72</v>
      </c>
      <c r="B189" s="85" t="s">
        <v>114</v>
      </c>
      <c r="C189" s="96" t="s">
        <v>33</v>
      </c>
      <c r="D189" s="86" t="s">
        <v>362</v>
      </c>
      <c r="E189" s="84" t="s">
        <v>704</v>
      </c>
      <c r="F189" s="84" t="s">
        <v>705</v>
      </c>
      <c r="G189" s="88"/>
      <c r="H189" s="84" t="s">
        <v>706</v>
      </c>
      <c r="I189" s="96"/>
      <c r="J189" s="96"/>
      <c r="K189" s="96" t="s">
        <v>1156</v>
      </c>
      <c r="L189" s="97">
        <v>4</v>
      </c>
      <c r="M189" s="98">
        <v>9999</v>
      </c>
      <c r="O189" s="96"/>
      <c r="P189" s="96"/>
      <c r="Q189" s="99" t="s">
        <v>144</v>
      </c>
      <c r="R189" s="99"/>
      <c r="S189" s="100" t="s">
        <v>608</v>
      </c>
      <c r="T189" s="101" t="s">
        <v>107</v>
      </c>
      <c r="U189" s="101" t="s">
        <v>82</v>
      </c>
      <c r="V189" s="102" t="s">
        <v>83</v>
      </c>
      <c r="W189" s="103"/>
      <c r="X189" s="104"/>
    </row>
    <row r="190" spans="1:24" ht="15" customHeight="1" thickBot="1" x14ac:dyDescent="0.3">
      <c r="A190" s="84" t="s">
        <v>72</v>
      </c>
      <c r="B190" s="85" t="s">
        <v>114</v>
      </c>
      <c r="C190" s="96" t="s">
        <v>33</v>
      </c>
      <c r="D190" s="86" t="s">
        <v>366</v>
      </c>
      <c r="E190" s="84" t="s">
        <v>707</v>
      </c>
      <c r="F190" s="84" t="s">
        <v>708</v>
      </c>
      <c r="G190" s="88"/>
      <c r="H190" s="84" t="s">
        <v>709</v>
      </c>
      <c r="I190" s="96"/>
      <c r="J190" s="96"/>
      <c r="K190" s="96" t="s">
        <v>78</v>
      </c>
      <c r="L190" s="97">
        <v>3</v>
      </c>
      <c r="M190" s="98" t="s">
        <v>499</v>
      </c>
      <c r="N190" s="26" t="s">
        <v>630</v>
      </c>
      <c r="O190" s="96"/>
      <c r="P190" s="96"/>
      <c r="Q190" s="99" t="s">
        <v>144</v>
      </c>
      <c r="R190" s="99"/>
      <c r="S190" s="100" t="s">
        <v>608</v>
      </c>
      <c r="T190" s="101" t="s">
        <v>107</v>
      </c>
      <c r="U190" s="101" t="s">
        <v>82</v>
      </c>
      <c r="V190" s="102" t="s">
        <v>83</v>
      </c>
      <c r="W190" s="103"/>
      <c r="X190" s="104"/>
    </row>
    <row r="191" spans="1:24" ht="15" customHeight="1" thickBot="1" x14ac:dyDescent="0.3">
      <c r="A191" s="84" t="s">
        <v>72</v>
      </c>
      <c r="B191" s="85" t="s">
        <v>114</v>
      </c>
      <c r="C191" s="96" t="s">
        <v>33</v>
      </c>
      <c r="D191" s="86" t="s">
        <v>370</v>
      </c>
      <c r="E191" s="84" t="s">
        <v>710</v>
      </c>
      <c r="F191" s="84" t="s">
        <v>711</v>
      </c>
      <c r="G191" s="88"/>
      <c r="H191" s="84" t="s">
        <v>712</v>
      </c>
      <c r="I191" s="96"/>
      <c r="J191" s="96"/>
      <c r="K191" s="96" t="s">
        <v>78</v>
      </c>
      <c r="L191" s="97">
        <v>2</v>
      </c>
      <c r="M191" s="98" t="s">
        <v>100</v>
      </c>
      <c r="N191" s="26" t="s">
        <v>619</v>
      </c>
      <c r="O191" s="96"/>
      <c r="P191" s="96"/>
      <c r="Q191" s="99" t="s">
        <v>144</v>
      </c>
      <c r="R191" s="99"/>
      <c r="S191" s="100" t="s">
        <v>608</v>
      </c>
      <c r="T191" s="101" t="s">
        <v>107</v>
      </c>
      <c r="U191" s="101" t="s">
        <v>82</v>
      </c>
      <c r="V191" s="102" t="s">
        <v>83</v>
      </c>
      <c r="W191" s="103"/>
      <c r="X191" s="104"/>
    </row>
    <row r="192" spans="1:24" ht="15" customHeight="1" thickBot="1" x14ac:dyDescent="0.3">
      <c r="A192" s="84" t="s">
        <v>72</v>
      </c>
      <c r="B192" s="85" t="s">
        <v>114</v>
      </c>
      <c r="C192" s="96" t="s">
        <v>33</v>
      </c>
      <c r="D192" s="86" t="s">
        <v>374</v>
      </c>
      <c r="E192" s="84" t="s">
        <v>713</v>
      </c>
      <c r="F192" s="84" t="s">
        <v>714</v>
      </c>
      <c r="G192" s="88"/>
      <c r="H192" s="84" t="s">
        <v>715</v>
      </c>
      <c r="I192" s="96"/>
      <c r="J192" s="96"/>
      <c r="K192" s="96" t="s">
        <v>78</v>
      </c>
      <c r="L192" s="97">
        <v>7</v>
      </c>
      <c r="M192" s="98" t="s">
        <v>637</v>
      </c>
      <c r="N192" s="26" t="s">
        <v>638</v>
      </c>
      <c r="O192" s="96"/>
      <c r="P192" s="96"/>
      <c r="Q192" s="99" t="s">
        <v>144</v>
      </c>
      <c r="R192" s="99"/>
      <c r="S192" s="100" t="s">
        <v>608</v>
      </c>
      <c r="T192" s="101" t="s">
        <v>107</v>
      </c>
      <c r="U192" s="101" t="s">
        <v>82</v>
      </c>
      <c r="V192" s="102" t="s">
        <v>83</v>
      </c>
      <c r="W192" s="103"/>
      <c r="X192" s="104"/>
    </row>
    <row r="193" spans="1:24" ht="15" customHeight="1" thickBot="1" x14ac:dyDescent="0.3">
      <c r="A193" s="84" t="s">
        <v>72</v>
      </c>
      <c r="B193" s="85" t="s">
        <v>114</v>
      </c>
      <c r="C193" s="96" t="s">
        <v>33</v>
      </c>
      <c r="D193" s="86" t="s">
        <v>379</v>
      </c>
      <c r="E193" s="84" t="s">
        <v>716</v>
      </c>
      <c r="F193" s="84" t="s">
        <v>717</v>
      </c>
      <c r="G193" s="88"/>
      <c r="H193" s="84" t="s">
        <v>718</v>
      </c>
      <c r="I193" s="96"/>
      <c r="J193" s="96"/>
      <c r="K193" s="96" t="s">
        <v>78</v>
      </c>
      <c r="L193" s="97">
        <v>7</v>
      </c>
      <c r="M193" s="98" t="s">
        <v>637</v>
      </c>
      <c r="N193" s="26" t="s">
        <v>638</v>
      </c>
      <c r="O193" s="96"/>
      <c r="P193" s="96"/>
      <c r="Q193" s="99" t="s">
        <v>173</v>
      </c>
      <c r="R193" s="99"/>
      <c r="S193" s="100" t="s">
        <v>608</v>
      </c>
      <c r="T193" s="101"/>
      <c r="U193" s="101" t="s">
        <v>82</v>
      </c>
      <c r="V193" s="102" t="s">
        <v>83</v>
      </c>
      <c r="W193" s="103"/>
      <c r="X193" s="104"/>
    </row>
    <row r="194" spans="1:24" ht="15" customHeight="1" thickBot="1" x14ac:dyDescent="0.3">
      <c r="A194" s="84" t="s">
        <v>72</v>
      </c>
      <c r="B194" s="85" t="s">
        <v>114</v>
      </c>
      <c r="C194" s="96" t="s">
        <v>33</v>
      </c>
      <c r="D194" s="86" t="s">
        <v>383</v>
      </c>
      <c r="E194" s="84" t="s">
        <v>719</v>
      </c>
      <c r="F194" s="84" t="s">
        <v>720</v>
      </c>
      <c r="G194" s="88"/>
      <c r="H194" s="84" t="s">
        <v>721</v>
      </c>
      <c r="I194" s="96"/>
      <c r="J194" s="96"/>
      <c r="K194" s="84" t="s">
        <v>1181</v>
      </c>
      <c r="L194" s="97">
        <v>4</v>
      </c>
      <c r="M194" s="98" t="s">
        <v>135</v>
      </c>
      <c r="O194" s="96" t="s">
        <v>615</v>
      </c>
      <c r="P194" s="96" t="s">
        <v>274</v>
      </c>
      <c r="Q194" s="99" t="s">
        <v>144</v>
      </c>
      <c r="R194" s="99"/>
      <c r="S194" s="100" t="s">
        <v>257</v>
      </c>
      <c r="T194" s="101" t="s">
        <v>82</v>
      </c>
      <c r="U194" s="101" t="s">
        <v>107</v>
      </c>
      <c r="V194" s="102" t="s">
        <v>83</v>
      </c>
      <c r="W194" s="103"/>
      <c r="X194" s="104"/>
    </row>
    <row r="195" spans="1:24" ht="15" customHeight="1" thickBot="1" x14ac:dyDescent="0.3">
      <c r="A195" s="84" t="s">
        <v>72</v>
      </c>
      <c r="B195" s="85" t="s">
        <v>114</v>
      </c>
      <c r="C195" s="96" t="s">
        <v>33</v>
      </c>
      <c r="D195" s="86" t="s">
        <v>722</v>
      </c>
      <c r="E195" s="84" t="s">
        <v>723</v>
      </c>
      <c r="F195" s="84" t="s">
        <v>724</v>
      </c>
      <c r="G195" s="88"/>
      <c r="H195" s="84" t="s">
        <v>725</v>
      </c>
      <c r="I195" s="96"/>
      <c r="J195" s="96"/>
      <c r="K195" s="96" t="s">
        <v>78</v>
      </c>
      <c r="L195" s="97">
        <v>3</v>
      </c>
      <c r="M195" s="98" t="s">
        <v>499</v>
      </c>
      <c r="N195" s="26" t="s">
        <v>630</v>
      </c>
      <c r="O195" s="96"/>
      <c r="P195" s="96"/>
      <c r="Q195" s="99" t="s">
        <v>144</v>
      </c>
      <c r="R195" s="99"/>
      <c r="S195" s="100" t="s">
        <v>257</v>
      </c>
      <c r="T195" s="101" t="s">
        <v>82</v>
      </c>
      <c r="U195" s="101" t="s">
        <v>107</v>
      </c>
      <c r="V195" s="102" t="s">
        <v>83</v>
      </c>
      <c r="W195" s="103"/>
      <c r="X195" s="104"/>
    </row>
    <row r="196" spans="1:24" ht="15" customHeight="1" thickBot="1" x14ac:dyDescent="0.3">
      <c r="A196" s="84" t="s">
        <v>72</v>
      </c>
      <c r="B196" s="85" t="s">
        <v>114</v>
      </c>
      <c r="C196" s="96" t="s">
        <v>33</v>
      </c>
      <c r="D196" s="86" t="s">
        <v>726</v>
      </c>
      <c r="E196" s="84" t="s">
        <v>727</v>
      </c>
      <c r="F196" s="84" t="s">
        <v>728</v>
      </c>
      <c r="G196" s="88"/>
      <c r="H196" s="84" t="s">
        <v>729</v>
      </c>
      <c r="I196" s="96"/>
      <c r="J196" s="96"/>
      <c r="K196" s="96" t="s">
        <v>78</v>
      </c>
      <c r="L196" s="97">
        <v>2</v>
      </c>
      <c r="M196" s="98" t="s">
        <v>100</v>
      </c>
      <c r="N196" s="26" t="s">
        <v>619</v>
      </c>
      <c r="O196" s="96"/>
      <c r="P196" s="96"/>
      <c r="Q196" s="99" t="s">
        <v>144</v>
      </c>
      <c r="R196" s="99"/>
      <c r="S196" s="100" t="s">
        <v>257</v>
      </c>
      <c r="T196" s="101" t="s">
        <v>82</v>
      </c>
      <c r="U196" s="101" t="s">
        <v>107</v>
      </c>
      <c r="V196" s="102" t="s">
        <v>83</v>
      </c>
      <c r="W196" s="103"/>
      <c r="X196" s="104"/>
    </row>
    <row r="197" spans="1:24" ht="15" customHeight="1" thickBot="1" x14ac:dyDescent="0.3">
      <c r="A197" s="84" t="s">
        <v>72</v>
      </c>
      <c r="B197" s="85" t="s">
        <v>114</v>
      </c>
      <c r="C197" s="96" t="s">
        <v>33</v>
      </c>
      <c r="D197" s="86" t="s">
        <v>730</v>
      </c>
      <c r="E197" s="84" t="s">
        <v>731</v>
      </c>
      <c r="F197" s="84" t="s">
        <v>732</v>
      </c>
      <c r="G197" s="88"/>
      <c r="H197" s="84" t="s">
        <v>733</v>
      </c>
      <c r="I197" s="96"/>
      <c r="J197" s="96"/>
      <c r="K197" s="96" t="s">
        <v>78</v>
      </c>
      <c r="L197" s="97">
        <v>1</v>
      </c>
      <c r="M197" s="98" t="s">
        <v>94</v>
      </c>
      <c r="N197" s="26" t="s">
        <v>734</v>
      </c>
      <c r="O197" s="96"/>
      <c r="P197" s="96"/>
      <c r="Q197" s="99" t="s">
        <v>144</v>
      </c>
      <c r="R197" s="99"/>
      <c r="S197" s="100" t="s">
        <v>735</v>
      </c>
      <c r="T197" s="101" t="s">
        <v>82</v>
      </c>
      <c r="U197" s="101" t="s">
        <v>107</v>
      </c>
      <c r="V197" s="102" t="s">
        <v>83</v>
      </c>
      <c r="W197" s="103"/>
      <c r="X197" s="104"/>
    </row>
    <row r="198" spans="1:24" ht="15" customHeight="1" thickBot="1" x14ac:dyDescent="0.3">
      <c r="A198" s="84" t="s">
        <v>72</v>
      </c>
      <c r="B198" s="85" t="s">
        <v>114</v>
      </c>
      <c r="C198" s="96" t="s">
        <v>33</v>
      </c>
      <c r="D198" s="86" t="s">
        <v>736</v>
      </c>
      <c r="E198" s="84" t="s">
        <v>737</v>
      </c>
      <c r="F198" s="84" t="s">
        <v>738</v>
      </c>
      <c r="G198" s="88"/>
      <c r="H198" s="84" t="s">
        <v>739</v>
      </c>
      <c r="I198" s="96"/>
      <c r="J198" s="96"/>
      <c r="K198" s="84" t="s">
        <v>1181</v>
      </c>
      <c r="L198" s="97">
        <v>10</v>
      </c>
      <c r="M198" s="98" t="s">
        <v>135</v>
      </c>
      <c r="O198" s="96"/>
      <c r="P198" s="96" t="s">
        <v>274</v>
      </c>
      <c r="Q198" s="99" t="s">
        <v>144</v>
      </c>
      <c r="R198" s="99"/>
      <c r="S198" s="100" t="s">
        <v>735</v>
      </c>
      <c r="T198" s="101" t="s">
        <v>82</v>
      </c>
      <c r="U198" s="101" t="s">
        <v>107</v>
      </c>
      <c r="V198" s="102" t="s">
        <v>83</v>
      </c>
      <c r="W198" s="103"/>
      <c r="X198" s="104"/>
    </row>
    <row r="199" spans="1:24" ht="15" customHeight="1" thickBot="1" x14ac:dyDescent="0.3">
      <c r="A199" s="84" t="s">
        <v>72</v>
      </c>
      <c r="B199" s="85" t="s">
        <v>114</v>
      </c>
      <c r="C199" s="96" t="s">
        <v>33</v>
      </c>
      <c r="D199" s="86" t="s">
        <v>740</v>
      </c>
      <c r="E199" s="84" t="s">
        <v>741</v>
      </c>
      <c r="F199" s="84" t="s">
        <v>742</v>
      </c>
      <c r="G199" s="88"/>
      <c r="H199" s="84" t="s">
        <v>743</v>
      </c>
      <c r="I199" s="96"/>
      <c r="J199" s="96"/>
      <c r="K199" s="96" t="s">
        <v>235</v>
      </c>
      <c r="L199" s="97">
        <v>3</v>
      </c>
      <c r="M199" s="98" t="s">
        <v>499</v>
      </c>
      <c r="O199" s="96" t="s">
        <v>73</v>
      </c>
      <c r="P199" s="96" t="s">
        <v>499</v>
      </c>
      <c r="Q199" s="99" t="s">
        <v>144</v>
      </c>
      <c r="R199" s="99"/>
      <c r="S199" s="100" t="s">
        <v>735</v>
      </c>
      <c r="T199" s="101" t="s">
        <v>82</v>
      </c>
      <c r="U199" s="101" t="s">
        <v>107</v>
      </c>
      <c r="V199" s="102" t="s">
        <v>83</v>
      </c>
      <c r="W199" s="103"/>
      <c r="X199" s="104"/>
    </row>
    <row r="200" spans="1:24" ht="15" customHeight="1" thickBot="1" x14ac:dyDescent="0.3">
      <c r="A200" s="84" t="s">
        <v>72</v>
      </c>
      <c r="B200" s="85" t="s">
        <v>114</v>
      </c>
      <c r="C200" s="96" t="s">
        <v>33</v>
      </c>
      <c r="D200" s="86" t="s">
        <v>744</v>
      </c>
      <c r="E200" s="84" t="s">
        <v>745</v>
      </c>
      <c r="F200" s="84" t="s">
        <v>746</v>
      </c>
      <c r="G200" s="88"/>
      <c r="H200" s="84" t="s">
        <v>747</v>
      </c>
      <c r="I200" s="96"/>
      <c r="J200" s="96"/>
      <c r="K200" s="96" t="s">
        <v>78</v>
      </c>
      <c r="L200" s="97">
        <v>1</v>
      </c>
      <c r="M200" s="98" t="s">
        <v>94</v>
      </c>
      <c r="N200" s="26" t="s">
        <v>188</v>
      </c>
      <c r="O200" s="96"/>
      <c r="P200" s="96"/>
      <c r="Q200" s="99" t="s">
        <v>144</v>
      </c>
      <c r="R200" s="99"/>
      <c r="S200" s="100" t="s">
        <v>735</v>
      </c>
      <c r="T200" s="101" t="s">
        <v>82</v>
      </c>
      <c r="U200" s="101" t="s">
        <v>107</v>
      </c>
      <c r="V200" s="102" t="s">
        <v>83</v>
      </c>
      <c r="W200" s="103"/>
      <c r="X200" s="104"/>
    </row>
    <row r="201" spans="1:24" ht="15" customHeight="1" thickBot="1" x14ac:dyDescent="0.3">
      <c r="A201" s="84" t="s">
        <v>72</v>
      </c>
      <c r="B201" s="85" t="s">
        <v>114</v>
      </c>
      <c r="C201" s="96" t="s">
        <v>33</v>
      </c>
      <c r="D201" s="86" t="s">
        <v>748</v>
      </c>
      <c r="E201" s="84" t="s">
        <v>749</v>
      </c>
      <c r="F201" s="84" t="s">
        <v>750</v>
      </c>
      <c r="G201" s="88"/>
      <c r="H201" s="84" t="s">
        <v>751</v>
      </c>
      <c r="I201" s="96"/>
      <c r="J201" s="96"/>
      <c r="K201" s="96" t="s">
        <v>78</v>
      </c>
      <c r="L201" s="97">
        <v>1</v>
      </c>
      <c r="M201" s="98" t="s">
        <v>94</v>
      </c>
      <c r="N201" s="26" t="s">
        <v>188</v>
      </c>
      <c r="O201" s="96"/>
      <c r="P201" s="96"/>
      <c r="Q201" s="99" t="s">
        <v>144</v>
      </c>
      <c r="R201" s="99"/>
      <c r="S201" s="100" t="s">
        <v>735</v>
      </c>
      <c r="T201" s="101" t="s">
        <v>82</v>
      </c>
      <c r="U201" s="101" t="s">
        <v>107</v>
      </c>
      <c r="V201" s="102" t="s">
        <v>83</v>
      </c>
      <c r="W201" s="103"/>
      <c r="X201" s="104"/>
    </row>
    <row r="202" spans="1:24" ht="15" customHeight="1" thickBot="1" x14ac:dyDescent="0.3">
      <c r="A202" s="84" t="s">
        <v>72</v>
      </c>
      <c r="B202" s="85" t="s">
        <v>114</v>
      </c>
      <c r="C202" s="96" t="s">
        <v>33</v>
      </c>
      <c r="D202" s="86" t="s">
        <v>752</v>
      </c>
      <c r="E202" s="84" t="s">
        <v>204</v>
      </c>
      <c r="F202" s="84" t="s">
        <v>76</v>
      </c>
      <c r="G202" s="88"/>
      <c r="H202" s="84" t="s">
        <v>753</v>
      </c>
      <c r="I202" s="96"/>
      <c r="J202" s="96"/>
      <c r="K202" s="96" t="s">
        <v>78</v>
      </c>
      <c r="L202" s="97">
        <v>4</v>
      </c>
      <c r="M202" s="98" t="s">
        <v>79</v>
      </c>
      <c r="N202" s="25" t="s">
        <v>80</v>
      </c>
      <c r="O202" s="96"/>
      <c r="P202" s="96"/>
      <c r="Q202" s="99" t="s">
        <v>64</v>
      </c>
      <c r="R202" s="99"/>
      <c r="S202" s="100" t="s">
        <v>735</v>
      </c>
      <c r="T202" s="101" t="s">
        <v>82</v>
      </c>
      <c r="U202" s="101" t="s">
        <v>82</v>
      </c>
      <c r="V202" s="102" t="s">
        <v>83</v>
      </c>
      <c r="W202" s="103"/>
      <c r="X202" s="104"/>
    </row>
    <row r="203" spans="1:24" ht="15" customHeight="1" thickBot="1" x14ac:dyDescent="0.3">
      <c r="A203" s="84" t="s">
        <v>72</v>
      </c>
      <c r="B203" s="85" t="s">
        <v>114</v>
      </c>
      <c r="C203" s="96" t="s">
        <v>33</v>
      </c>
      <c r="D203" s="86" t="s">
        <v>754</v>
      </c>
      <c r="E203" s="84" t="s">
        <v>755</v>
      </c>
      <c r="F203" s="84" t="s">
        <v>756</v>
      </c>
      <c r="G203" s="88"/>
      <c r="H203" s="84" t="s">
        <v>757</v>
      </c>
      <c r="I203" s="96"/>
      <c r="J203" s="96"/>
      <c r="K203" s="96" t="s">
        <v>1156</v>
      </c>
      <c r="L203" s="97">
        <v>4</v>
      </c>
      <c r="M203" s="98">
        <v>9999</v>
      </c>
      <c r="O203" s="96"/>
      <c r="P203" s="96"/>
      <c r="Q203" s="99" t="s">
        <v>144</v>
      </c>
      <c r="R203" s="99"/>
      <c r="S203" s="100" t="s">
        <v>758</v>
      </c>
      <c r="T203" s="101" t="s">
        <v>107</v>
      </c>
      <c r="U203" s="101" t="s">
        <v>82</v>
      </c>
      <c r="V203" s="102" t="s">
        <v>83</v>
      </c>
      <c r="W203" s="103"/>
      <c r="X203" s="104"/>
    </row>
    <row r="204" spans="1:24" ht="15" customHeight="1" thickBot="1" x14ac:dyDescent="0.3">
      <c r="A204" s="84" t="s">
        <v>72</v>
      </c>
      <c r="B204" s="85" t="s">
        <v>114</v>
      </c>
      <c r="C204" s="96" t="s">
        <v>33</v>
      </c>
      <c r="D204" s="86" t="s">
        <v>759</v>
      </c>
      <c r="E204" s="84" t="s">
        <v>760</v>
      </c>
      <c r="F204" s="84" t="s">
        <v>761</v>
      </c>
      <c r="G204" s="88"/>
      <c r="H204" s="84" t="s">
        <v>762</v>
      </c>
      <c r="I204" s="96"/>
      <c r="J204" s="96"/>
      <c r="K204" s="96" t="s">
        <v>235</v>
      </c>
      <c r="L204" s="97">
        <v>4</v>
      </c>
      <c r="M204" s="98" t="s">
        <v>466</v>
      </c>
      <c r="O204" s="96" t="s">
        <v>73</v>
      </c>
      <c r="P204" s="96" t="s">
        <v>466</v>
      </c>
      <c r="Q204" s="99" t="s">
        <v>144</v>
      </c>
      <c r="R204" s="99"/>
      <c r="S204" s="100" t="s">
        <v>763</v>
      </c>
      <c r="T204" s="101" t="s">
        <v>107</v>
      </c>
      <c r="U204" s="101" t="s">
        <v>82</v>
      </c>
      <c r="V204" s="102" t="s">
        <v>83</v>
      </c>
      <c r="W204" s="103"/>
      <c r="X204" s="104"/>
    </row>
    <row r="205" spans="1:24" ht="15" customHeight="1" thickBot="1" x14ac:dyDescent="0.3">
      <c r="A205" s="84" t="s">
        <v>72</v>
      </c>
      <c r="B205" s="85" t="s">
        <v>114</v>
      </c>
      <c r="C205" s="96" t="s">
        <v>33</v>
      </c>
      <c r="D205" s="86" t="s">
        <v>764</v>
      </c>
      <c r="E205" s="84" t="s">
        <v>765</v>
      </c>
      <c r="F205" s="84" t="s">
        <v>766</v>
      </c>
      <c r="G205" s="88"/>
      <c r="H205" s="84" t="s">
        <v>767</v>
      </c>
      <c r="I205" s="96"/>
      <c r="J205" s="96"/>
      <c r="K205" s="96" t="s">
        <v>235</v>
      </c>
      <c r="L205" s="97">
        <v>4</v>
      </c>
      <c r="M205" s="98" t="s">
        <v>466</v>
      </c>
      <c r="O205" s="96" t="s">
        <v>73</v>
      </c>
      <c r="P205" s="96" t="s">
        <v>466</v>
      </c>
      <c r="Q205" s="99" t="s">
        <v>144</v>
      </c>
      <c r="R205" s="99"/>
      <c r="S205" s="100" t="s">
        <v>763</v>
      </c>
      <c r="T205" s="101" t="s">
        <v>107</v>
      </c>
      <c r="U205" s="101" t="s">
        <v>82</v>
      </c>
      <c r="V205" s="102" t="s">
        <v>83</v>
      </c>
      <c r="W205" s="103"/>
      <c r="X205" s="104"/>
    </row>
    <row r="206" spans="1:24" ht="15" customHeight="1" thickBot="1" x14ac:dyDescent="0.3">
      <c r="A206" s="84" t="s">
        <v>72</v>
      </c>
      <c r="B206" s="85" t="s">
        <v>114</v>
      </c>
      <c r="C206" s="96" t="s">
        <v>33</v>
      </c>
      <c r="D206" s="86" t="s">
        <v>768</v>
      </c>
      <c r="E206" s="84" t="s">
        <v>769</v>
      </c>
      <c r="F206" s="84" t="s">
        <v>770</v>
      </c>
      <c r="G206" s="88"/>
      <c r="H206" s="84" t="s">
        <v>771</v>
      </c>
      <c r="I206" s="96"/>
      <c r="J206" s="96"/>
      <c r="K206" s="96" t="s">
        <v>235</v>
      </c>
      <c r="L206" s="97">
        <v>4</v>
      </c>
      <c r="M206" s="98" t="s">
        <v>466</v>
      </c>
      <c r="O206" s="96" t="s">
        <v>73</v>
      </c>
      <c r="P206" s="96" t="s">
        <v>466</v>
      </c>
      <c r="Q206" s="99" t="s">
        <v>144</v>
      </c>
      <c r="R206" s="99"/>
      <c r="S206" s="100" t="s">
        <v>763</v>
      </c>
      <c r="T206" s="101" t="s">
        <v>107</v>
      </c>
      <c r="U206" s="101" t="s">
        <v>82</v>
      </c>
      <c r="V206" s="102" t="s">
        <v>83</v>
      </c>
      <c r="W206" s="103"/>
      <c r="X206" s="104"/>
    </row>
    <row r="207" spans="1:24" ht="15" customHeight="1" thickBot="1" x14ac:dyDescent="0.3">
      <c r="A207" s="84" t="s">
        <v>72</v>
      </c>
      <c r="B207" s="85" t="s">
        <v>114</v>
      </c>
      <c r="C207" s="96" t="s">
        <v>33</v>
      </c>
      <c r="D207" s="86" t="s">
        <v>772</v>
      </c>
      <c r="E207" s="84" t="s">
        <v>773</v>
      </c>
      <c r="F207" s="84" t="s">
        <v>774</v>
      </c>
      <c r="G207" s="88"/>
      <c r="H207" s="84" t="s">
        <v>775</v>
      </c>
      <c r="I207" s="96"/>
      <c r="J207" s="96"/>
      <c r="K207" s="96" t="s">
        <v>235</v>
      </c>
      <c r="L207" s="97">
        <v>4</v>
      </c>
      <c r="M207" s="98" t="s">
        <v>466</v>
      </c>
      <c r="O207" s="96" t="s">
        <v>73</v>
      </c>
      <c r="P207" s="96" t="s">
        <v>466</v>
      </c>
      <c r="Q207" s="99" t="s">
        <v>144</v>
      </c>
      <c r="R207" s="99"/>
      <c r="S207" s="100" t="s">
        <v>763</v>
      </c>
      <c r="T207" s="101" t="s">
        <v>107</v>
      </c>
      <c r="U207" s="101" t="s">
        <v>82</v>
      </c>
      <c r="V207" s="102" t="s">
        <v>83</v>
      </c>
      <c r="W207" s="103"/>
      <c r="X207" s="104"/>
    </row>
    <row r="208" spans="1:24" ht="15" customHeight="1" thickBot="1" x14ac:dyDescent="0.3">
      <c r="A208" s="84" t="s">
        <v>72</v>
      </c>
      <c r="B208" s="85" t="s">
        <v>114</v>
      </c>
      <c r="C208" s="96" t="s">
        <v>33</v>
      </c>
      <c r="D208" s="86" t="s">
        <v>776</v>
      </c>
      <c r="E208" s="84" t="s">
        <v>777</v>
      </c>
      <c r="F208" s="84" t="s">
        <v>778</v>
      </c>
      <c r="G208" s="88"/>
      <c r="H208" s="84" t="s">
        <v>779</v>
      </c>
      <c r="I208" s="96"/>
      <c r="J208" s="96"/>
      <c r="K208" s="96" t="s">
        <v>235</v>
      </c>
      <c r="L208" s="97">
        <v>4</v>
      </c>
      <c r="M208" s="98" t="s">
        <v>466</v>
      </c>
      <c r="O208" s="96" t="s">
        <v>73</v>
      </c>
      <c r="P208" s="96" t="s">
        <v>466</v>
      </c>
      <c r="Q208" s="99" t="s">
        <v>144</v>
      </c>
      <c r="R208" s="99"/>
      <c r="S208" s="100" t="s">
        <v>763</v>
      </c>
      <c r="T208" s="101" t="s">
        <v>107</v>
      </c>
      <c r="U208" s="101" t="s">
        <v>82</v>
      </c>
      <c r="V208" s="102" t="s">
        <v>83</v>
      </c>
      <c r="W208" s="103"/>
      <c r="X208" s="104"/>
    </row>
    <row r="209" spans="1:24" ht="15" customHeight="1" thickBot="1" x14ac:dyDescent="0.3">
      <c r="A209" s="84" t="s">
        <v>72</v>
      </c>
      <c r="B209" s="85" t="s">
        <v>114</v>
      </c>
      <c r="C209" s="96" t="s">
        <v>33</v>
      </c>
      <c r="D209" s="86" t="s">
        <v>780</v>
      </c>
      <c r="E209" s="84" t="s">
        <v>781</v>
      </c>
      <c r="F209" s="84" t="s">
        <v>782</v>
      </c>
      <c r="G209" s="88"/>
      <c r="H209" s="84" t="s">
        <v>783</v>
      </c>
      <c r="I209" s="96"/>
      <c r="J209" s="96"/>
      <c r="K209" s="84" t="s">
        <v>1181</v>
      </c>
      <c r="L209" s="97">
        <v>10</v>
      </c>
      <c r="M209" s="98" t="s">
        <v>135</v>
      </c>
      <c r="O209" s="96"/>
      <c r="P209" s="96"/>
      <c r="Q209" s="99" t="s">
        <v>64</v>
      </c>
      <c r="R209" s="99"/>
      <c r="S209" s="100" t="s">
        <v>758</v>
      </c>
      <c r="T209" s="101" t="s">
        <v>107</v>
      </c>
      <c r="U209" s="101" t="s">
        <v>82</v>
      </c>
      <c r="V209" s="102" t="s">
        <v>83</v>
      </c>
      <c r="W209" s="103"/>
      <c r="X209" s="104"/>
    </row>
    <row r="210" spans="1:24" ht="15" customHeight="1" thickBot="1" x14ac:dyDescent="0.3">
      <c r="A210" s="84" t="s">
        <v>72</v>
      </c>
      <c r="B210" s="85" t="s">
        <v>114</v>
      </c>
      <c r="C210" s="96" t="s">
        <v>33</v>
      </c>
      <c r="D210" s="86" t="s">
        <v>784</v>
      </c>
      <c r="E210" s="84" t="s">
        <v>785</v>
      </c>
      <c r="F210" s="84" t="s">
        <v>786</v>
      </c>
      <c r="G210" s="88"/>
      <c r="H210" s="84" t="s">
        <v>787</v>
      </c>
      <c r="I210" s="96"/>
      <c r="J210" s="96"/>
      <c r="K210" s="96" t="s">
        <v>1156</v>
      </c>
      <c r="L210" s="97">
        <v>2</v>
      </c>
      <c r="M210" s="98" t="s">
        <v>211</v>
      </c>
      <c r="O210" s="96" t="s">
        <v>74</v>
      </c>
      <c r="P210" s="96" t="s">
        <v>211</v>
      </c>
      <c r="Q210" s="99" t="s">
        <v>144</v>
      </c>
      <c r="R210" s="99"/>
      <c r="S210" s="100" t="s">
        <v>763</v>
      </c>
      <c r="T210" s="101" t="s">
        <v>107</v>
      </c>
      <c r="U210" s="101" t="s">
        <v>82</v>
      </c>
      <c r="V210" s="102" t="s">
        <v>83</v>
      </c>
      <c r="W210" s="103"/>
      <c r="X210" s="104"/>
    </row>
    <row r="211" spans="1:24" ht="15" customHeight="1" thickBot="1" x14ac:dyDescent="0.3">
      <c r="A211" s="84" t="s">
        <v>72</v>
      </c>
      <c r="B211" s="85" t="s">
        <v>114</v>
      </c>
      <c r="C211" s="96" t="s">
        <v>33</v>
      </c>
      <c r="D211" s="86" t="s">
        <v>788</v>
      </c>
      <c r="E211" s="84" t="s">
        <v>789</v>
      </c>
      <c r="F211" s="84" t="s">
        <v>790</v>
      </c>
      <c r="G211" s="88"/>
      <c r="H211" s="84" t="s">
        <v>791</v>
      </c>
      <c r="I211" s="96"/>
      <c r="J211" s="96"/>
      <c r="K211" s="96" t="s">
        <v>78</v>
      </c>
      <c r="L211" s="97">
        <v>2</v>
      </c>
      <c r="M211" s="98" t="s">
        <v>100</v>
      </c>
      <c r="N211" s="26" t="s">
        <v>789</v>
      </c>
      <c r="O211" s="96"/>
      <c r="P211" s="96"/>
      <c r="Q211" s="99" t="s">
        <v>64</v>
      </c>
      <c r="R211" s="99"/>
      <c r="S211" s="100" t="s">
        <v>792</v>
      </c>
      <c r="T211" s="101" t="s">
        <v>82</v>
      </c>
      <c r="U211" s="101" t="s">
        <v>82</v>
      </c>
      <c r="V211" s="102" t="s">
        <v>83</v>
      </c>
      <c r="W211" s="103"/>
      <c r="X211" s="104"/>
    </row>
    <row r="212" spans="1:24" ht="15" customHeight="1" thickBot="1" x14ac:dyDescent="0.3">
      <c r="A212" s="84" t="s">
        <v>72</v>
      </c>
      <c r="B212" s="85" t="s">
        <v>114</v>
      </c>
      <c r="C212" s="96" t="s">
        <v>33</v>
      </c>
      <c r="D212" s="86" t="s">
        <v>793</v>
      </c>
      <c r="E212" s="84" t="s">
        <v>794</v>
      </c>
      <c r="F212" s="84" t="s">
        <v>795</v>
      </c>
      <c r="G212" s="88"/>
      <c r="H212" s="84" t="s">
        <v>796</v>
      </c>
      <c r="I212" s="96"/>
      <c r="J212" s="96"/>
      <c r="K212" s="96" t="s">
        <v>78</v>
      </c>
      <c r="L212" s="97">
        <v>2</v>
      </c>
      <c r="M212" s="98" t="s">
        <v>100</v>
      </c>
      <c r="N212" s="26" t="s">
        <v>797</v>
      </c>
      <c r="O212" s="96"/>
      <c r="P212" s="96"/>
      <c r="Q212" s="99" t="s">
        <v>144</v>
      </c>
      <c r="R212" s="99"/>
      <c r="S212" s="100" t="s">
        <v>161</v>
      </c>
      <c r="T212" s="101" t="s">
        <v>82</v>
      </c>
      <c r="U212" s="101" t="s">
        <v>82</v>
      </c>
      <c r="V212" s="102" t="s">
        <v>83</v>
      </c>
      <c r="W212" s="103"/>
      <c r="X212" s="104"/>
    </row>
    <row r="213" spans="1:24" ht="15" customHeight="1" thickBot="1" x14ac:dyDescent="0.3">
      <c r="A213" s="84" t="s">
        <v>72</v>
      </c>
      <c r="B213" s="85" t="s">
        <v>114</v>
      </c>
      <c r="C213" s="96" t="s">
        <v>33</v>
      </c>
      <c r="D213" s="86" t="s">
        <v>798</v>
      </c>
      <c r="E213" s="84" t="s">
        <v>799</v>
      </c>
      <c r="F213" s="84" t="s">
        <v>800</v>
      </c>
      <c r="G213" s="88"/>
      <c r="H213" s="84" t="s">
        <v>801</v>
      </c>
      <c r="I213" s="96"/>
      <c r="J213" s="96"/>
      <c r="K213" s="96" t="s">
        <v>235</v>
      </c>
      <c r="L213" s="97">
        <v>6</v>
      </c>
      <c r="M213" s="98" t="s">
        <v>88</v>
      </c>
      <c r="O213" s="96" t="s">
        <v>74</v>
      </c>
      <c r="P213" s="96" t="s">
        <v>88</v>
      </c>
      <c r="Q213" s="99" t="s">
        <v>144</v>
      </c>
      <c r="R213" s="99"/>
      <c r="S213" s="100" t="s">
        <v>161</v>
      </c>
      <c r="T213" s="101" t="s">
        <v>82</v>
      </c>
      <c r="U213" s="101" t="s">
        <v>82</v>
      </c>
      <c r="V213" s="102" t="s">
        <v>83</v>
      </c>
      <c r="W213" s="103"/>
      <c r="X213" s="104"/>
    </row>
    <row r="214" spans="1:24" ht="15" customHeight="1" thickBot="1" x14ac:dyDescent="0.3">
      <c r="A214" s="84" t="s">
        <v>72</v>
      </c>
      <c r="B214" s="85" t="s">
        <v>114</v>
      </c>
      <c r="C214" s="96" t="s">
        <v>33</v>
      </c>
      <c r="D214" s="86" t="s">
        <v>802</v>
      </c>
      <c r="E214" s="84" t="s">
        <v>803</v>
      </c>
      <c r="F214" s="84" t="s">
        <v>804</v>
      </c>
      <c r="G214" s="88"/>
      <c r="H214" s="84" t="s">
        <v>805</v>
      </c>
      <c r="I214" s="96"/>
      <c r="J214" s="96"/>
      <c r="K214" s="96" t="s">
        <v>235</v>
      </c>
      <c r="L214" s="97">
        <v>3</v>
      </c>
      <c r="M214" s="98" t="s">
        <v>499</v>
      </c>
      <c r="O214" s="96" t="s">
        <v>74</v>
      </c>
      <c r="P214" s="96" t="s">
        <v>806</v>
      </c>
      <c r="Q214" s="99" t="s">
        <v>144</v>
      </c>
      <c r="R214" s="99"/>
      <c r="S214" s="100" t="s">
        <v>161</v>
      </c>
      <c r="T214" s="101" t="s">
        <v>82</v>
      </c>
      <c r="U214" s="101" t="s">
        <v>82</v>
      </c>
      <c r="V214" s="102" t="s">
        <v>83</v>
      </c>
      <c r="W214" s="103"/>
      <c r="X214" s="104"/>
    </row>
    <row r="215" spans="1:24" ht="15" customHeight="1" thickBot="1" x14ac:dyDescent="0.3">
      <c r="A215" s="84" t="s">
        <v>72</v>
      </c>
      <c r="B215" s="85" t="s">
        <v>114</v>
      </c>
      <c r="C215" s="96" t="s">
        <v>33</v>
      </c>
      <c r="D215" s="86" t="s">
        <v>807</v>
      </c>
      <c r="E215" s="84" t="s">
        <v>808</v>
      </c>
      <c r="F215" s="84" t="s">
        <v>809</v>
      </c>
      <c r="G215" s="88"/>
      <c r="H215" s="84" t="s">
        <v>13475</v>
      </c>
      <c r="I215" s="96"/>
      <c r="J215" s="96"/>
      <c r="K215" s="96" t="s">
        <v>235</v>
      </c>
      <c r="L215" s="97">
        <v>4</v>
      </c>
      <c r="M215" s="98" t="s">
        <v>79</v>
      </c>
      <c r="O215" s="96" t="s">
        <v>74</v>
      </c>
      <c r="P215" s="96" t="s">
        <v>810</v>
      </c>
      <c r="Q215" s="99" t="s">
        <v>144</v>
      </c>
      <c r="R215" s="99"/>
      <c r="S215" s="100" t="s">
        <v>161</v>
      </c>
      <c r="T215" s="101" t="s">
        <v>82</v>
      </c>
      <c r="U215" s="101" t="s">
        <v>82</v>
      </c>
      <c r="V215" s="102" t="s">
        <v>83</v>
      </c>
      <c r="W215" s="103"/>
      <c r="X215" s="104"/>
    </row>
    <row r="216" spans="1:24" ht="15" customHeight="1" thickBot="1" x14ac:dyDescent="0.3">
      <c r="A216" s="84" t="s">
        <v>72</v>
      </c>
      <c r="B216" s="85" t="s">
        <v>114</v>
      </c>
      <c r="C216" s="96" t="s">
        <v>33</v>
      </c>
      <c r="D216" s="86" t="s">
        <v>811</v>
      </c>
      <c r="E216" s="84" t="s">
        <v>812</v>
      </c>
      <c r="F216" s="84" t="s">
        <v>813</v>
      </c>
      <c r="G216" s="88"/>
      <c r="H216" s="84" t="s">
        <v>814</v>
      </c>
      <c r="I216" s="96"/>
      <c r="J216" s="96"/>
      <c r="K216" s="96" t="s">
        <v>235</v>
      </c>
      <c r="L216" s="97">
        <v>4</v>
      </c>
      <c r="M216" s="98" t="s">
        <v>236</v>
      </c>
      <c r="O216" s="96" t="s">
        <v>73</v>
      </c>
      <c r="P216" s="96" t="s">
        <v>815</v>
      </c>
      <c r="Q216" s="99" t="s">
        <v>144</v>
      </c>
      <c r="R216" s="99"/>
      <c r="S216" s="100" t="s">
        <v>161</v>
      </c>
      <c r="T216" s="101" t="s">
        <v>82</v>
      </c>
      <c r="U216" s="101" t="s">
        <v>82</v>
      </c>
      <c r="V216" s="102" t="s">
        <v>83</v>
      </c>
      <c r="W216" s="103"/>
      <c r="X216" s="104" t="s">
        <v>816</v>
      </c>
    </row>
    <row r="217" spans="1:24" ht="15" customHeight="1" thickBot="1" x14ac:dyDescent="0.3">
      <c r="A217" s="84" t="s">
        <v>72</v>
      </c>
      <c r="B217" s="85" t="s">
        <v>114</v>
      </c>
      <c r="C217" s="96" t="s">
        <v>33</v>
      </c>
      <c r="D217" s="86" t="s">
        <v>817</v>
      </c>
      <c r="E217" s="84" t="s">
        <v>818</v>
      </c>
      <c r="F217" s="84" t="s">
        <v>819</v>
      </c>
      <c r="G217" s="88"/>
      <c r="H217" s="84" t="s">
        <v>820</v>
      </c>
      <c r="I217" s="96"/>
      <c r="J217" s="96"/>
      <c r="K217" s="96" t="s">
        <v>78</v>
      </c>
      <c r="L217" s="97">
        <v>2</v>
      </c>
      <c r="M217" s="98" t="s">
        <v>100</v>
      </c>
      <c r="N217" s="26" t="s">
        <v>821</v>
      </c>
      <c r="O217" s="96"/>
      <c r="P217" s="96"/>
      <c r="Q217" s="99" t="s">
        <v>144</v>
      </c>
      <c r="R217" s="99"/>
      <c r="S217" s="100" t="s">
        <v>161</v>
      </c>
      <c r="T217" s="101" t="s">
        <v>82</v>
      </c>
      <c r="U217" s="101" t="s">
        <v>82</v>
      </c>
      <c r="V217" s="102" t="s">
        <v>83</v>
      </c>
      <c r="W217" s="103"/>
      <c r="X217" s="104"/>
    </row>
    <row r="218" spans="1:24" ht="15" customHeight="1" thickBot="1" x14ac:dyDescent="0.3">
      <c r="A218" s="84" t="s">
        <v>72</v>
      </c>
      <c r="B218" s="85" t="s">
        <v>114</v>
      </c>
      <c r="C218" s="96" t="s">
        <v>33</v>
      </c>
      <c r="D218" s="86" t="s">
        <v>822</v>
      </c>
      <c r="E218" s="84" t="s">
        <v>823</v>
      </c>
      <c r="F218" s="84" t="s">
        <v>824</v>
      </c>
      <c r="G218" s="88"/>
      <c r="H218" s="84" t="s">
        <v>825</v>
      </c>
      <c r="I218" s="96"/>
      <c r="J218" s="96"/>
      <c r="K218" s="96" t="s">
        <v>446</v>
      </c>
      <c r="L218" s="97">
        <v>5</v>
      </c>
      <c r="M218" s="98">
        <v>999.9</v>
      </c>
      <c r="O218" s="96" t="s">
        <v>73</v>
      </c>
      <c r="P218" s="96" t="s">
        <v>826</v>
      </c>
      <c r="Q218" s="99" t="s">
        <v>144</v>
      </c>
      <c r="R218" s="99"/>
      <c r="S218" s="100" t="s">
        <v>161</v>
      </c>
      <c r="T218" s="101" t="s">
        <v>82</v>
      </c>
      <c r="U218" s="101" t="s">
        <v>82</v>
      </c>
      <c r="V218" s="102" t="s">
        <v>83</v>
      </c>
      <c r="W218" s="103"/>
      <c r="X218" s="104"/>
    </row>
    <row r="219" spans="1:24" ht="15" customHeight="1" thickBot="1" x14ac:dyDescent="0.3">
      <c r="A219" s="84" t="s">
        <v>72</v>
      </c>
      <c r="B219" s="85" t="s">
        <v>114</v>
      </c>
      <c r="C219" s="96" t="s">
        <v>33</v>
      </c>
      <c r="D219" s="86" t="s">
        <v>827</v>
      </c>
      <c r="E219" s="84" t="s">
        <v>828</v>
      </c>
      <c r="F219" s="84" t="s">
        <v>829</v>
      </c>
      <c r="G219" s="88"/>
      <c r="H219" s="84" t="s">
        <v>830</v>
      </c>
      <c r="I219" s="96"/>
      <c r="J219" s="96"/>
      <c r="K219" s="96" t="s">
        <v>78</v>
      </c>
      <c r="L219" s="97">
        <v>2</v>
      </c>
      <c r="M219" s="98" t="s">
        <v>100</v>
      </c>
      <c r="N219" s="26" t="s">
        <v>821</v>
      </c>
      <c r="O219" s="96"/>
      <c r="P219" s="96"/>
      <c r="Q219" s="99" t="s">
        <v>144</v>
      </c>
      <c r="R219" s="99"/>
      <c r="S219" s="100" t="s">
        <v>161</v>
      </c>
      <c r="T219" s="101" t="s">
        <v>82</v>
      </c>
      <c r="U219" s="101" t="s">
        <v>82</v>
      </c>
      <c r="V219" s="102" t="s">
        <v>83</v>
      </c>
      <c r="W219" s="103"/>
      <c r="X219" s="104"/>
    </row>
    <row r="220" spans="1:24" ht="15" customHeight="1" thickBot="1" x14ac:dyDescent="0.3">
      <c r="A220" s="84" t="s">
        <v>72</v>
      </c>
      <c r="B220" s="85" t="s">
        <v>114</v>
      </c>
      <c r="C220" s="96" t="s">
        <v>33</v>
      </c>
      <c r="D220" s="86" t="s">
        <v>831</v>
      </c>
      <c r="E220" s="84" t="s">
        <v>832</v>
      </c>
      <c r="F220" s="84" t="s">
        <v>833</v>
      </c>
      <c r="G220" s="88"/>
      <c r="H220" s="84" t="s">
        <v>834</v>
      </c>
      <c r="I220" s="96"/>
      <c r="J220" s="96"/>
      <c r="K220" s="96" t="s">
        <v>446</v>
      </c>
      <c r="L220" s="97">
        <v>5</v>
      </c>
      <c r="M220" s="98">
        <v>999.9</v>
      </c>
      <c r="O220" s="96" t="s">
        <v>73</v>
      </c>
      <c r="P220" s="96" t="s">
        <v>826</v>
      </c>
      <c r="Q220" s="99" t="s">
        <v>144</v>
      </c>
      <c r="R220" s="99"/>
      <c r="S220" s="100" t="s">
        <v>161</v>
      </c>
      <c r="T220" s="101" t="s">
        <v>82</v>
      </c>
      <c r="U220" s="101" t="s">
        <v>82</v>
      </c>
      <c r="V220" s="102" t="s">
        <v>83</v>
      </c>
      <c r="W220" s="103"/>
      <c r="X220" s="104"/>
    </row>
    <row r="221" spans="1:24" ht="15" customHeight="1" thickBot="1" x14ac:dyDescent="0.3">
      <c r="A221" s="84" t="s">
        <v>72</v>
      </c>
      <c r="B221" s="85" t="s">
        <v>114</v>
      </c>
      <c r="C221" s="96" t="s">
        <v>33</v>
      </c>
      <c r="D221" s="86" t="s">
        <v>835</v>
      </c>
      <c r="E221" s="84" t="s">
        <v>836</v>
      </c>
      <c r="F221" s="84" t="s">
        <v>837</v>
      </c>
      <c r="G221" s="88"/>
      <c r="H221" s="84" t="s">
        <v>838</v>
      </c>
      <c r="I221" s="96"/>
      <c r="J221" s="96"/>
      <c r="K221" s="96" t="s">
        <v>78</v>
      </c>
      <c r="L221" s="97">
        <v>2</v>
      </c>
      <c r="M221" s="98" t="s">
        <v>100</v>
      </c>
      <c r="N221" s="26" t="s">
        <v>821</v>
      </c>
      <c r="O221" s="96"/>
      <c r="P221" s="96"/>
      <c r="Q221" s="99" t="s">
        <v>144</v>
      </c>
      <c r="R221" s="99"/>
      <c r="S221" s="100" t="s">
        <v>161</v>
      </c>
      <c r="T221" s="101" t="s">
        <v>82</v>
      </c>
      <c r="U221" s="101" t="s">
        <v>82</v>
      </c>
      <c r="V221" s="102" t="s">
        <v>83</v>
      </c>
      <c r="W221" s="103"/>
      <c r="X221" s="104"/>
    </row>
    <row r="222" spans="1:24" ht="15" customHeight="1" thickBot="1" x14ac:dyDescent="0.3">
      <c r="A222" s="84" t="s">
        <v>72</v>
      </c>
      <c r="B222" s="85" t="s">
        <v>114</v>
      </c>
      <c r="C222" s="96" t="s">
        <v>33</v>
      </c>
      <c r="D222" s="86" t="s">
        <v>839</v>
      </c>
      <c r="E222" s="84" t="s">
        <v>840</v>
      </c>
      <c r="F222" s="84" t="s">
        <v>841</v>
      </c>
      <c r="G222" s="88"/>
      <c r="H222" s="84" t="s">
        <v>842</v>
      </c>
      <c r="I222" s="96"/>
      <c r="J222" s="96"/>
      <c r="K222" s="96" t="s">
        <v>446</v>
      </c>
      <c r="L222" s="97">
        <v>5</v>
      </c>
      <c r="M222" s="98">
        <v>999.9</v>
      </c>
      <c r="O222" s="96" t="s">
        <v>73</v>
      </c>
      <c r="P222" s="96" t="s">
        <v>826</v>
      </c>
      <c r="Q222" s="99" t="s">
        <v>144</v>
      </c>
      <c r="R222" s="99"/>
      <c r="S222" s="100" t="s">
        <v>161</v>
      </c>
      <c r="T222" s="101" t="s">
        <v>82</v>
      </c>
      <c r="U222" s="101" t="s">
        <v>82</v>
      </c>
      <c r="V222" s="102" t="s">
        <v>83</v>
      </c>
      <c r="W222" s="103"/>
      <c r="X222" s="104"/>
    </row>
    <row r="223" spans="1:24" ht="15" customHeight="1" thickBot="1" x14ac:dyDescent="0.3">
      <c r="A223" s="84" t="s">
        <v>72</v>
      </c>
      <c r="B223" s="85" t="s">
        <v>114</v>
      </c>
      <c r="C223" s="96" t="s">
        <v>33</v>
      </c>
      <c r="D223" s="86" t="s">
        <v>843</v>
      </c>
      <c r="E223" s="84" t="s">
        <v>844</v>
      </c>
      <c r="F223" s="84" t="s">
        <v>845</v>
      </c>
      <c r="G223" s="88"/>
      <c r="H223" s="84" t="s">
        <v>846</v>
      </c>
      <c r="I223" s="96"/>
      <c r="J223" s="96"/>
      <c r="K223" s="96" t="s">
        <v>78</v>
      </c>
      <c r="L223" s="97">
        <v>2</v>
      </c>
      <c r="M223" s="98" t="s">
        <v>100</v>
      </c>
      <c r="N223" s="26" t="s">
        <v>821</v>
      </c>
      <c r="O223" s="96"/>
      <c r="P223" s="96"/>
      <c r="Q223" s="99" t="s">
        <v>144</v>
      </c>
      <c r="R223" s="99"/>
      <c r="S223" s="100" t="s">
        <v>161</v>
      </c>
      <c r="T223" s="101" t="s">
        <v>82</v>
      </c>
      <c r="U223" s="101" t="s">
        <v>82</v>
      </c>
      <c r="V223" s="102" t="s">
        <v>83</v>
      </c>
      <c r="W223" s="103"/>
      <c r="X223" s="104"/>
    </row>
    <row r="224" spans="1:24" ht="15" customHeight="1" thickBot="1" x14ac:dyDescent="0.3">
      <c r="A224" s="84" t="s">
        <v>72</v>
      </c>
      <c r="B224" s="85" t="s">
        <v>114</v>
      </c>
      <c r="C224" s="96" t="s">
        <v>33</v>
      </c>
      <c r="D224" s="86" t="s">
        <v>847</v>
      </c>
      <c r="E224" s="84" t="s">
        <v>848</v>
      </c>
      <c r="F224" s="84" t="s">
        <v>849</v>
      </c>
      <c r="G224" s="88"/>
      <c r="H224" s="84" t="s">
        <v>850</v>
      </c>
      <c r="I224" s="96"/>
      <c r="J224" s="96"/>
      <c r="K224" s="96" t="s">
        <v>446</v>
      </c>
      <c r="L224" s="97">
        <v>5</v>
      </c>
      <c r="M224" s="98">
        <v>999.9</v>
      </c>
      <c r="O224" s="96" t="s">
        <v>73</v>
      </c>
      <c r="P224" s="96" t="s">
        <v>826</v>
      </c>
      <c r="Q224" s="99" t="s">
        <v>144</v>
      </c>
      <c r="R224" s="99"/>
      <c r="S224" s="100" t="s">
        <v>161</v>
      </c>
      <c r="T224" s="101" t="s">
        <v>82</v>
      </c>
      <c r="U224" s="101" t="s">
        <v>82</v>
      </c>
      <c r="V224" s="102" t="s">
        <v>83</v>
      </c>
      <c r="W224" s="103"/>
      <c r="X224" s="104"/>
    </row>
    <row r="225" spans="1:24" ht="15" customHeight="1" thickBot="1" x14ac:dyDescent="0.3">
      <c r="A225" s="84" t="s">
        <v>72</v>
      </c>
      <c r="B225" s="85" t="s">
        <v>114</v>
      </c>
      <c r="C225" s="96" t="s">
        <v>33</v>
      </c>
      <c r="D225" s="86" t="s">
        <v>851</v>
      </c>
      <c r="E225" s="84" t="s">
        <v>852</v>
      </c>
      <c r="F225" s="84" t="s">
        <v>853</v>
      </c>
      <c r="G225" s="88"/>
      <c r="H225" s="84" t="s">
        <v>13476</v>
      </c>
      <c r="I225" s="96"/>
      <c r="J225" s="96"/>
      <c r="K225" s="96" t="s">
        <v>78</v>
      </c>
      <c r="L225" s="97">
        <v>2</v>
      </c>
      <c r="M225" s="98" t="s">
        <v>100</v>
      </c>
      <c r="N225" s="26" t="s">
        <v>797</v>
      </c>
      <c r="O225" s="96"/>
      <c r="P225" s="96"/>
      <c r="Q225" s="99" t="s">
        <v>173</v>
      </c>
      <c r="R225" s="99"/>
      <c r="S225" s="100" t="s">
        <v>161</v>
      </c>
      <c r="T225" s="101" t="s">
        <v>82</v>
      </c>
      <c r="U225" s="101" t="s">
        <v>82</v>
      </c>
      <c r="V225" s="102" t="s">
        <v>83</v>
      </c>
      <c r="W225" s="103"/>
      <c r="X225" s="104"/>
    </row>
    <row r="226" spans="1:24" ht="15" customHeight="1" thickBot="1" x14ac:dyDescent="0.3">
      <c r="A226" s="84" t="s">
        <v>72</v>
      </c>
      <c r="B226" s="85" t="s">
        <v>114</v>
      </c>
      <c r="C226" s="96" t="s">
        <v>33</v>
      </c>
      <c r="D226" s="86" t="s">
        <v>854</v>
      </c>
      <c r="E226" s="84" t="s">
        <v>855</v>
      </c>
      <c r="F226" s="84" t="s">
        <v>856</v>
      </c>
      <c r="G226" s="88"/>
      <c r="H226" s="84" t="s">
        <v>857</v>
      </c>
      <c r="I226" s="96"/>
      <c r="J226" s="96"/>
      <c r="K226" s="96" t="s">
        <v>235</v>
      </c>
      <c r="L226" s="97">
        <v>6</v>
      </c>
      <c r="M226" s="98" t="s">
        <v>88</v>
      </c>
      <c r="O226" s="96" t="s">
        <v>74</v>
      </c>
      <c r="P226" s="96" t="s">
        <v>88</v>
      </c>
      <c r="Q226" s="99" t="s">
        <v>144</v>
      </c>
      <c r="R226" s="99"/>
      <c r="S226" s="100" t="s">
        <v>161</v>
      </c>
      <c r="T226" s="101" t="s">
        <v>82</v>
      </c>
      <c r="U226" s="101" t="s">
        <v>82</v>
      </c>
      <c r="V226" s="102" t="s">
        <v>83</v>
      </c>
      <c r="W226" s="103"/>
      <c r="X226" s="104"/>
    </row>
    <row r="227" spans="1:24" ht="15" customHeight="1" thickBot="1" x14ac:dyDescent="0.3">
      <c r="A227" s="84" t="s">
        <v>72</v>
      </c>
      <c r="B227" s="85" t="s">
        <v>114</v>
      </c>
      <c r="C227" s="96" t="s">
        <v>33</v>
      </c>
      <c r="D227" s="86" t="s">
        <v>858</v>
      </c>
      <c r="E227" s="84" t="s">
        <v>859</v>
      </c>
      <c r="F227" s="84" t="s">
        <v>860</v>
      </c>
      <c r="G227" s="88"/>
      <c r="H227" s="84" t="s">
        <v>861</v>
      </c>
      <c r="I227" s="96"/>
      <c r="J227" s="96"/>
      <c r="K227" s="96" t="s">
        <v>235</v>
      </c>
      <c r="L227" s="97">
        <v>3</v>
      </c>
      <c r="M227" s="98" t="s">
        <v>499</v>
      </c>
      <c r="O227" s="96" t="s">
        <v>74</v>
      </c>
      <c r="P227" s="96" t="s">
        <v>806</v>
      </c>
      <c r="Q227" s="99" t="s">
        <v>144</v>
      </c>
      <c r="R227" s="99"/>
      <c r="S227" s="100" t="s">
        <v>161</v>
      </c>
      <c r="T227" s="101" t="s">
        <v>82</v>
      </c>
      <c r="U227" s="101" t="s">
        <v>82</v>
      </c>
      <c r="V227" s="102" t="s">
        <v>83</v>
      </c>
      <c r="W227" s="103"/>
      <c r="X227" s="104"/>
    </row>
    <row r="228" spans="1:24" ht="15" customHeight="1" thickBot="1" x14ac:dyDescent="0.3">
      <c r="A228" s="84" t="s">
        <v>72</v>
      </c>
      <c r="B228" s="85" t="s">
        <v>114</v>
      </c>
      <c r="C228" s="96" t="s">
        <v>33</v>
      </c>
      <c r="D228" s="86" t="s">
        <v>862</v>
      </c>
      <c r="E228" s="84" t="s">
        <v>863</v>
      </c>
      <c r="F228" s="84" t="s">
        <v>864</v>
      </c>
      <c r="G228" s="88"/>
      <c r="H228" s="84" t="s">
        <v>865</v>
      </c>
      <c r="I228" s="96"/>
      <c r="J228" s="96"/>
      <c r="K228" s="96" t="s">
        <v>235</v>
      </c>
      <c r="L228" s="97">
        <v>4</v>
      </c>
      <c r="M228" s="98" t="s">
        <v>79</v>
      </c>
      <c r="O228" s="96" t="s">
        <v>74</v>
      </c>
      <c r="P228" s="96" t="s">
        <v>79</v>
      </c>
      <c r="Q228" s="99" t="s">
        <v>144</v>
      </c>
      <c r="R228" s="99"/>
      <c r="S228" s="100" t="s">
        <v>161</v>
      </c>
      <c r="T228" s="101" t="s">
        <v>82</v>
      </c>
      <c r="U228" s="101" t="s">
        <v>82</v>
      </c>
      <c r="V228" s="102" t="s">
        <v>83</v>
      </c>
      <c r="W228" s="103"/>
      <c r="X228" s="104"/>
    </row>
    <row r="229" spans="1:24" ht="15" customHeight="1" thickBot="1" x14ac:dyDescent="0.3">
      <c r="A229" s="84" t="s">
        <v>72</v>
      </c>
      <c r="B229" s="85" t="s">
        <v>114</v>
      </c>
      <c r="C229" s="96" t="s">
        <v>33</v>
      </c>
      <c r="D229" s="86" t="s">
        <v>866</v>
      </c>
      <c r="E229" s="84" t="s">
        <v>867</v>
      </c>
      <c r="F229" s="84" t="s">
        <v>868</v>
      </c>
      <c r="G229" s="88"/>
      <c r="H229" s="84" t="s">
        <v>869</v>
      </c>
      <c r="I229" s="96"/>
      <c r="J229" s="96"/>
      <c r="K229" s="96" t="s">
        <v>235</v>
      </c>
      <c r="L229" s="97">
        <v>4</v>
      </c>
      <c r="M229" s="98" t="s">
        <v>236</v>
      </c>
      <c r="O229" s="96" t="s">
        <v>73</v>
      </c>
      <c r="P229" s="96" t="s">
        <v>815</v>
      </c>
      <c r="Q229" s="99" t="s">
        <v>144</v>
      </c>
      <c r="R229" s="99"/>
      <c r="S229" s="100" t="s">
        <v>161</v>
      </c>
      <c r="T229" s="101" t="s">
        <v>82</v>
      </c>
      <c r="U229" s="101" t="s">
        <v>82</v>
      </c>
      <c r="V229" s="102" t="s">
        <v>83</v>
      </c>
      <c r="W229" s="103"/>
      <c r="X229" s="104"/>
    </row>
    <row r="230" spans="1:24" ht="15" customHeight="1" thickBot="1" x14ac:dyDescent="0.3">
      <c r="A230" s="84" t="s">
        <v>72</v>
      </c>
      <c r="B230" s="85" t="s">
        <v>114</v>
      </c>
      <c r="C230" s="96" t="s">
        <v>33</v>
      </c>
      <c r="D230" s="86" t="s">
        <v>870</v>
      </c>
      <c r="E230" s="84" t="s">
        <v>871</v>
      </c>
      <c r="F230" s="84" t="s">
        <v>872</v>
      </c>
      <c r="G230" s="88"/>
      <c r="H230" s="84" t="s">
        <v>820</v>
      </c>
      <c r="I230" s="96"/>
      <c r="J230" s="96"/>
      <c r="K230" s="96" t="s">
        <v>78</v>
      </c>
      <c r="L230" s="97">
        <v>2</v>
      </c>
      <c r="M230" s="98" t="s">
        <v>100</v>
      </c>
      <c r="N230" s="26" t="s">
        <v>821</v>
      </c>
      <c r="O230" s="96"/>
      <c r="P230" s="96"/>
      <c r="Q230" s="99" t="s">
        <v>144</v>
      </c>
      <c r="R230" s="99"/>
      <c r="S230" s="100" t="s">
        <v>161</v>
      </c>
      <c r="T230" s="101" t="s">
        <v>82</v>
      </c>
      <c r="U230" s="101" t="s">
        <v>82</v>
      </c>
      <c r="V230" s="102" t="s">
        <v>83</v>
      </c>
      <c r="W230" s="103"/>
      <c r="X230" s="104"/>
    </row>
    <row r="231" spans="1:24" ht="15" customHeight="1" thickBot="1" x14ac:dyDescent="0.3">
      <c r="A231" s="84" t="s">
        <v>72</v>
      </c>
      <c r="B231" s="85" t="s">
        <v>114</v>
      </c>
      <c r="C231" s="96" t="s">
        <v>33</v>
      </c>
      <c r="D231" s="86" t="s">
        <v>873</v>
      </c>
      <c r="E231" s="84" t="s">
        <v>874</v>
      </c>
      <c r="F231" s="84" t="s">
        <v>875</v>
      </c>
      <c r="G231" s="88"/>
      <c r="H231" s="84" t="s">
        <v>825</v>
      </c>
      <c r="I231" s="96"/>
      <c r="J231" s="96"/>
      <c r="K231" s="96" t="s">
        <v>446</v>
      </c>
      <c r="L231" s="97">
        <v>5</v>
      </c>
      <c r="M231" s="98">
        <v>999.9</v>
      </c>
      <c r="O231" s="96" t="s">
        <v>73</v>
      </c>
      <c r="P231" s="96" t="s">
        <v>826</v>
      </c>
      <c r="Q231" s="99" t="s">
        <v>144</v>
      </c>
      <c r="R231" s="99"/>
      <c r="S231" s="100" t="s">
        <v>161</v>
      </c>
      <c r="T231" s="101" t="s">
        <v>82</v>
      </c>
      <c r="U231" s="101" t="s">
        <v>82</v>
      </c>
      <c r="V231" s="102" t="s">
        <v>83</v>
      </c>
      <c r="W231" s="103"/>
      <c r="X231" s="104"/>
    </row>
    <row r="232" spans="1:24" ht="15" customHeight="1" thickBot="1" x14ac:dyDescent="0.3">
      <c r="A232" s="84" t="s">
        <v>72</v>
      </c>
      <c r="B232" s="85" t="s">
        <v>114</v>
      </c>
      <c r="C232" s="96" t="s">
        <v>33</v>
      </c>
      <c r="D232" s="86" t="s">
        <v>876</v>
      </c>
      <c r="E232" s="84" t="s">
        <v>877</v>
      </c>
      <c r="F232" s="84" t="s">
        <v>878</v>
      </c>
      <c r="G232" s="88"/>
      <c r="H232" s="84" t="s">
        <v>830</v>
      </c>
      <c r="I232" s="96"/>
      <c r="J232" s="96"/>
      <c r="K232" s="96" t="s">
        <v>78</v>
      </c>
      <c r="L232" s="97"/>
      <c r="M232" s="98" t="s">
        <v>100</v>
      </c>
      <c r="N232" s="26" t="s">
        <v>821</v>
      </c>
      <c r="O232" s="96"/>
      <c r="P232" s="96"/>
      <c r="Q232" s="99" t="s">
        <v>144</v>
      </c>
      <c r="R232" s="99"/>
      <c r="S232" s="100" t="s">
        <v>161</v>
      </c>
      <c r="T232" s="101" t="s">
        <v>82</v>
      </c>
      <c r="U232" s="101" t="s">
        <v>82</v>
      </c>
      <c r="V232" s="102" t="s">
        <v>83</v>
      </c>
      <c r="W232" s="103"/>
      <c r="X232" s="104"/>
    </row>
    <row r="233" spans="1:24" ht="15" customHeight="1" thickBot="1" x14ac:dyDescent="0.3">
      <c r="A233" s="84" t="s">
        <v>72</v>
      </c>
      <c r="B233" s="85" t="s">
        <v>114</v>
      </c>
      <c r="C233" s="96" t="s">
        <v>33</v>
      </c>
      <c r="D233" s="86" t="s">
        <v>879</v>
      </c>
      <c r="E233" s="84" t="s">
        <v>880</v>
      </c>
      <c r="F233" s="84" t="s">
        <v>881</v>
      </c>
      <c r="G233" s="88"/>
      <c r="H233" s="84" t="s">
        <v>834</v>
      </c>
      <c r="I233" s="96"/>
      <c r="J233" s="96"/>
      <c r="K233" s="96" t="s">
        <v>446</v>
      </c>
      <c r="L233" s="97">
        <v>5</v>
      </c>
      <c r="M233" s="98">
        <v>999.9</v>
      </c>
      <c r="O233" s="96" t="s">
        <v>73</v>
      </c>
      <c r="P233" s="96" t="s">
        <v>826</v>
      </c>
      <c r="Q233" s="99" t="s">
        <v>144</v>
      </c>
      <c r="R233" s="99"/>
      <c r="S233" s="100" t="s">
        <v>161</v>
      </c>
      <c r="T233" s="101" t="s">
        <v>82</v>
      </c>
      <c r="U233" s="101" t="s">
        <v>82</v>
      </c>
      <c r="V233" s="102" t="s">
        <v>83</v>
      </c>
      <c r="W233" s="103"/>
      <c r="X233" s="104"/>
    </row>
    <row r="234" spans="1:24" ht="15" customHeight="1" thickBot="1" x14ac:dyDescent="0.3">
      <c r="A234" s="84" t="s">
        <v>72</v>
      </c>
      <c r="B234" s="85" t="s">
        <v>114</v>
      </c>
      <c r="C234" s="96" t="s">
        <v>33</v>
      </c>
      <c r="D234" s="86" t="s">
        <v>882</v>
      </c>
      <c r="E234" s="84" t="s">
        <v>883</v>
      </c>
      <c r="F234" s="84" t="s">
        <v>884</v>
      </c>
      <c r="G234" s="88"/>
      <c r="H234" s="84" t="s">
        <v>838</v>
      </c>
      <c r="I234" s="96"/>
      <c r="J234" s="96"/>
      <c r="K234" s="96" t="s">
        <v>78</v>
      </c>
      <c r="L234" s="97">
        <v>2</v>
      </c>
      <c r="M234" s="98" t="s">
        <v>100</v>
      </c>
      <c r="N234" s="26" t="s">
        <v>821</v>
      </c>
      <c r="O234" s="96"/>
      <c r="P234" s="96"/>
      <c r="Q234" s="99" t="s">
        <v>144</v>
      </c>
      <c r="R234" s="99"/>
      <c r="S234" s="100" t="s">
        <v>161</v>
      </c>
      <c r="T234" s="101" t="s">
        <v>82</v>
      </c>
      <c r="U234" s="101" t="s">
        <v>82</v>
      </c>
      <c r="V234" s="102" t="s">
        <v>83</v>
      </c>
      <c r="W234" s="103"/>
      <c r="X234" s="104"/>
    </row>
    <row r="235" spans="1:24" ht="15" customHeight="1" thickBot="1" x14ac:dyDescent="0.3">
      <c r="A235" s="84" t="s">
        <v>72</v>
      </c>
      <c r="B235" s="85" t="s">
        <v>114</v>
      </c>
      <c r="C235" s="96" t="s">
        <v>33</v>
      </c>
      <c r="D235" s="86" t="s">
        <v>885</v>
      </c>
      <c r="E235" s="84" t="s">
        <v>886</v>
      </c>
      <c r="F235" s="84" t="s">
        <v>887</v>
      </c>
      <c r="G235" s="88"/>
      <c r="H235" s="84" t="s">
        <v>842</v>
      </c>
      <c r="I235" s="96"/>
      <c r="J235" s="96"/>
      <c r="K235" s="96" t="s">
        <v>446</v>
      </c>
      <c r="L235" s="97">
        <v>5</v>
      </c>
      <c r="M235" s="98">
        <v>999.9</v>
      </c>
      <c r="O235" s="96" t="s">
        <v>73</v>
      </c>
      <c r="P235" s="96" t="s">
        <v>826</v>
      </c>
      <c r="Q235" s="99" t="s">
        <v>144</v>
      </c>
      <c r="R235" s="99"/>
      <c r="S235" s="100" t="s">
        <v>161</v>
      </c>
      <c r="T235" s="101" t="s">
        <v>82</v>
      </c>
      <c r="U235" s="101" t="s">
        <v>82</v>
      </c>
      <c r="V235" s="102" t="s">
        <v>83</v>
      </c>
      <c r="W235" s="103"/>
      <c r="X235" s="104"/>
    </row>
    <row r="236" spans="1:24" ht="15" customHeight="1" thickBot="1" x14ac:dyDescent="0.3">
      <c r="A236" s="84" t="s">
        <v>72</v>
      </c>
      <c r="B236" s="85" t="s">
        <v>114</v>
      </c>
      <c r="C236" s="96" t="s">
        <v>33</v>
      </c>
      <c r="D236" s="86" t="s">
        <v>888</v>
      </c>
      <c r="E236" s="84" t="s">
        <v>889</v>
      </c>
      <c r="F236" s="84" t="s">
        <v>890</v>
      </c>
      <c r="G236" s="88"/>
      <c r="H236" s="84" t="s">
        <v>846</v>
      </c>
      <c r="I236" s="96"/>
      <c r="J236" s="96"/>
      <c r="K236" s="96" t="s">
        <v>78</v>
      </c>
      <c r="L236" s="97">
        <v>2</v>
      </c>
      <c r="M236" s="98" t="s">
        <v>100</v>
      </c>
      <c r="N236" s="26" t="s">
        <v>821</v>
      </c>
      <c r="O236" s="96"/>
      <c r="P236" s="96"/>
      <c r="Q236" s="99" t="s">
        <v>144</v>
      </c>
      <c r="R236" s="99"/>
      <c r="S236" s="100" t="s">
        <v>161</v>
      </c>
      <c r="T236" s="101" t="s">
        <v>82</v>
      </c>
      <c r="U236" s="101" t="s">
        <v>82</v>
      </c>
      <c r="V236" s="102" t="s">
        <v>83</v>
      </c>
      <c r="W236" s="103"/>
      <c r="X236" s="104"/>
    </row>
    <row r="237" spans="1:24" ht="15" customHeight="1" thickBot="1" x14ac:dyDescent="0.3">
      <c r="A237" s="84" t="s">
        <v>72</v>
      </c>
      <c r="B237" s="85" t="s">
        <v>114</v>
      </c>
      <c r="C237" s="96" t="s">
        <v>33</v>
      </c>
      <c r="D237" s="86" t="s">
        <v>891</v>
      </c>
      <c r="E237" s="84" t="s">
        <v>892</v>
      </c>
      <c r="F237" s="84" t="s">
        <v>893</v>
      </c>
      <c r="G237" s="88"/>
      <c r="H237" s="84" t="s">
        <v>850</v>
      </c>
      <c r="I237" s="96"/>
      <c r="J237" s="96"/>
      <c r="K237" s="96" t="s">
        <v>446</v>
      </c>
      <c r="L237" s="97">
        <v>5</v>
      </c>
      <c r="M237" s="98">
        <v>999.9</v>
      </c>
      <c r="O237" s="96" t="s">
        <v>73</v>
      </c>
      <c r="P237" s="96" t="s">
        <v>826</v>
      </c>
      <c r="Q237" s="99" t="s">
        <v>144</v>
      </c>
      <c r="R237" s="99"/>
      <c r="S237" s="100" t="s">
        <v>161</v>
      </c>
      <c r="T237" s="101" t="s">
        <v>82</v>
      </c>
      <c r="U237" s="101" t="s">
        <v>82</v>
      </c>
      <c r="V237" s="102" t="s">
        <v>83</v>
      </c>
      <c r="W237" s="103"/>
      <c r="X237" s="104"/>
    </row>
    <row r="238" spans="1:24" ht="15" customHeight="1" thickBot="1" x14ac:dyDescent="0.3">
      <c r="A238" s="84" t="s">
        <v>72</v>
      </c>
      <c r="B238" s="85" t="s">
        <v>114</v>
      </c>
      <c r="C238" s="96" t="s">
        <v>33</v>
      </c>
      <c r="D238" s="86" t="s">
        <v>894</v>
      </c>
      <c r="E238" s="84" t="s">
        <v>895</v>
      </c>
      <c r="F238" s="84" t="s">
        <v>896</v>
      </c>
      <c r="G238" s="88"/>
      <c r="H238" s="84" t="s">
        <v>897</v>
      </c>
      <c r="I238" s="96"/>
      <c r="J238" s="96"/>
      <c r="K238" s="96" t="s">
        <v>78</v>
      </c>
      <c r="L238" s="97">
        <v>2</v>
      </c>
      <c r="M238" s="98" t="s">
        <v>100</v>
      </c>
      <c r="N238" s="26" t="s">
        <v>797</v>
      </c>
      <c r="O238" s="96"/>
      <c r="P238" s="96"/>
      <c r="Q238" s="99" t="s">
        <v>173</v>
      </c>
      <c r="R238" s="99"/>
      <c r="S238" s="100" t="s">
        <v>161</v>
      </c>
      <c r="T238" s="101" t="s">
        <v>82</v>
      </c>
      <c r="U238" s="101" t="s">
        <v>82</v>
      </c>
      <c r="V238" s="102" t="s">
        <v>83</v>
      </c>
      <c r="W238" s="103"/>
      <c r="X238" s="104"/>
    </row>
    <row r="239" spans="1:24" ht="15" customHeight="1" thickBot="1" x14ac:dyDescent="0.3">
      <c r="A239" s="84" t="s">
        <v>72</v>
      </c>
      <c r="B239" s="85" t="s">
        <v>114</v>
      </c>
      <c r="C239" s="96" t="s">
        <v>33</v>
      </c>
      <c r="D239" s="86" t="s">
        <v>898</v>
      </c>
      <c r="E239" s="84" t="s">
        <v>899</v>
      </c>
      <c r="F239" s="84" t="s">
        <v>900</v>
      </c>
      <c r="G239" s="88"/>
      <c r="H239" s="84" t="s">
        <v>901</v>
      </c>
      <c r="I239" s="96"/>
      <c r="J239" s="96"/>
      <c r="K239" s="96" t="s">
        <v>235</v>
      </c>
      <c r="L239" s="97">
        <v>6</v>
      </c>
      <c r="M239" s="98" t="s">
        <v>88</v>
      </c>
      <c r="O239" s="96" t="s">
        <v>74</v>
      </c>
      <c r="P239" s="96" t="s">
        <v>88</v>
      </c>
      <c r="Q239" s="99" t="s">
        <v>144</v>
      </c>
      <c r="R239" s="99"/>
      <c r="S239" s="100" t="s">
        <v>161</v>
      </c>
      <c r="T239" s="101" t="s">
        <v>82</v>
      </c>
      <c r="U239" s="101" t="s">
        <v>82</v>
      </c>
      <c r="V239" s="102" t="s">
        <v>83</v>
      </c>
      <c r="W239" s="103"/>
      <c r="X239" s="104"/>
    </row>
    <row r="240" spans="1:24" ht="15" customHeight="1" thickBot="1" x14ac:dyDescent="0.3">
      <c r="A240" s="84" t="s">
        <v>72</v>
      </c>
      <c r="B240" s="85" t="s">
        <v>114</v>
      </c>
      <c r="C240" s="96" t="s">
        <v>33</v>
      </c>
      <c r="D240" s="86" t="s">
        <v>902</v>
      </c>
      <c r="E240" s="84" t="s">
        <v>903</v>
      </c>
      <c r="F240" s="84" t="s">
        <v>904</v>
      </c>
      <c r="G240" s="88"/>
      <c r="H240" s="84" t="s">
        <v>905</v>
      </c>
      <c r="I240" s="96"/>
      <c r="J240" s="96"/>
      <c r="K240" s="96" t="s">
        <v>235</v>
      </c>
      <c r="L240" s="97">
        <v>3</v>
      </c>
      <c r="M240" s="98" t="s">
        <v>499</v>
      </c>
      <c r="O240" s="96" t="s">
        <v>74</v>
      </c>
      <c r="P240" s="96" t="s">
        <v>806</v>
      </c>
      <c r="Q240" s="99" t="s">
        <v>144</v>
      </c>
      <c r="R240" s="99"/>
      <c r="S240" s="100" t="s">
        <v>161</v>
      </c>
      <c r="T240" s="101" t="s">
        <v>82</v>
      </c>
      <c r="U240" s="101" t="s">
        <v>82</v>
      </c>
      <c r="V240" s="102" t="s">
        <v>83</v>
      </c>
      <c r="W240" s="103"/>
      <c r="X240" s="104"/>
    </row>
    <row r="241" spans="1:24" ht="15" customHeight="1" thickBot="1" x14ac:dyDescent="0.3">
      <c r="A241" s="84" t="s">
        <v>72</v>
      </c>
      <c r="B241" s="85" t="s">
        <v>114</v>
      </c>
      <c r="C241" s="96" t="s">
        <v>33</v>
      </c>
      <c r="D241" s="86" t="s">
        <v>906</v>
      </c>
      <c r="E241" s="84" t="s">
        <v>907</v>
      </c>
      <c r="F241" s="84" t="s">
        <v>908</v>
      </c>
      <c r="G241" s="88"/>
      <c r="H241" s="84" t="s">
        <v>909</v>
      </c>
      <c r="I241" s="96"/>
      <c r="J241" s="96"/>
      <c r="K241" s="96" t="s">
        <v>235</v>
      </c>
      <c r="L241" s="97">
        <v>4</v>
      </c>
      <c r="M241" s="98" t="s">
        <v>79</v>
      </c>
      <c r="O241" s="96" t="s">
        <v>74</v>
      </c>
      <c r="P241" s="96" t="s">
        <v>79</v>
      </c>
      <c r="Q241" s="99" t="s">
        <v>144</v>
      </c>
      <c r="R241" s="99"/>
      <c r="S241" s="100" t="s">
        <v>161</v>
      </c>
      <c r="T241" s="101" t="s">
        <v>82</v>
      </c>
      <c r="U241" s="101" t="s">
        <v>82</v>
      </c>
      <c r="V241" s="102" t="s">
        <v>83</v>
      </c>
      <c r="W241" s="103"/>
      <c r="X241" s="104"/>
    </row>
    <row r="242" spans="1:24" ht="15" customHeight="1" thickBot="1" x14ac:dyDescent="0.3">
      <c r="A242" s="84" t="s">
        <v>72</v>
      </c>
      <c r="B242" s="85" t="s">
        <v>114</v>
      </c>
      <c r="C242" s="96" t="s">
        <v>33</v>
      </c>
      <c r="D242" s="86" t="s">
        <v>211</v>
      </c>
      <c r="E242" s="84" t="s">
        <v>910</v>
      </c>
      <c r="F242" s="84" t="s">
        <v>911</v>
      </c>
      <c r="G242" s="88"/>
      <c r="H242" s="84" t="s">
        <v>912</v>
      </c>
      <c r="I242" s="96"/>
      <c r="J242" s="96"/>
      <c r="K242" s="96" t="s">
        <v>235</v>
      </c>
      <c r="L242" s="97">
        <v>4</v>
      </c>
      <c r="M242" s="98" t="s">
        <v>236</v>
      </c>
      <c r="O242" s="96" t="s">
        <v>73</v>
      </c>
      <c r="P242" s="96" t="s">
        <v>815</v>
      </c>
      <c r="Q242" s="99" t="s">
        <v>144</v>
      </c>
      <c r="R242" s="99"/>
      <c r="S242" s="100" t="s">
        <v>161</v>
      </c>
      <c r="T242" s="101" t="s">
        <v>82</v>
      </c>
      <c r="U242" s="101" t="s">
        <v>82</v>
      </c>
      <c r="V242" s="102" t="s">
        <v>83</v>
      </c>
      <c r="W242" s="103"/>
      <c r="X242" s="104"/>
    </row>
    <row r="243" spans="1:24" ht="15" customHeight="1" thickBot="1" x14ac:dyDescent="0.3">
      <c r="A243" s="84" t="s">
        <v>72</v>
      </c>
      <c r="B243" s="85" t="s">
        <v>114</v>
      </c>
      <c r="C243" s="96" t="s">
        <v>33</v>
      </c>
      <c r="D243" s="86" t="s">
        <v>913</v>
      </c>
      <c r="E243" s="84" t="s">
        <v>914</v>
      </c>
      <c r="F243" s="84" t="s">
        <v>915</v>
      </c>
      <c r="G243" s="88"/>
      <c r="H243" s="84" t="s">
        <v>820</v>
      </c>
      <c r="I243" s="96"/>
      <c r="J243" s="96"/>
      <c r="K243" s="96" t="s">
        <v>78</v>
      </c>
      <c r="L243" s="97">
        <v>2</v>
      </c>
      <c r="M243" s="98" t="s">
        <v>100</v>
      </c>
      <c r="N243" s="26" t="s">
        <v>821</v>
      </c>
      <c r="O243" s="96"/>
      <c r="P243" s="96"/>
      <c r="Q243" s="99" t="s">
        <v>144</v>
      </c>
      <c r="R243" s="99"/>
      <c r="S243" s="100" t="s">
        <v>161</v>
      </c>
      <c r="T243" s="101" t="s">
        <v>82</v>
      </c>
      <c r="U243" s="101" t="s">
        <v>82</v>
      </c>
      <c r="V243" s="102" t="s">
        <v>83</v>
      </c>
      <c r="W243" s="103"/>
      <c r="X243" s="104"/>
    </row>
    <row r="244" spans="1:24" ht="15" customHeight="1" thickBot="1" x14ac:dyDescent="0.3">
      <c r="A244" s="84" t="s">
        <v>72</v>
      </c>
      <c r="B244" s="85" t="s">
        <v>114</v>
      </c>
      <c r="C244" s="96" t="s">
        <v>33</v>
      </c>
      <c r="D244" s="86" t="s">
        <v>916</v>
      </c>
      <c r="E244" s="84" t="s">
        <v>917</v>
      </c>
      <c r="F244" s="84" t="s">
        <v>918</v>
      </c>
      <c r="G244" s="88"/>
      <c r="H244" s="84" t="s">
        <v>825</v>
      </c>
      <c r="I244" s="96"/>
      <c r="J244" s="96"/>
      <c r="K244" s="96" t="s">
        <v>446</v>
      </c>
      <c r="L244" s="97">
        <v>5</v>
      </c>
      <c r="M244" s="98">
        <v>999.9</v>
      </c>
      <c r="O244" s="96" t="s">
        <v>73</v>
      </c>
      <c r="P244" s="96" t="s">
        <v>826</v>
      </c>
      <c r="Q244" s="99" t="s">
        <v>144</v>
      </c>
      <c r="R244" s="99"/>
      <c r="S244" s="100" t="s">
        <v>161</v>
      </c>
      <c r="T244" s="101" t="s">
        <v>82</v>
      </c>
      <c r="U244" s="101" t="s">
        <v>82</v>
      </c>
      <c r="V244" s="102" t="s">
        <v>83</v>
      </c>
      <c r="W244" s="103"/>
      <c r="X244" s="104"/>
    </row>
    <row r="245" spans="1:24" ht="15" customHeight="1" thickBot="1" x14ac:dyDescent="0.3">
      <c r="A245" s="84" t="s">
        <v>72</v>
      </c>
      <c r="B245" s="85" t="s">
        <v>114</v>
      </c>
      <c r="C245" s="96" t="s">
        <v>33</v>
      </c>
      <c r="D245" s="86" t="s">
        <v>919</v>
      </c>
      <c r="E245" s="84" t="s">
        <v>920</v>
      </c>
      <c r="F245" s="84" t="s">
        <v>921</v>
      </c>
      <c r="G245" s="88"/>
      <c r="H245" s="84" t="s">
        <v>830</v>
      </c>
      <c r="I245" s="96"/>
      <c r="J245" s="96"/>
      <c r="K245" s="96" t="s">
        <v>78</v>
      </c>
      <c r="L245" s="97">
        <v>2</v>
      </c>
      <c r="M245" s="98" t="s">
        <v>100</v>
      </c>
      <c r="N245" s="26" t="s">
        <v>821</v>
      </c>
      <c r="O245" s="96"/>
      <c r="P245" s="96"/>
      <c r="Q245" s="99" t="s">
        <v>144</v>
      </c>
      <c r="R245" s="99"/>
      <c r="S245" s="100" t="s">
        <v>161</v>
      </c>
      <c r="T245" s="101" t="s">
        <v>82</v>
      </c>
      <c r="U245" s="101" t="s">
        <v>82</v>
      </c>
      <c r="V245" s="102" t="s">
        <v>83</v>
      </c>
      <c r="W245" s="103"/>
      <c r="X245" s="104"/>
    </row>
    <row r="246" spans="1:24" ht="15" customHeight="1" thickBot="1" x14ac:dyDescent="0.3">
      <c r="A246" s="84" t="s">
        <v>72</v>
      </c>
      <c r="B246" s="85" t="s">
        <v>114</v>
      </c>
      <c r="C246" s="96" t="s">
        <v>33</v>
      </c>
      <c r="D246" s="86" t="s">
        <v>922</v>
      </c>
      <c r="E246" s="84" t="s">
        <v>923</v>
      </c>
      <c r="F246" s="84" t="s">
        <v>924</v>
      </c>
      <c r="G246" s="88"/>
      <c r="H246" s="84" t="s">
        <v>834</v>
      </c>
      <c r="I246" s="96"/>
      <c r="J246" s="96"/>
      <c r="K246" s="96" t="s">
        <v>446</v>
      </c>
      <c r="L246" s="97">
        <v>5</v>
      </c>
      <c r="M246" s="98">
        <v>999.9</v>
      </c>
      <c r="O246" s="96" t="s">
        <v>73</v>
      </c>
      <c r="P246" s="96" t="s">
        <v>826</v>
      </c>
      <c r="Q246" s="99" t="s">
        <v>144</v>
      </c>
      <c r="R246" s="99"/>
      <c r="S246" s="100" t="s">
        <v>161</v>
      </c>
      <c r="T246" s="101" t="s">
        <v>82</v>
      </c>
      <c r="U246" s="101" t="s">
        <v>82</v>
      </c>
      <c r="V246" s="102" t="s">
        <v>83</v>
      </c>
      <c r="W246" s="103"/>
      <c r="X246" s="104"/>
    </row>
    <row r="247" spans="1:24" ht="15" customHeight="1" thickBot="1" x14ac:dyDescent="0.3">
      <c r="A247" s="84" t="s">
        <v>72</v>
      </c>
      <c r="B247" s="85" t="s">
        <v>114</v>
      </c>
      <c r="C247" s="96" t="s">
        <v>33</v>
      </c>
      <c r="D247" s="86" t="s">
        <v>925</v>
      </c>
      <c r="E247" s="84" t="s">
        <v>926</v>
      </c>
      <c r="F247" s="84" t="s">
        <v>927</v>
      </c>
      <c r="G247" s="88"/>
      <c r="H247" s="84" t="s">
        <v>838</v>
      </c>
      <c r="I247" s="96"/>
      <c r="J247" s="96"/>
      <c r="K247" s="96" t="s">
        <v>78</v>
      </c>
      <c r="L247" s="97">
        <v>2</v>
      </c>
      <c r="M247" s="98" t="s">
        <v>100</v>
      </c>
      <c r="N247" s="26" t="s">
        <v>821</v>
      </c>
      <c r="O247" s="96"/>
      <c r="P247" s="96"/>
      <c r="Q247" s="99" t="s">
        <v>144</v>
      </c>
      <c r="R247" s="99"/>
      <c r="S247" s="100" t="s">
        <v>161</v>
      </c>
      <c r="T247" s="101" t="s">
        <v>82</v>
      </c>
      <c r="U247" s="101" t="s">
        <v>82</v>
      </c>
      <c r="V247" s="102" t="s">
        <v>83</v>
      </c>
      <c r="W247" s="103"/>
      <c r="X247" s="104"/>
    </row>
    <row r="248" spans="1:24" ht="15" customHeight="1" thickBot="1" x14ac:dyDescent="0.3">
      <c r="A248" s="84" t="s">
        <v>72</v>
      </c>
      <c r="B248" s="85" t="s">
        <v>114</v>
      </c>
      <c r="C248" s="96" t="s">
        <v>33</v>
      </c>
      <c r="D248" s="86" t="s">
        <v>928</v>
      </c>
      <c r="E248" s="84" t="s">
        <v>929</v>
      </c>
      <c r="F248" s="84" t="s">
        <v>930</v>
      </c>
      <c r="G248" s="88"/>
      <c r="H248" s="84" t="s">
        <v>842</v>
      </c>
      <c r="I248" s="96"/>
      <c r="J248" s="96"/>
      <c r="K248" s="96" t="s">
        <v>446</v>
      </c>
      <c r="L248" s="97">
        <v>5</v>
      </c>
      <c r="M248" s="98">
        <v>999.9</v>
      </c>
      <c r="O248" s="96" t="s">
        <v>73</v>
      </c>
      <c r="P248" s="96" t="s">
        <v>826</v>
      </c>
      <c r="Q248" s="99" t="s">
        <v>144</v>
      </c>
      <c r="R248" s="99"/>
      <c r="S248" s="100" t="s">
        <v>161</v>
      </c>
      <c r="T248" s="101" t="s">
        <v>82</v>
      </c>
      <c r="U248" s="101" t="s">
        <v>82</v>
      </c>
      <c r="V248" s="102" t="s">
        <v>83</v>
      </c>
      <c r="W248" s="103"/>
      <c r="X248" s="104"/>
    </row>
    <row r="249" spans="1:24" ht="15" customHeight="1" thickBot="1" x14ac:dyDescent="0.3">
      <c r="A249" s="84" t="s">
        <v>72</v>
      </c>
      <c r="B249" s="85" t="s">
        <v>114</v>
      </c>
      <c r="C249" s="96" t="s">
        <v>33</v>
      </c>
      <c r="D249" s="86" t="s">
        <v>931</v>
      </c>
      <c r="E249" s="84" t="s">
        <v>932</v>
      </c>
      <c r="F249" s="84" t="s">
        <v>933</v>
      </c>
      <c r="G249" s="88"/>
      <c r="H249" s="84" t="s">
        <v>846</v>
      </c>
      <c r="I249" s="96"/>
      <c r="J249" s="96"/>
      <c r="K249" s="96" t="s">
        <v>78</v>
      </c>
      <c r="L249" s="97">
        <v>2</v>
      </c>
      <c r="M249" s="98" t="s">
        <v>100</v>
      </c>
      <c r="N249" s="26" t="s">
        <v>821</v>
      </c>
      <c r="O249" s="96"/>
      <c r="P249" s="96"/>
      <c r="Q249" s="99" t="s">
        <v>144</v>
      </c>
      <c r="R249" s="99"/>
      <c r="S249" s="100" t="s">
        <v>161</v>
      </c>
      <c r="T249" s="101" t="s">
        <v>82</v>
      </c>
      <c r="U249" s="101" t="s">
        <v>82</v>
      </c>
      <c r="V249" s="102" t="s">
        <v>83</v>
      </c>
      <c r="W249" s="103"/>
      <c r="X249" s="104"/>
    </row>
    <row r="250" spans="1:24" ht="15" customHeight="1" thickBot="1" x14ac:dyDescent="0.3">
      <c r="A250" s="84" t="s">
        <v>72</v>
      </c>
      <c r="B250" s="85" t="s">
        <v>114</v>
      </c>
      <c r="C250" s="96" t="s">
        <v>33</v>
      </c>
      <c r="D250" s="86" t="s">
        <v>934</v>
      </c>
      <c r="E250" s="84" t="s">
        <v>935</v>
      </c>
      <c r="F250" s="84" t="s">
        <v>936</v>
      </c>
      <c r="G250" s="88"/>
      <c r="H250" s="84" t="s">
        <v>850</v>
      </c>
      <c r="I250" s="96"/>
      <c r="J250" s="96"/>
      <c r="K250" s="96" t="s">
        <v>446</v>
      </c>
      <c r="L250" s="97">
        <v>5</v>
      </c>
      <c r="M250" s="98">
        <v>999.9</v>
      </c>
      <c r="O250" s="96" t="s">
        <v>73</v>
      </c>
      <c r="P250" s="96" t="s">
        <v>826</v>
      </c>
      <c r="Q250" s="99" t="s">
        <v>144</v>
      </c>
      <c r="R250" s="99"/>
      <c r="S250" s="100" t="s">
        <v>161</v>
      </c>
      <c r="T250" s="101" t="s">
        <v>82</v>
      </c>
      <c r="U250" s="101" t="s">
        <v>82</v>
      </c>
      <c r="V250" s="102" t="s">
        <v>83</v>
      </c>
      <c r="W250" s="103"/>
      <c r="X250" s="104"/>
    </row>
    <row r="251" spans="1:24" ht="15" customHeight="1" thickBot="1" x14ac:dyDescent="0.3">
      <c r="A251" s="84" t="s">
        <v>72</v>
      </c>
      <c r="B251" s="85" t="s">
        <v>114</v>
      </c>
      <c r="C251" s="96" t="s">
        <v>33</v>
      </c>
      <c r="D251" s="86" t="s">
        <v>937</v>
      </c>
      <c r="E251" s="84" t="s">
        <v>938</v>
      </c>
      <c r="F251" s="84" t="s">
        <v>939</v>
      </c>
      <c r="G251" s="88"/>
      <c r="H251" s="84" t="s">
        <v>940</v>
      </c>
      <c r="I251" s="96"/>
      <c r="J251" s="96"/>
      <c r="K251" s="96" t="s">
        <v>78</v>
      </c>
      <c r="L251" s="97">
        <v>2</v>
      </c>
      <c r="M251" s="98" t="s">
        <v>100</v>
      </c>
      <c r="N251" s="26" t="s">
        <v>941</v>
      </c>
      <c r="O251" s="96"/>
      <c r="P251" s="96"/>
      <c r="Q251" s="99" t="s">
        <v>173</v>
      </c>
      <c r="R251" s="99"/>
      <c r="S251" s="100" t="s">
        <v>161</v>
      </c>
      <c r="T251" s="101" t="s">
        <v>82</v>
      </c>
      <c r="U251" s="101" t="s">
        <v>82</v>
      </c>
      <c r="V251" s="102" t="s">
        <v>83</v>
      </c>
      <c r="W251" s="103"/>
      <c r="X251" s="104"/>
    </row>
    <row r="252" spans="1:24" ht="15" customHeight="1" thickBot="1" x14ac:dyDescent="0.3">
      <c r="A252" s="84" t="s">
        <v>72</v>
      </c>
      <c r="B252" s="85" t="s">
        <v>114</v>
      </c>
      <c r="C252" s="96" t="s">
        <v>33</v>
      </c>
      <c r="D252" s="86" t="s">
        <v>942</v>
      </c>
      <c r="E252" s="84" t="s">
        <v>943</v>
      </c>
      <c r="F252" s="84" t="s">
        <v>944</v>
      </c>
      <c r="G252" s="88"/>
      <c r="H252" s="84" t="s">
        <v>945</v>
      </c>
      <c r="I252" s="96"/>
      <c r="J252" s="96"/>
      <c r="K252" s="96" t="s">
        <v>235</v>
      </c>
      <c r="L252" s="97">
        <v>6</v>
      </c>
      <c r="M252" s="98" t="s">
        <v>88</v>
      </c>
      <c r="O252" s="96" t="s">
        <v>73</v>
      </c>
      <c r="P252" s="96" t="s">
        <v>88</v>
      </c>
      <c r="Q252" s="99" t="s">
        <v>144</v>
      </c>
      <c r="R252" s="99"/>
      <c r="S252" s="100" t="s">
        <v>161</v>
      </c>
      <c r="T252" s="101" t="s">
        <v>82</v>
      </c>
      <c r="U252" s="101" t="s">
        <v>82</v>
      </c>
      <c r="V252" s="102" t="s">
        <v>83</v>
      </c>
      <c r="W252" s="103"/>
      <c r="X252" s="104"/>
    </row>
    <row r="253" spans="1:24" ht="15" customHeight="1" thickBot="1" x14ac:dyDescent="0.3">
      <c r="A253" s="84" t="s">
        <v>72</v>
      </c>
      <c r="B253" s="85" t="s">
        <v>114</v>
      </c>
      <c r="C253" s="96" t="s">
        <v>33</v>
      </c>
      <c r="D253" s="86" t="s">
        <v>946</v>
      </c>
      <c r="E253" s="84" t="s">
        <v>947</v>
      </c>
      <c r="F253" s="84" t="s">
        <v>948</v>
      </c>
      <c r="G253" s="88"/>
      <c r="H253" s="84" t="s">
        <v>940</v>
      </c>
      <c r="I253" s="96"/>
      <c r="J253" s="96"/>
      <c r="K253" s="96" t="s">
        <v>78</v>
      </c>
      <c r="L253" s="97">
        <v>2</v>
      </c>
      <c r="M253" s="98" t="s">
        <v>100</v>
      </c>
      <c r="N253" s="26" t="s">
        <v>941</v>
      </c>
      <c r="O253" s="96"/>
      <c r="P253" s="96"/>
      <c r="Q253" s="99" t="s">
        <v>173</v>
      </c>
      <c r="R253" s="99"/>
      <c r="S253" s="100" t="s">
        <v>161</v>
      </c>
      <c r="T253" s="101" t="s">
        <v>82</v>
      </c>
      <c r="U253" s="101" t="s">
        <v>82</v>
      </c>
      <c r="V253" s="102" t="s">
        <v>83</v>
      </c>
      <c r="W253" s="103"/>
      <c r="X253" s="104"/>
    </row>
    <row r="254" spans="1:24" ht="15" customHeight="1" thickBot="1" x14ac:dyDescent="0.3">
      <c r="A254" s="84" t="s">
        <v>72</v>
      </c>
      <c r="B254" s="85" t="s">
        <v>114</v>
      </c>
      <c r="C254" s="96" t="s">
        <v>33</v>
      </c>
      <c r="D254" s="86" t="s">
        <v>949</v>
      </c>
      <c r="E254" s="84" t="s">
        <v>950</v>
      </c>
      <c r="F254" s="84" t="s">
        <v>951</v>
      </c>
      <c r="G254" s="88"/>
      <c r="H254" s="84" t="s">
        <v>945</v>
      </c>
      <c r="I254" s="96"/>
      <c r="J254" s="96"/>
      <c r="K254" s="96" t="s">
        <v>235</v>
      </c>
      <c r="L254" s="97">
        <v>6</v>
      </c>
      <c r="M254" s="98" t="s">
        <v>88</v>
      </c>
      <c r="O254" s="96" t="s">
        <v>73</v>
      </c>
      <c r="P254" s="96" t="s">
        <v>88</v>
      </c>
      <c r="Q254" s="99" t="s">
        <v>144</v>
      </c>
      <c r="R254" s="99"/>
      <c r="S254" s="100" t="s">
        <v>161</v>
      </c>
      <c r="T254" s="101" t="s">
        <v>82</v>
      </c>
      <c r="U254" s="101" t="s">
        <v>82</v>
      </c>
      <c r="V254" s="102" t="s">
        <v>83</v>
      </c>
      <c r="W254" s="103"/>
      <c r="X254" s="104"/>
    </row>
    <row r="255" spans="1:24" ht="15" customHeight="1" thickBot="1" x14ac:dyDescent="0.3">
      <c r="A255" s="84" t="s">
        <v>72</v>
      </c>
      <c r="B255" s="85" t="s">
        <v>114</v>
      </c>
      <c r="C255" s="96" t="s">
        <v>33</v>
      </c>
      <c r="D255" s="86" t="s">
        <v>952</v>
      </c>
      <c r="E255" s="84" t="s">
        <v>953</v>
      </c>
      <c r="F255" s="84" t="s">
        <v>954</v>
      </c>
      <c r="G255" s="88"/>
      <c r="H255" s="84" t="s">
        <v>940</v>
      </c>
      <c r="I255" s="96"/>
      <c r="J255" s="96"/>
      <c r="K255" s="96" t="s">
        <v>78</v>
      </c>
      <c r="L255" s="97">
        <v>2</v>
      </c>
      <c r="M255" s="98" t="s">
        <v>100</v>
      </c>
      <c r="N255" s="26" t="s">
        <v>941</v>
      </c>
      <c r="O255" s="96"/>
      <c r="P255" s="96"/>
      <c r="Q255" s="99" t="s">
        <v>173</v>
      </c>
      <c r="R255" s="99"/>
      <c r="S255" s="100" t="s">
        <v>161</v>
      </c>
      <c r="T255" s="101" t="s">
        <v>82</v>
      </c>
      <c r="U255" s="101" t="s">
        <v>82</v>
      </c>
      <c r="V255" s="102" t="s">
        <v>83</v>
      </c>
      <c r="W255" s="103"/>
      <c r="X255" s="104"/>
    </row>
    <row r="256" spans="1:24" ht="15" customHeight="1" thickBot="1" x14ac:dyDescent="0.3">
      <c r="A256" s="84" t="s">
        <v>72</v>
      </c>
      <c r="B256" s="85" t="s">
        <v>114</v>
      </c>
      <c r="C256" s="96" t="s">
        <v>33</v>
      </c>
      <c r="D256" s="86" t="s">
        <v>955</v>
      </c>
      <c r="E256" s="84" t="s">
        <v>956</v>
      </c>
      <c r="F256" s="84" t="s">
        <v>957</v>
      </c>
      <c r="G256" s="88"/>
      <c r="H256" s="84" t="s">
        <v>945</v>
      </c>
      <c r="I256" s="96"/>
      <c r="J256" s="96"/>
      <c r="K256" s="96" t="s">
        <v>235</v>
      </c>
      <c r="L256" s="97">
        <v>6</v>
      </c>
      <c r="M256" s="98" t="s">
        <v>88</v>
      </c>
      <c r="O256" s="96" t="s">
        <v>73</v>
      </c>
      <c r="P256" s="96" t="s">
        <v>88</v>
      </c>
      <c r="Q256" s="99" t="s">
        <v>144</v>
      </c>
      <c r="R256" s="99"/>
      <c r="S256" s="100" t="s">
        <v>161</v>
      </c>
      <c r="T256" s="101" t="s">
        <v>82</v>
      </c>
      <c r="U256" s="101" t="s">
        <v>82</v>
      </c>
      <c r="V256" s="102" t="s">
        <v>83</v>
      </c>
      <c r="W256" s="103"/>
      <c r="X256" s="104"/>
    </row>
    <row r="257" spans="1:24" ht="15" customHeight="1" thickBot="1" x14ac:dyDescent="0.3">
      <c r="A257" s="84" t="s">
        <v>72</v>
      </c>
      <c r="B257" s="85" t="s">
        <v>114</v>
      </c>
      <c r="C257" s="96" t="s">
        <v>33</v>
      </c>
      <c r="D257" s="86" t="s">
        <v>958</v>
      </c>
      <c r="E257" s="84" t="s">
        <v>959</v>
      </c>
      <c r="F257" s="84" t="s">
        <v>960</v>
      </c>
      <c r="G257" s="88"/>
      <c r="H257" s="84" t="s">
        <v>940</v>
      </c>
      <c r="I257" s="96"/>
      <c r="J257" s="96"/>
      <c r="K257" s="96" t="s">
        <v>78</v>
      </c>
      <c r="L257" s="97">
        <v>2</v>
      </c>
      <c r="M257" s="98" t="s">
        <v>100</v>
      </c>
      <c r="N257" s="26" t="s">
        <v>941</v>
      </c>
      <c r="O257" s="96"/>
      <c r="P257" s="96"/>
      <c r="Q257" s="99" t="s">
        <v>173</v>
      </c>
      <c r="R257" s="99"/>
      <c r="S257" s="100" t="s">
        <v>161</v>
      </c>
      <c r="T257" s="101" t="s">
        <v>82</v>
      </c>
      <c r="U257" s="101" t="s">
        <v>82</v>
      </c>
      <c r="V257" s="102" t="s">
        <v>83</v>
      </c>
      <c r="W257" s="103"/>
      <c r="X257" s="104"/>
    </row>
    <row r="258" spans="1:24" ht="15" customHeight="1" thickBot="1" x14ac:dyDescent="0.3">
      <c r="A258" s="84" t="s">
        <v>72</v>
      </c>
      <c r="B258" s="85" t="s">
        <v>114</v>
      </c>
      <c r="C258" s="96" t="s">
        <v>33</v>
      </c>
      <c r="D258" s="86" t="s">
        <v>961</v>
      </c>
      <c r="E258" s="84" t="s">
        <v>962</v>
      </c>
      <c r="F258" s="84" t="s">
        <v>963</v>
      </c>
      <c r="G258" s="88"/>
      <c r="H258" s="84" t="s">
        <v>945</v>
      </c>
      <c r="I258" s="96"/>
      <c r="J258" s="96"/>
      <c r="K258" s="96" t="s">
        <v>235</v>
      </c>
      <c r="L258" s="97">
        <v>6</v>
      </c>
      <c r="M258" s="98" t="s">
        <v>88</v>
      </c>
      <c r="O258" s="96" t="s">
        <v>73</v>
      </c>
      <c r="P258" s="96" t="s">
        <v>88</v>
      </c>
      <c r="Q258" s="99" t="s">
        <v>144</v>
      </c>
      <c r="R258" s="99"/>
      <c r="S258" s="100" t="s">
        <v>161</v>
      </c>
      <c r="T258" s="101" t="s">
        <v>82</v>
      </c>
      <c r="U258" s="101" t="s">
        <v>82</v>
      </c>
      <c r="V258" s="102" t="s">
        <v>83</v>
      </c>
      <c r="W258" s="103"/>
      <c r="X258" s="104"/>
    </row>
    <row r="259" spans="1:24" ht="15" customHeight="1" thickBot="1" x14ac:dyDescent="0.3">
      <c r="A259" s="84" t="s">
        <v>72</v>
      </c>
      <c r="B259" s="85" t="s">
        <v>114</v>
      </c>
      <c r="C259" s="96" t="s">
        <v>33</v>
      </c>
      <c r="D259" s="86" t="s">
        <v>964</v>
      </c>
      <c r="E259" s="84" t="s">
        <v>965</v>
      </c>
      <c r="F259" s="84" t="s">
        <v>966</v>
      </c>
      <c r="G259" s="88"/>
      <c r="H259" s="84" t="s">
        <v>967</v>
      </c>
      <c r="I259" s="96"/>
      <c r="J259" s="96"/>
      <c r="K259" s="96" t="s">
        <v>78</v>
      </c>
      <c r="L259" s="97">
        <v>2</v>
      </c>
      <c r="M259" s="98" t="s">
        <v>100</v>
      </c>
      <c r="N259" s="26" t="s">
        <v>821</v>
      </c>
      <c r="O259" s="96"/>
      <c r="P259" s="96"/>
      <c r="Q259" s="99" t="s">
        <v>144</v>
      </c>
      <c r="R259" s="99"/>
      <c r="S259" s="100" t="s">
        <v>968</v>
      </c>
      <c r="T259" s="101" t="s">
        <v>82</v>
      </c>
      <c r="U259" s="101" t="s">
        <v>82</v>
      </c>
      <c r="V259" s="102" t="s">
        <v>83</v>
      </c>
      <c r="W259" s="103"/>
      <c r="X259" s="104"/>
    </row>
    <row r="260" spans="1:24" ht="15" customHeight="1" thickBot="1" x14ac:dyDescent="0.3">
      <c r="A260" s="84" t="s">
        <v>72</v>
      </c>
      <c r="B260" s="85" t="s">
        <v>114</v>
      </c>
      <c r="C260" s="96" t="s">
        <v>33</v>
      </c>
      <c r="D260" s="86" t="s">
        <v>969</v>
      </c>
      <c r="E260" s="84" t="s">
        <v>970</v>
      </c>
      <c r="F260" s="84" t="s">
        <v>971</v>
      </c>
      <c r="G260" s="88"/>
      <c r="H260" s="84" t="s">
        <v>825</v>
      </c>
      <c r="I260" s="96"/>
      <c r="J260" s="96"/>
      <c r="K260" s="96" t="s">
        <v>446</v>
      </c>
      <c r="L260" s="97">
        <v>5</v>
      </c>
      <c r="M260" s="98">
        <v>999.9</v>
      </c>
      <c r="O260" s="96" t="s">
        <v>73</v>
      </c>
      <c r="P260" s="96" t="s">
        <v>826</v>
      </c>
      <c r="Q260" s="99" t="s">
        <v>144</v>
      </c>
      <c r="R260" s="99"/>
      <c r="S260" s="100" t="s">
        <v>968</v>
      </c>
      <c r="T260" s="101" t="s">
        <v>82</v>
      </c>
      <c r="U260" s="101" t="s">
        <v>82</v>
      </c>
      <c r="V260" s="102" t="s">
        <v>83</v>
      </c>
      <c r="W260" s="103"/>
      <c r="X260" s="104"/>
    </row>
    <row r="261" spans="1:24" ht="15" customHeight="1" thickBot="1" x14ac:dyDescent="0.3">
      <c r="A261" s="84" t="s">
        <v>72</v>
      </c>
      <c r="B261" s="85" t="s">
        <v>114</v>
      </c>
      <c r="C261" s="96" t="s">
        <v>33</v>
      </c>
      <c r="D261" s="86" t="s">
        <v>972</v>
      </c>
      <c r="E261" s="84" t="s">
        <v>973</v>
      </c>
      <c r="F261" s="84" t="s">
        <v>974</v>
      </c>
      <c r="G261" s="88"/>
      <c r="H261" s="84" t="s">
        <v>975</v>
      </c>
      <c r="I261" s="96"/>
      <c r="J261" s="96"/>
      <c r="K261" s="96" t="s">
        <v>78</v>
      </c>
      <c r="L261" s="97">
        <v>2</v>
      </c>
      <c r="M261" s="98" t="s">
        <v>100</v>
      </c>
      <c r="N261" s="26" t="s">
        <v>821</v>
      </c>
      <c r="O261" s="96"/>
      <c r="P261" s="96"/>
      <c r="Q261" s="99" t="s">
        <v>144</v>
      </c>
      <c r="R261" s="99"/>
      <c r="S261" s="100" t="s">
        <v>968</v>
      </c>
      <c r="T261" s="101" t="s">
        <v>82</v>
      </c>
      <c r="U261" s="101" t="s">
        <v>82</v>
      </c>
      <c r="V261" s="102" t="s">
        <v>83</v>
      </c>
      <c r="W261" s="103"/>
      <c r="X261" s="104"/>
    </row>
    <row r="262" spans="1:24" ht="15" customHeight="1" thickBot="1" x14ac:dyDescent="0.3">
      <c r="A262" s="84" t="s">
        <v>72</v>
      </c>
      <c r="B262" s="85" t="s">
        <v>114</v>
      </c>
      <c r="C262" s="96" t="s">
        <v>33</v>
      </c>
      <c r="D262" s="86" t="s">
        <v>976</v>
      </c>
      <c r="E262" s="84" t="s">
        <v>977</v>
      </c>
      <c r="F262" s="84" t="s">
        <v>978</v>
      </c>
      <c r="G262" s="88"/>
      <c r="H262" s="84" t="s">
        <v>834</v>
      </c>
      <c r="I262" s="96"/>
      <c r="J262" s="96"/>
      <c r="K262" s="96" t="s">
        <v>446</v>
      </c>
      <c r="L262" s="97">
        <v>5</v>
      </c>
      <c r="M262" s="98">
        <v>999.9</v>
      </c>
      <c r="O262" s="96" t="s">
        <v>73</v>
      </c>
      <c r="P262" s="96" t="s">
        <v>826</v>
      </c>
      <c r="Q262" s="99" t="s">
        <v>144</v>
      </c>
      <c r="R262" s="99"/>
      <c r="S262" s="100" t="s">
        <v>968</v>
      </c>
      <c r="T262" s="101" t="s">
        <v>82</v>
      </c>
      <c r="U262" s="101" t="s">
        <v>82</v>
      </c>
      <c r="V262" s="102" t="s">
        <v>83</v>
      </c>
      <c r="W262" s="103"/>
      <c r="X262" s="104"/>
    </row>
    <row r="263" spans="1:24" ht="15" customHeight="1" thickBot="1" x14ac:dyDescent="0.3">
      <c r="A263" s="84" t="s">
        <v>72</v>
      </c>
      <c r="B263" s="85" t="s">
        <v>114</v>
      </c>
      <c r="C263" s="96" t="s">
        <v>33</v>
      </c>
      <c r="D263" s="86" t="s">
        <v>979</v>
      </c>
      <c r="E263" s="84" t="s">
        <v>980</v>
      </c>
      <c r="F263" s="84" t="s">
        <v>981</v>
      </c>
      <c r="G263" s="88"/>
      <c r="H263" s="84" t="s">
        <v>982</v>
      </c>
      <c r="I263" s="96"/>
      <c r="J263" s="96"/>
      <c r="K263" s="96" t="s">
        <v>78</v>
      </c>
      <c r="L263" s="97">
        <v>2</v>
      </c>
      <c r="M263" s="98" t="s">
        <v>100</v>
      </c>
      <c r="N263" s="26" t="s">
        <v>821</v>
      </c>
      <c r="O263" s="96"/>
      <c r="P263" s="96"/>
      <c r="Q263" s="99" t="s">
        <v>144</v>
      </c>
      <c r="R263" s="99"/>
      <c r="S263" s="100" t="s">
        <v>968</v>
      </c>
      <c r="T263" s="101" t="s">
        <v>82</v>
      </c>
      <c r="U263" s="101" t="s">
        <v>82</v>
      </c>
      <c r="V263" s="102" t="s">
        <v>83</v>
      </c>
      <c r="W263" s="103"/>
      <c r="X263" s="104"/>
    </row>
    <row r="264" spans="1:24" ht="15" customHeight="1" thickBot="1" x14ac:dyDescent="0.3">
      <c r="A264" s="84" t="s">
        <v>72</v>
      </c>
      <c r="B264" s="85" t="s">
        <v>114</v>
      </c>
      <c r="C264" s="96" t="s">
        <v>33</v>
      </c>
      <c r="D264" s="86" t="s">
        <v>983</v>
      </c>
      <c r="E264" s="84" t="s">
        <v>984</v>
      </c>
      <c r="F264" s="84" t="s">
        <v>985</v>
      </c>
      <c r="G264" s="88"/>
      <c r="H264" s="84" t="s">
        <v>842</v>
      </c>
      <c r="I264" s="96"/>
      <c r="J264" s="96"/>
      <c r="K264" s="96" t="s">
        <v>446</v>
      </c>
      <c r="L264" s="97">
        <v>5</v>
      </c>
      <c r="M264" s="98">
        <v>999.9</v>
      </c>
      <c r="O264" s="96" t="s">
        <v>73</v>
      </c>
      <c r="P264" s="96" t="s">
        <v>826</v>
      </c>
      <c r="Q264" s="99" t="s">
        <v>144</v>
      </c>
      <c r="R264" s="99"/>
      <c r="S264" s="100" t="s">
        <v>968</v>
      </c>
      <c r="T264" s="101" t="s">
        <v>82</v>
      </c>
      <c r="U264" s="101" t="s">
        <v>82</v>
      </c>
      <c r="V264" s="102" t="s">
        <v>83</v>
      </c>
      <c r="W264" s="103"/>
      <c r="X264" s="104"/>
    </row>
    <row r="265" spans="1:24" ht="15" customHeight="1" thickBot="1" x14ac:dyDescent="0.3">
      <c r="A265" s="84" t="s">
        <v>72</v>
      </c>
      <c r="B265" s="85" t="s">
        <v>114</v>
      </c>
      <c r="C265" s="96" t="s">
        <v>33</v>
      </c>
      <c r="D265" s="86" t="s">
        <v>986</v>
      </c>
      <c r="E265" s="84" t="s">
        <v>987</v>
      </c>
      <c r="F265" s="84" t="s">
        <v>988</v>
      </c>
      <c r="G265" s="88"/>
      <c r="H265" s="84" t="s">
        <v>989</v>
      </c>
      <c r="I265" s="96"/>
      <c r="J265" s="96"/>
      <c r="K265" s="96" t="s">
        <v>78</v>
      </c>
      <c r="L265" s="97">
        <v>2</v>
      </c>
      <c r="M265" s="98" t="s">
        <v>100</v>
      </c>
      <c r="N265" s="26" t="s">
        <v>821</v>
      </c>
      <c r="O265" s="96"/>
      <c r="P265" s="96"/>
      <c r="Q265" s="99" t="s">
        <v>144</v>
      </c>
      <c r="R265" s="99"/>
      <c r="S265" s="100" t="s">
        <v>968</v>
      </c>
      <c r="T265" s="101" t="s">
        <v>82</v>
      </c>
      <c r="U265" s="101" t="s">
        <v>82</v>
      </c>
      <c r="V265" s="102" t="s">
        <v>83</v>
      </c>
      <c r="W265" s="103"/>
      <c r="X265" s="104"/>
    </row>
    <row r="266" spans="1:24" ht="15" customHeight="1" thickBot="1" x14ac:dyDescent="0.3">
      <c r="A266" s="84" t="s">
        <v>72</v>
      </c>
      <c r="B266" s="85" t="s">
        <v>114</v>
      </c>
      <c r="C266" s="96" t="s">
        <v>33</v>
      </c>
      <c r="D266" s="86" t="s">
        <v>990</v>
      </c>
      <c r="E266" s="84" t="s">
        <v>991</v>
      </c>
      <c r="F266" s="84" t="s">
        <v>992</v>
      </c>
      <c r="G266" s="88"/>
      <c r="H266" s="84" t="s">
        <v>850</v>
      </c>
      <c r="I266" s="96"/>
      <c r="J266" s="96"/>
      <c r="K266" s="96" t="s">
        <v>446</v>
      </c>
      <c r="L266" s="97">
        <v>5</v>
      </c>
      <c r="M266" s="98">
        <v>999.9</v>
      </c>
      <c r="O266" s="96" t="s">
        <v>73</v>
      </c>
      <c r="P266" s="96" t="s">
        <v>826</v>
      </c>
      <c r="Q266" s="99" t="s">
        <v>144</v>
      </c>
      <c r="R266" s="99"/>
      <c r="S266" s="100" t="s">
        <v>968</v>
      </c>
      <c r="T266" s="101" t="s">
        <v>82</v>
      </c>
      <c r="U266" s="101" t="s">
        <v>82</v>
      </c>
      <c r="V266" s="102" t="s">
        <v>83</v>
      </c>
      <c r="W266" s="103"/>
      <c r="X266" s="104"/>
    </row>
    <row r="267" spans="1:24" ht="15" customHeight="1" thickBot="1" x14ac:dyDescent="0.3">
      <c r="A267" s="84" t="s">
        <v>72</v>
      </c>
      <c r="B267" s="85" t="s">
        <v>114</v>
      </c>
      <c r="C267" s="96" t="s">
        <v>33</v>
      </c>
      <c r="D267" s="86" t="s">
        <v>993</v>
      </c>
      <c r="E267" s="84" t="s">
        <v>994</v>
      </c>
      <c r="F267" s="84" t="s">
        <v>995</v>
      </c>
      <c r="G267" s="88"/>
      <c r="H267" s="84" t="s">
        <v>996</v>
      </c>
      <c r="I267" s="96"/>
      <c r="J267" s="96"/>
      <c r="K267" s="84" t="s">
        <v>1181</v>
      </c>
      <c r="L267" s="97"/>
      <c r="M267" s="98" t="s">
        <v>135</v>
      </c>
      <c r="O267" s="96"/>
      <c r="P267" s="96"/>
      <c r="Q267" s="99" t="s">
        <v>173</v>
      </c>
      <c r="R267" s="99"/>
      <c r="S267" s="100" t="s">
        <v>448</v>
      </c>
      <c r="T267" s="101" t="s">
        <v>82</v>
      </c>
      <c r="U267" s="101" t="s">
        <v>82</v>
      </c>
      <c r="V267" s="102" t="s">
        <v>83</v>
      </c>
      <c r="W267" s="103"/>
      <c r="X267" s="104"/>
    </row>
    <row r="268" spans="1:24" ht="15" customHeight="1" thickBot="1" x14ac:dyDescent="0.3">
      <c r="A268" s="84" t="s">
        <v>72</v>
      </c>
      <c r="B268" s="85" t="s">
        <v>114</v>
      </c>
      <c r="C268" s="96" t="s">
        <v>33</v>
      </c>
      <c r="D268" s="86" t="s">
        <v>997</v>
      </c>
      <c r="E268" s="84" t="s">
        <v>998</v>
      </c>
      <c r="F268" s="84" t="s">
        <v>999</v>
      </c>
      <c r="G268" s="88"/>
      <c r="H268" s="84" t="s">
        <v>1000</v>
      </c>
      <c r="I268" s="96"/>
      <c r="J268" s="96"/>
      <c r="K268" s="96" t="s">
        <v>78</v>
      </c>
      <c r="L268" s="97">
        <v>2</v>
      </c>
      <c r="M268" s="98" t="s">
        <v>100</v>
      </c>
      <c r="N268" s="26" t="s">
        <v>1001</v>
      </c>
      <c r="O268" s="96"/>
      <c r="P268" s="96"/>
      <c r="Q268" s="99" t="s">
        <v>144</v>
      </c>
      <c r="R268" s="99"/>
      <c r="S268" s="100" t="s">
        <v>119</v>
      </c>
      <c r="T268" s="101" t="s">
        <v>82</v>
      </c>
      <c r="U268" s="101" t="s">
        <v>82</v>
      </c>
      <c r="V268" s="102" t="s">
        <v>83</v>
      </c>
      <c r="W268" s="103"/>
      <c r="X268" s="104"/>
    </row>
    <row r="269" spans="1:24" ht="15" customHeight="1" thickBot="1" x14ac:dyDescent="0.3">
      <c r="A269" s="84" t="s">
        <v>72</v>
      </c>
      <c r="B269" s="85" t="s">
        <v>114</v>
      </c>
      <c r="C269" s="96" t="s">
        <v>33</v>
      </c>
      <c r="D269" s="86" t="s">
        <v>1002</v>
      </c>
      <c r="E269" s="84" t="s">
        <v>550</v>
      </c>
      <c r="F269" s="84" t="s">
        <v>551</v>
      </c>
      <c r="G269" s="88"/>
      <c r="H269" s="84" t="s">
        <v>552</v>
      </c>
      <c r="I269" s="96"/>
      <c r="J269" s="96"/>
      <c r="K269" s="96" t="s">
        <v>1186</v>
      </c>
      <c r="L269" s="97">
        <v>250</v>
      </c>
      <c r="M269" s="98"/>
      <c r="O269" s="96"/>
      <c r="P269" s="96"/>
      <c r="Q269" s="99" t="s">
        <v>173</v>
      </c>
      <c r="R269" s="99"/>
      <c r="S269" s="100"/>
      <c r="T269" s="101" t="s">
        <v>107</v>
      </c>
      <c r="U269" s="101" t="s">
        <v>82</v>
      </c>
      <c r="V269" s="102"/>
      <c r="W269" s="103"/>
      <c r="X269" s="104"/>
    </row>
    <row r="270" spans="1:24" s="83" customFormat="1" ht="15" customHeight="1" thickBot="1" x14ac:dyDescent="0.3">
      <c r="A270" s="28" t="s">
        <v>72</v>
      </c>
      <c r="B270" s="76">
        <v>8</v>
      </c>
      <c r="C270" s="28" t="s">
        <v>36</v>
      </c>
      <c r="D270" s="28" t="s">
        <v>73</v>
      </c>
      <c r="E270" s="28" t="s">
        <v>36</v>
      </c>
      <c r="F270" s="77" t="s">
        <v>36</v>
      </c>
      <c r="G270" s="28"/>
      <c r="H270" s="28"/>
      <c r="I270" s="28"/>
      <c r="J270" s="28"/>
      <c r="K270" s="28"/>
      <c r="L270" s="28"/>
      <c r="M270" s="78"/>
      <c r="N270" s="28"/>
      <c r="O270" s="28"/>
      <c r="P270" s="28"/>
      <c r="Q270" s="79"/>
      <c r="R270" s="99"/>
      <c r="S270" s="75"/>
      <c r="T270" s="118"/>
      <c r="U270" s="118"/>
      <c r="V270" s="118"/>
      <c r="W270" s="75"/>
      <c r="X270" s="75"/>
    </row>
    <row r="271" spans="1:24" ht="15" customHeight="1" thickBot="1" x14ac:dyDescent="0.3">
      <c r="A271" s="84" t="s">
        <v>72</v>
      </c>
      <c r="B271" s="85" t="s">
        <v>120</v>
      </c>
      <c r="C271" s="96" t="s">
        <v>36</v>
      </c>
      <c r="D271" s="86" t="s">
        <v>74</v>
      </c>
      <c r="E271" s="84" t="s">
        <v>590</v>
      </c>
      <c r="F271" s="84" t="s">
        <v>591</v>
      </c>
      <c r="G271" s="88"/>
      <c r="H271" s="84" t="s">
        <v>592</v>
      </c>
      <c r="I271" s="96"/>
      <c r="J271" s="96"/>
      <c r="K271" s="96" t="s">
        <v>1153</v>
      </c>
      <c r="L271" s="97">
        <v>9</v>
      </c>
      <c r="M271" s="98" t="s">
        <v>13444</v>
      </c>
      <c r="O271" s="96"/>
      <c r="P271" s="96"/>
      <c r="Q271" s="99" t="s">
        <v>64</v>
      </c>
      <c r="R271" s="99"/>
      <c r="S271" s="100"/>
      <c r="T271" s="101"/>
      <c r="U271" s="101"/>
      <c r="V271" s="102"/>
      <c r="W271" s="103"/>
      <c r="X271" s="104"/>
    </row>
    <row r="272" spans="1:24" ht="15" customHeight="1" thickBot="1" x14ac:dyDescent="0.3">
      <c r="A272" s="84" t="s">
        <v>72</v>
      </c>
      <c r="B272" s="85" t="s">
        <v>120</v>
      </c>
      <c r="C272" s="96" t="s">
        <v>36</v>
      </c>
      <c r="D272" s="86" t="s">
        <v>84</v>
      </c>
      <c r="E272" s="84" t="s">
        <v>75</v>
      </c>
      <c r="F272" s="84" t="s">
        <v>76</v>
      </c>
      <c r="G272" s="88"/>
      <c r="H272" s="84" t="s">
        <v>1003</v>
      </c>
      <c r="I272" s="96"/>
      <c r="J272" s="96"/>
      <c r="K272" s="96" t="s">
        <v>78</v>
      </c>
      <c r="L272" s="97">
        <v>4</v>
      </c>
      <c r="M272" s="98">
        <v>9999</v>
      </c>
      <c r="N272" s="25" t="s">
        <v>80</v>
      </c>
      <c r="O272" s="96"/>
      <c r="P272" s="96"/>
      <c r="Q272" s="99" t="s">
        <v>64</v>
      </c>
      <c r="R272" s="99"/>
      <c r="S272" s="100"/>
      <c r="T272" s="101"/>
      <c r="U272" s="101"/>
      <c r="V272" s="102"/>
      <c r="W272" s="103"/>
      <c r="X272" s="104"/>
    </row>
    <row r="273" spans="1:24" ht="15" customHeight="1" thickBot="1" x14ac:dyDescent="0.3">
      <c r="A273" s="114" t="s">
        <v>72</v>
      </c>
      <c r="B273" s="85" t="s">
        <v>120</v>
      </c>
      <c r="C273" s="96" t="s">
        <v>36</v>
      </c>
      <c r="D273" s="86" t="s">
        <v>90</v>
      </c>
      <c r="E273" s="84" t="s">
        <v>1004</v>
      </c>
      <c r="F273" s="84" t="s">
        <v>1005</v>
      </c>
      <c r="G273" s="88"/>
      <c r="H273" s="84" t="s">
        <v>1006</v>
      </c>
      <c r="I273" s="96"/>
      <c r="J273" s="96"/>
      <c r="K273" s="347" t="s">
        <v>78</v>
      </c>
      <c r="L273" s="97">
        <v>1</v>
      </c>
      <c r="M273" s="98" t="s">
        <v>126</v>
      </c>
      <c r="N273" s="348" t="s">
        <v>1004</v>
      </c>
      <c r="O273" s="96" t="s">
        <v>74</v>
      </c>
      <c r="P273" s="96" t="s">
        <v>90</v>
      </c>
      <c r="Q273" s="99" t="s">
        <v>144</v>
      </c>
      <c r="R273" s="99"/>
      <c r="S273" s="100"/>
      <c r="T273" s="101"/>
      <c r="U273" s="101"/>
      <c r="V273" s="102"/>
      <c r="W273" s="103"/>
      <c r="X273" s="104"/>
    </row>
    <row r="274" spans="1:24" ht="15" customHeight="1" thickBot="1" x14ac:dyDescent="0.3">
      <c r="A274" s="84" t="s">
        <v>72</v>
      </c>
      <c r="B274" s="85" t="s">
        <v>120</v>
      </c>
      <c r="C274" s="96" t="s">
        <v>36</v>
      </c>
      <c r="D274" s="86" t="s">
        <v>96</v>
      </c>
      <c r="E274" s="84" t="s">
        <v>115</v>
      </c>
      <c r="F274" s="84" t="s">
        <v>116</v>
      </c>
      <c r="G274" s="88"/>
      <c r="H274" s="84" t="s">
        <v>117</v>
      </c>
      <c r="I274" s="96"/>
      <c r="J274" s="96"/>
      <c r="K274" s="96" t="s">
        <v>1186</v>
      </c>
      <c r="L274" s="97">
        <v>15</v>
      </c>
      <c r="M274" s="98"/>
      <c r="O274" s="96"/>
      <c r="P274" s="96"/>
      <c r="Q274" s="99" t="s">
        <v>144</v>
      </c>
      <c r="R274" s="99"/>
      <c r="S274" s="100"/>
      <c r="T274" s="101"/>
      <c r="U274" s="101"/>
      <c r="V274" s="102"/>
      <c r="W274" s="103"/>
      <c r="X274" s="104"/>
    </row>
    <row r="275" spans="1:24" ht="15" customHeight="1" thickBot="1" x14ac:dyDescent="0.3">
      <c r="A275" s="84" t="s">
        <v>72</v>
      </c>
      <c r="B275" s="85" t="s">
        <v>120</v>
      </c>
      <c r="C275" s="96" t="s">
        <v>36</v>
      </c>
      <c r="D275" s="86" t="s">
        <v>102</v>
      </c>
      <c r="E275" s="84" t="s">
        <v>121</v>
      </c>
      <c r="F275" s="84" t="s">
        <v>122</v>
      </c>
      <c r="G275" s="88"/>
      <c r="H275" s="84" t="s">
        <v>393</v>
      </c>
      <c r="I275" s="96"/>
      <c r="J275" s="96"/>
      <c r="K275" s="96" t="s">
        <v>1186</v>
      </c>
      <c r="L275" s="97">
        <v>25</v>
      </c>
      <c r="M275" s="98"/>
      <c r="O275" s="96"/>
      <c r="P275" s="96"/>
      <c r="Q275" s="99" t="s">
        <v>144</v>
      </c>
      <c r="R275" s="99"/>
      <c r="S275" s="100"/>
      <c r="T275" s="101"/>
      <c r="U275" s="101"/>
      <c r="V275" s="102"/>
      <c r="W275" s="103"/>
      <c r="X275" s="104"/>
    </row>
    <row r="276" spans="1:24" ht="15" customHeight="1" thickBot="1" x14ac:dyDescent="0.3">
      <c r="A276" s="84" t="s">
        <v>72</v>
      </c>
      <c r="B276" s="85" t="s">
        <v>120</v>
      </c>
      <c r="C276" s="96" t="s">
        <v>36</v>
      </c>
      <c r="D276" s="86" t="s">
        <v>109</v>
      </c>
      <c r="E276" s="84" t="s">
        <v>127</v>
      </c>
      <c r="F276" s="84" t="s">
        <v>128</v>
      </c>
      <c r="G276" s="88"/>
      <c r="H276" s="84" t="s">
        <v>394</v>
      </c>
      <c r="I276" s="96"/>
      <c r="J276" s="96"/>
      <c r="K276" s="96" t="s">
        <v>1186</v>
      </c>
      <c r="L276" s="97">
        <v>50</v>
      </c>
      <c r="M276" s="98"/>
      <c r="O276" s="96"/>
      <c r="P276" s="96"/>
      <c r="Q276" s="99" t="s">
        <v>144</v>
      </c>
      <c r="R276" s="99"/>
      <c r="S276" s="100"/>
      <c r="T276" s="101"/>
      <c r="U276" s="101"/>
      <c r="V276" s="102"/>
      <c r="W276" s="103"/>
      <c r="X276" s="104"/>
    </row>
    <row r="277" spans="1:24" ht="15" customHeight="1" thickBot="1" x14ac:dyDescent="0.3">
      <c r="A277" s="116" t="s">
        <v>72</v>
      </c>
      <c r="B277" s="85" t="s">
        <v>120</v>
      </c>
      <c r="C277" s="96" t="s">
        <v>36</v>
      </c>
      <c r="D277" s="86" t="s">
        <v>114</v>
      </c>
      <c r="E277" s="84" t="s">
        <v>1007</v>
      </c>
      <c r="F277" s="84" t="s">
        <v>1008</v>
      </c>
      <c r="G277" s="88"/>
      <c r="H277" s="84" t="s">
        <v>1009</v>
      </c>
      <c r="I277" s="96"/>
      <c r="J277" s="96"/>
      <c r="K277" s="96" t="s">
        <v>78</v>
      </c>
      <c r="L277" s="97">
        <v>6</v>
      </c>
      <c r="M277" s="98" t="s">
        <v>88</v>
      </c>
      <c r="N277" s="26" t="s">
        <v>1010</v>
      </c>
      <c r="O277" s="96"/>
      <c r="P277" s="96"/>
      <c r="Q277" s="99" t="s">
        <v>64</v>
      </c>
      <c r="R277" s="99"/>
      <c r="S277" s="100"/>
      <c r="T277" s="101"/>
      <c r="U277" s="101"/>
      <c r="V277" s="102"/>
      <c r="W277" s="103"/>
      <c r="X277" s="104"/>
    </row>
    <row r="278" spans="1:24" ht="15" customHeight="1" thickBot="1" x14ac:dyDescent="0.3">
      <c r="A278" s="84" t="s">
        <v>72</v>
      </c>
      <c r="B278" s="85" t="s">
        <v>120</v>
      </c>
      <c r="C278" s="96" t="s">
        <v>36</v>
      </c>
      <c r="D278" s="86" t="s">
        <v>120</v>
      </c>
      <c r="E278" s="84" t="s">
        <v>1011</v>
      </c>
      <c r="F278" s="84" t="s">
        <v>1012</v>
      </c>
      <c r="G278" s="88"/>
      <c r="H278" s="84" t="s">
        <v>1013</v>
      </c>
      <c r="I278" s="96"/>
      <c r="J278" s="96"/>
      <c r="K278" s="96" t="s">
        <v>78</v>
      </c>
      <c r="L278" s="97">
        <v>1</v>
      </c>
      <c r="M278" s="98" t="s">
        <v>94</v>
      </c>
      <c r="N278" s="26" t="s">
        <v>1011</v>
      </c>
      <c r="O278" s="96"/>
      <c r="P278" s="96"/>
      <c r="Q278" s="99" t="s">
        <v>144</v>
      </c>
      <c r="R278" s="99"/>
      <c r="S278" s="100"/>
      <c r="T278" s="101"/>
      <c r="U278" s="101"/>
      <c r="V278" s="102"/>
      <c r="W278" s="103"/>
      <c r="X278" s="104"/>
    </row>
    <row r="279" spans="1:24" ht="15" customHeight="1" thickBot="1" x14ac:dyDescent="0.3">
      <c r="A279" s="84" t="s">
        <v>72</v>
      </c>
      <c r="B279" s="85" t="s">
        <v>120</v>
      </c>
      <c r="C279" s="96" t="s">
        <v>36</v>
      </c>
      <c r="D279" s="86" t="s">
        <v>126</v>
      </c>
      <c r="E279" s="84" t="s">
        <v>1014</v>
      </c>
      <c r="F279" s="84" t="s">
        <v>1014</v>
      </c>
      <c r="G279" s="88"/>
      <c r="H279" s="84" t="s">
        <v>1015</v>
      </c>
      <c r="I279" s="96"/>
      <c r="J279" s="96"/>
      <c r="K279" s="96" t="s">
        <v>235</v>
      </c>
      <c r="L279" s="97">
        <v>5</v>
      </c>
      <c r="M279" s="98" t="s">
        <v>1016</v>
      </c>
      <c r="O279" s="96" t="s">
        <v>73</v>
      </c>
      <c r="P279" s="96" t="s">
        <v>1017</v>
      </c>
      <c r="Q279" s="99" t="s">
        <v>64</v>
      </c>
      <c r="R279" s="99"/>
      <c r="S279" s="100"/>
      <c r="T279" s="101"/>
      <c r="U279" s="101"/>
      <c r="V279" s="102"/>
      <c r="W279" s="103"/>
      <c r="X279" s="104"/>
    </row>
    <row r="280" spans="1:24" ht="15" customHeight="1" thickBot="1" x14ac:dyDescent="0.3">
      <c r="A280" s="84" t="s">
        <v>72</v>
      </c>
      <c r="B280" s="85" t="s">
        <v>120</v>
      </c>
      <c r="C280" s="96" t="s">
        <v>36</v>
      </c>
      <c r="D280" s="86" t="s">
        <v>130</v>
      </c>
      <c r="E280" s="84" t="s">
        <v>1018</v>
      </c>
      <c r="F280" s="84" t="s">
        <v>1019</v>
      </c>
      <c r="G280" s="88"/>
      <c r="H280" s="84" t="s">
        <v>1020</v>
      </c>
      <c r="I280" s="96"/>
      <c r="J280" s="96"/>
      <c r="K280" s="96" t="s">
        <v>235</v>
      </c>
      <c r="L280" s="97">
        <v>6</v>
      </c>
      <c r="M280" s="98" t="s">
        <v>645</v>
      </c>
      <c r="O280" s="96" t="s">
        <v>73</v>
      </c>
      <c r="P280" s="96" t="s">
        <v>645</v>
      </c>
      <c r="Q280" s="99" t="s">
        <v>144</v>
      </c>
      <c r="R280" s="99"/>
      <c r="S280" s="100"/>
      <c r="T280" s="101"/>
      <c r="U280" s="101"/>
      <c r="V280" s="102"/>
      <c r="W280" s="103"/>
      <c r="X280" s="104"/>
    </row>
    <row r="281" spans="1:24" ht="15" customHeight="1" thickBot="1" x14ac:dyDescent="0.3">
      <c r="A281" s="84" t="s">
        <v>72</v>
      </c>
      <c r="B281" s="85" t="s">
        <v>120</v>
      </c>
      <c r="C281" s="96" t="s">
        <v>36</v>
      </c>
      <c r="D281" s="86" t="s">
        <v>136</v>
      </c>
      <c r="E281" s="84" t="s">
        <v>1021</v>
      </c>
      <c r="F281" s="84" t="s">
        <v>1022</v>
      </c>
      <c r="G281" s="88"/>
      <c r="H281" s="84" t="s">
        <v>1023</v>
      </c>
      <c r="I281" s="96"/>
      <c r="J281" s="96"/>
      <c r="K281" s="96" t="s">
        <v>446</v>
      </c>
      <c r="L281" s="97">
        <v>4</v>
      </c>
      <c r="M281" s="98" t="s">
        <v>1024</v>
      </c>
      <c r="O281" s="96" t="s">
        <v>73</v>
      </c>
      <c r="P281" s="96">
        <v>80</v>
      </c>
      <c r="Q281" s="99" t="s">
        <v>144</v>
      </c>
      <c r="R281" s="99"/>
      <c r="S281" s="100"/>
      <c r="T281" s="101"/>
      <c r="U281" s="101"/>
      <c r="V281" s="102"/>
      <c r="W281" s="103"/>
      <c r="X281" s="104"/>
    </row>
    <row r="282" spans="1:24" ht="15" customHeight="1" thickBot="1" x14ac:dyDescent="0.3">
      <c r="A282" s="84" t="s">
        <v>72</v>
      </c>
      <c r="B282" s="85" t="s">
        <v>120</v>
      </c>
      <c r="C282" s="96" t="s">
        <v>36</v>
      </c>
      <c r="D282" s="86" t="s">
        <v>140</v>
      </c>
      <c r="E282" s="84" t="s">
        <v>1025</v>
      </c>
      <c r="F282" s="84" t="s">
        <v>1026</v>
      </c>
      <c r="G282" s="88"/>
      <c r="H282" s="84" t="s">
        <v>1027</v>
      </c>
      <c r="I282" s="96"/>
      <c r="J282" s="96"/>
      <c r="K282" s="96" t="s">
        <v>235</v>
      </c>
      <c r="L282" s="97">
        <v>2</v>
      </c>
      <c r="M282" s="98" t="s">
        <v>211</v>
      </c>
      <c r="O282" s="96" t="s">
        <v>73</v>
      </c>
      <c r="P282" s="96" t="s">
        <v>722</v>
      </c>
      <c r="Q282" s="99" t="s">
        <v>144</v>
      </c>
      <c r="R282" s="99"/>
      <c r="S282" s="100"/>
      <c r="T282" s="101"/>
      <c r="U282" s="101"/>
      <c r="V282" s="102"/>
      <c r="W282" s="103"/>
      <c r="X282" s="104"/>
    </row>
    <row r="283" spans="1:24" ht="15" customHeight="1" thickBot="1" x14ac:dyDescent="0.3">
      <c r="A283" s="84" t="s">
        <v>72</v>
      </c>
      <c r="B283" s="85" t="s">
        <v>120</v>
      </c>
      <c r="C283" s="96" t="s">
        <v>36</v>
      </c>
      <c r="D283" s="86" t="s">
        <v>146</v>
      </c>
      <c r="E283" s="84" t="s">
        <v>1028</v>
      </c>
      <c r="F283" s="84" t="s">
        <v>1029</v>
      </c>
      <c r="G283" s="88"/>
      <c r="H283" s="84" t="s">
        <v>1030</v>
      </c>
      <c r="I283" s="96"/>
      <c r="J283" s="96"/>
      <c r="K283" s="84" t="s">
        <v>1181</v>
      </c>
      <c r="L283" s="97">
        <v>10</v>
      </c>
      <c r="M283" s="98" t="s">
        <v>135</v>
      </c>
      <c r="O283" s="96"/>
      <c r="P283" s="96"/>
      <c r="Q283" s="99" t="s">
        <v>64</v>
      </c>
      <c r="R283" s="99"/>
      <c r="S283" s="100"/>
      <c r="T283" s="101"/>
      <c r="U283" s="101"/>
      <c r="V283" s="102"/>
      <c r="W283" s="103"/>
      <c r="X283" s="104"/>
    </row>
    <row r="284" spans="1:24" ht="15" customHeight="1" thickBot="1" x14ac:dyDescent="0.3">
      <c r="A284" s="84" t="s">
        <v>72</v>
      </c>
      <c r="B284" s="85" t="s">
        <v>120</v>
      </c>
      <c r="C284" s="96" t="s">
        <v>36</v>
      </c>
      <c r="D284" s="86" t="s">
        <v>150</v>
      </c>
      <c r="E284" s="84" t="s">
        <v>1031</v>
      </c>
      <c r="F284" s="84" t="s">
        <v>1032</v>
      </c>
      <c r="G284" s="88"/>
      <c r="H284" s="84" t="s">
        <v>1033</v>
      </c>
      <c r="I284" s="96"/>
      <c r="J284" s="96"/>
      <c r="K284" s="84" t="s">
        <v>1181</v>
      </c>
      <c r="L284" s="97">
        <v>10</v>
      </c>
      <c r="M284" s="98" t="s">
        <v>135</v>
      </c>
      <c r="O284" s="96"/>
      <c r="P284" s="96"/>
      <c r="Q284" s="99" t="s">
        <v>144</v>
      </c>
      <c r="R284" s="99"/>
      <c r="S284" s="100"/>
      <c r="T284" s="101"/>
      <c r="U284" s="101"/>
      <c r="V284" s="102"/>
      <c r="W284" s="103"/>
      <c r="X284" s="104"/>
    </row>
    <row r="285" spans="1:24" ht="15" customHeight="1" thickBot="1" x14ac:dyDescent="0.3">
      <c r="A285" s="84" t="s">
        <v>72</v>
      </c>
      <c r="B285" s="85" t="s">
        <v>120</v>
      </c>
      <c r="C285" s="96" t="s">
        <v>36</v>
      </c>
      <c r="D285" s="86" t="s">
        <v>154</v>
      </c>
      <c r="E285" s="84" t="s">
        <v>550</v>
      </c>
      <c r="F285" s="84" t="s">
        <v>551</v>
      </c>
      <c r="G285" s="88"/>
      <c r="H285" s="84" t="s">
        <v>552</v>
      </c>
      <c r="I285" s="96"/>
      <c r="J285" s="96"/>
      <c r="K285" s="96" t="s">
        <v>1186</v>
      </c>
      <c r="L285" s="97">
        <v>250</v>
      </c>
      <c r="M285" s="98"/>
      <c r="O285" s="96"/>
      <c r="P285" s="96"/>
      <c r="Q285" s="99" t="s">
        <v>173</v>
      </c>
      <c r="R285" s="99"/>
      <c r="S285" s="100"/>
      <c r="T285" s="101"/>
      <c r="U285" s="101"/>
      <c r="V285" s="102"/>
      <c r="W285" s="103"/>
      <c r="X285" s="104"/>
    </row>
    <row r="286" spans="1:24" s="83" customFormat="1" ht="15" customHeight="1" thickBot="1" x14ac:dyDescent="0.3">
      <c r="A286" s="28" t="s">
        <v>72</v>
      </c>
      <c r="B286" s="112" t="s">
        <v>126</v>
      </c>
      <c r="C286" s="28" t="s">
        <v>37</v>
      </c>
      <c r="D286" s="28" t="s">
        <v>73</v>
      </c>
      <c r="E286" s="28" t="s">
        <v>37</v>
      </c>
      <c r="F286" s="77" t="s">
        <v>37</v>
      </c>
      <c r="G286" s="28" t="b">
        <v>0</v>
      </c>
      <c r="H286" s="28" t="s">
        <v>1034</v>
      </c>
      <c r="I286" s="28"/>
      <c r="J286" s="28"/>
      <c r="K286" s="28"/>
      <c r="L286" s="28"/>
      <c r="M286" s="78"/>
      <c r="N286" s="28"/>
      <c r="O286" s="28"/>
      <c r="P286" s="28"/>
      <c r="Q286" s="79"/>
      <c r="R286" s="99"/>
      <c r="S286" s="75"/>
      <c r="T286" s="118"/>
      <c r="U286" s="118"/>
      <c r="V286" s="118"/>
      <c r="W286" s="75"/>
      <c r="X286" s="75"/>
    </row>
    <row r="287" spans="1:24" ht="15" customHeight="1" thickBot="1" x14ac:dyDescent="0.3">
      <c r="A287" s="84" t="s">
        <v>72</v>
      </c>
      <c r="B287" s="85" t="s">
        <v>126</v>
      </c>
      <c r="C287" s="96" t="s">
        <v>37</v>
      </c>
      <c r="D287" s="86" t="s">
        <v>74</v>
      </c>
      <c r="E287" s="84" t="s">
        <v>158</v>
      </c>
      <c r="F287" s="84" t="s">
        <v>159</v>
      </c>
      <c r="G287" s="88"/>
      <c r="H287" s="84" t="s">
        <v>160</v>
      </c>
      <c r="I287" s="96"/>
      <c r="J287" s="96"/>
      <c r="K287" s="96" t="s">
        <v>1153</v>
      </c>
      <c r="L287" s="97">
        <v>9</v>
      </c>
      <c r="M287" s="98">
        <v>999999999</v>
      </c>
      <c r="O287" s="96"/>
      <c r="P287" s="96"/>
      <c r="Q287" s="99" t="s">
        <v>64</v>
      </c>
      <c r="R287" s="99"/>
      <c r="S287" s="100"/>
      <c r="T287" s="101"/>
      <c r="U287" s="101"/>
      <c r="V287" s="102"/>
      <c r="W287" s="103"/>
      <c r="X287" s="104"/>
    </row>
    <row r="288" spans="1:24" ht="15" customHeight="1" thickBot="1" x14ac:dyDescent="0.3">
      <c r="A288" s="84" t="s">
        <v>72</v>
      </c>
      <c r="B288" s="85" t="s">
        <v>126</v>
      </c>
      <c r="C288" s="96" t="s">
        <v>37</v>
      </c>
      <c r="D288" s="86" t="s">
        <v>84</v>
      </c>
      <c r="E288" s="84" t="s">
        <v>1035</v>
      </c>
      <c r="F288" s="84" t="s">
        <v>1036</v>
      </c>
      <c r="G288" s="88"/>
      <c r="H288" s="84" t="s">
        <v>1037</v>
      </c>
      <c r="I288" s="96"/>
      <c r="J288" s="96"/>
      <c r="K288" s="96" t="s">
        <v>1186</v>
      </c>
      <c r="L288" s="97">
        <v>9</v>
      </c>
      <c r="M288" s="98" t="s">
        <v>13444</v>
      </c>
      <c r="O288" s="96"/>
      <c r="P288" s="96"/>
      <c r="Q288" s="99" t="s">
        <v>64</v>
      </c>
      <c r="R288" s="99"/>
      <c r="S288" s="100"/>
      <c r="T288" s="101"/>
      <c r="U288" s="101"/>
      <c r="V288" s="102"/>
      <c r="W288" s="103"/>
      <c r="X288" s="104"/>
    </row>
    <row r="289" spans="1:24" ht="15" customHeight="1" thickBot="1" x14ac:dyDescent="0.3">
      <c r="A289" s="84" t="s">
        <v>72</v>
      </c>
      <c r="B289" s="85" t="s">
        <v>126</v>
      </c>
      <c r="C289" s="96" t="s">
        <v>37</v>
      </c>
      <c r="D289" s="86" t="s">
        <v>90</v>
      </c>
      <c r="E289" s="84" t="s">
        <v>1038</v>
      </c>
      <c r="F289" s="84" t="s">
        <v>1039</v>
      </c>
      <c r="G289" s="88"/>
      <c r="H289" s="84" t="s">
        <v>1040</v>
      </c>
      <c r="I289" s="96"/>
      <c r="J289" s="96"/>
      <c r="K289" s="84" t="s">
        <v>1181</v>
      </c>
      <c r="L289" s="97">
        <v>10</v>
      </c>
      <c r="M289" s="98" t="s">
        <v>135</v>
      </c>
      <c r="O289" s="96"/>
      <c r="P289" s="96"/>
      <c r="Q289" s="99" t="s">
        <v>64</v>
      </c>
      <c r="R289" s="99"/>
      <c r="S289" s="100"/>
      <c r="T289" s="101"/>
      <c r="U289" s="101"/>
      <c r="V289" s="102"/>
      <c r="W289" s="103"/>
      <c r="X289" s="104"/>
    </row>
    <row r="290" spans="1:24" ht="15" customHeight="1" thickBot="1" x14ac:dyDescent="0.3">
      <c r="A290" s="84" t="s">
        <v>72</v>
      </c>
      <c r="B290" s="85" t="s">
        <v>126</v>
      </c>
      <c r="C290" s="96" t="s">
        <v>37</v>
      </c>
      <c r="D290" s="86" t="s">
        <v>96</v>
      </c>
      <c r="E290" s="84" t="s">
        <v>1041</v>
      </c>
      <c r="F290" s="84" t="s">
        <v>1042</v>
      </c>
      <c r="G290" s="88"/>
      <c r="H290" s="84" t="s">
        <v>1043</v>
      </c>
      <c r="I290" s="96"/>
      <c r="J290" s="96"/>
      <c r="K290" s="96" t="s">
        <v>1153</v>
      </c>
      <c r="L290" s="97">
        <v>9</v>
      </c>
      <c r="M290" s="98" t="s">
        <v>13444</v>
      </c>
      <c r="O290" s="96"/>
      <c r="P290" s="96"/>
      <c r="Q290" s="99" t="s">
        <v>64</v>
      </c>
      <c r="R290" s="99"/>
      <c r="S290" s="100"/>
      <c r="T290" s="101"/>
      <c r="U290" s="101"/>
      <c r="V290" s="102"/>
      <c r="W290" s="103"/>
      <c r="X290" s="104"/>
    </row>
    <row r="291" spans="1:24" ht="15" customHeight="1" thickBot="1" x14ac:dyDescent="0.3">
      <c r="A291" s="114" t="s">
        <v>72</v>
      </c>
      <c r="B291" s="85" t="s">
        <v>126</v>
      </c>
      <c r="C291" s="96" t="s">
        <v>37</v>
      </c>
      <c r="D291" s="86" t="s">
        <v>102</v>
      </c>
      <c r="E291" s="84" t="s">
        <v>1044</v>
      </c>
      <c r="F291" s="84" t="s">
        <v>1045</v>
      </c>
      <c r="G291" s="88"/>
      <c r="H291" s="114" t="s">
        <v>13357</v>
      </c>
      <c r="I291" s="96"/>
      <c r="J291" s="96"/>
      <c r="K291" s="96" t="s">
        <v>78</v>
      </c>
      <c r="L291" s="97">
        <v>3</v>
      </c>
      <c r="M291" s="98" t="s">
        <v>13469</v>
      </c>
      <c r="N291" s="26" t="s">
        <v>1046</v>
      </c>
      <c r="O291" s="96"/>
      <c r="P291" s="96"/>
      <c r="Q291" s="99" t="s">
        <v>64</v>
      </c>
      <c r="R291" s="99"/>
      <c r="S291" s="100"/>
      <c r="T291" s="101"/>
      <c r="U291" s="101"/>
      <c r="V291" s="102"/>
      <c r="W291" s="103"/>
      <c r="X291" s="104"/>
    </row>
    <row r="292" spans="1:24" ht="15" customHeight="1" thickBot="1" x14ac:dyDescent="0.3">
      <c r="A292" s="84" t="s">
        <v>72</v>
      </c>
      <c r="B292" s="85" t="s">
        <v>126</v>
      </c>
      <c r="C292" s="96" t="s">
        <v>37</v>
      </c>
      <c r="D292" s="86" t="s">
        <v>109</v>
      </c>
      <c r="E292" s="84" t="s">
        <v>1047</v>
      </c>
      <c r="F292" s="84" t="s">
        <v>1048</v>
      </c>
      <c r="G292" s="88"/>
      <c r="H292" s="84" t="s">
        <v>1049</v>
      </c>
      <c r="I292" s="96"/>
      <c r="J292" s="96"/>
      <c r="K292" s="96" t="s">
        <v>235</v>
      </c>
      <c r="L292" s="97">
        <v>5</v>
      </c>
      <c r="M292" s="98">
        <v>999.9</v>
      </c>
      <c r="O292" s="96"/>
      <c r="P292" s="96"/>
      <c r="Q292" s="99" t="s">
        <v>64</v>
      </c>
      <c r="R292" s="99"/>
      <c r="S292" s="100"/>
      <c r="T292" s="101"/>
      <c r="U292" s="101"/>
      <c r="V292" s="102"/>
      <c r="W292" s="103"/>
      <c r="X292" s="104"/>
    </row>
    <row r="293" spans="1:24" ht="15" customHeight="1" thickBot="1" x14ac:dyDescent="0.3">
      <c r="A293" s="84" t="s">
        <v>72</v>
      </c>
      <c r="B293" s="85" t="s">
        <v>126</v>
      </c>
      <c r="C293" s="96" t="s">
        <v>37</v>
      </c>
      <c r="D293" s="86" t="s">
        <v>114</v>
      </c>
      <c r="E293" s="84" t="s">
        <v>1050</v>
      </c>
      <c r="F293" s="84" t="s">
        <v>1051</v>
      </c>
      <c r="G293" s="88"/>
      <c r="H293" s="84" t="s">
        <v>1052</v>
      </c>
      <c r="I293" s="96"/>
      <c r="J293" s="96"/>
      <c r="K293" s="96" t="s">
        <v>78</v>
      </c>
      <c r="L293" s="97">
        <v>3</v>
      </c>
      <c r="M293" s="98">
        <v>999</v>
      </c>
      <c r="N293" s="25" t="s">
        <v>1053</v>
      </c>
      <c r="O293" s="96"/>
      <c r="P293" s="96"/>
      <c r="Q293" s="99" t="s">
        <v>64</v>
      </c>
      <c r="R293" s="99"/>
      <c r="S293" s="100"/>
      <c r="T293" s="101"/>
      <c r="U293" s="101"/>
      <c r="V293" s="102"/>
      <c r="W293" s="103"/>
      <c r="X293" s="104"/>
    </row>
    <row r="294" spans="1:24" ht="15" customHeight="1" thickBot="1" x14ac:dyDescent="0.3">
      <c r="A294" s="84" t="s">
        <v>72</v>
      </c>
      <c r="B294" s="85" t="s">
        <v>126</v>
      </c>
      <c r="C294" s="96" t="s">
        <v>37</v>
      </c>
      <c r="D294" s="86" t="s">
        <v>120</v>
      </c>
      <c r="E294" s="84" t="s">
        <v>1054</v>
      </c>
      <c r="F294" s="84" t="s">
        <v>1055</v>
      </c>
      <c r="G294" s="88"/>
      <c r="H294" s="84" t="s">
        <v>1056</v>
      </c>
      <c r="I294" s="96"/>
      <c r="J294" s="96"/>
      <c r="K294" s="96" t="s">
        <v>78</v>
      </c>
      <c r="L294" s="97">
        <v>3</v>
      </c>
      <c r="M294" s="98">
        <v>999</v>
      </c>
      <c r="N294" s="25" t="s">
        <v>1053</v>
      </c>
      <c r="O294" s="96"/>
      <c r="P294" s="96"/>
      <c r="Q294" s="99" t="s">
        <v>144</v>
      </c>
      <c r="R294" s="99"/>
      <c r="S294" s="100"/>
      <c r="T294" s="101"/>
      <c r="U294" s="101"/>
      <c r="V294" s="102"/>
      <c r="W294" s="103"/>
      <c r="X294" s="104"/>
    </row>
    <row r="295" spans="1:24" ht="15" customHeight="1" thickBot="1" x14ac:dyDescent="0.3">
      <c r="A295" s="84" t="s">
        <v>72</v>
      </c>
      <c r="B295" s="85" t="s">
        <v>126</v>
      </c>
      <c r="C295" s="96" t="s">
        <v>37</v>
      </c>
      <c r="D295" s="86" t="s">
        <v>126</v>
      </c>
      <c r="E295" s="84" t="s">
        <v>1057</v>
      </c>
      <c r="F295" s="84" t="s">
        <v>76</v>
      </c>
      <c r="G295" s="88"/>
      <c r="H295" s="84" t="s">
        <v>1058</v>
      </c>
      <c r="I295" s="96"/>
      <c r="J295" s="96"/>
      <c r="K295" s="96" t="s">
        <v>78</v>
      </c>
      <c r="L295" s="97">
        <v>4</v>
      </c>
      <c r="M295" s="98">
        <v>9999</v>
      </c>
      <c r="N295" s="25" t="s">
        <v>80</v>
      </c>
      <c r="O295" s="96"/>
      <c r="P295" s="96"/>
      <c r="Q295" s="99" t="s">
        <v>64</v>
      </c>
      <c r="R295" s="99"/>
      <c r="S295" s="100"/>
      <c r="T295" s="101"/>
      <c r="U295" s="101"/>
      <c r="V295" s="102"/>
      <c r="W295" s="103"/>
      <c r="X295" s="104"/>
    </row>
    <row r="296" spans="1:24" ht="15" customHeight="1" thickBot="1" x14ac:dyDescent="0.3">
      <c r="A296" s="84" t="s">
        <v>72</v>
      </c>
      <c r="B296" s="85" t="s">
        <v>126</v>
      </c>
      <c r="C296" s="96" t="s">
        <v>37</v>
      </c>
      <c r="D296" s="86" t="s">
        <v>130</v>
      </c>
      <c r="E296" s="84" t="s">
        <v>1059</v>
      </c>
      <c r="F296" s="84" t="s">
        <v>1060</v>
      </c>
      <c r="G296" s="88"/>
      <c r="H296" s="84" t="s">
        <v>1061</v>
      </c>
      <c r="I296" s="96"/>
      <c r="J296" s="96"/>
      <c r="K296" s="96" t="s">
        <v>78</v>
      </c>
      <c r="L296" s="97">
        <v>1</v>
      </c>
      <c r="M296" s="98" t="s">
        <v>13445</v>
      </c>
      <c r="N296" s="26" t="s">
        <v>188</v>
      </c>
      <c r="O296" s="96"/>
      <c r="P296" s="96"/>
      <c r="Q296" s="99" t="s">
        <v>64</v>
      </c>
      <c r="R296" s="99"/>
      <c r="S296" s="100"/>
      <c r="T296" s="101"/>
      <c r="U296" s="101"/>
      <c r="V296" s="102"/>
      <c r="W296" s="103"/>
      <c r="X296" s="104"/>
    </row>
    <row r="297" spans="1:24" ht="15" customHeight="1" thickBot="1" x14ac:dyDescent="0.3">
      <c r="A297" s="84" t="s">
        <v>72</v>
      </c>
      <c r="B297" s="85" t="s">
        <v>126</v>
      </c>
      <c r="C297" s="96" t="s">
        <v>37</v>
      </c>
      <c r="D297" s="86" t="s">
        <v>136</v>
      </c>
      <c r="E297" s="84" t="s">
        <v>1062</v>
      </c>
      <c r="F297" s="84" t="s">
        <v>1063</v>
      </c>
      <c r="G297" s="88"/>
      <c r="H297" s="84" t="s">
        <v>1064</v>
      </c>
      <c r="I297" s="96"/>
      <c r="J297" s="96"/>
      <c r="K297" s="96" t="s">
        <v>78</v>
      </c>
      <c r="L297" s="97">
        <v>3</v>
      </c>
      <c r="M297" s="98" t="s">
        <v>13469</v>
      </c>
      <c r="N297" s="26" t="s">
        <v>1065</v>
      </c>
      <c r="O297" s="96"/>
      <c r="P297" s="96"/>
      <c r="Q297" s="99" t="s">
        <v>144</v>
      </c>
      <c r="R297" s="99"/>
      <c r="S297" s="100"/>
      <c r="T297" s="101"/>
      <c r="U297" s="101"/>
      <c r="V297" s="102"/>
      <c r="W297" s="103"/>
      <c r="X297" s="104"/>
    </row>
    <row r="298" spans="1:24" ht="15" customHeight="1" thickBot="1" x14ac:dyDescent="0.3">
      <c r="A298" s="84" t="s">
        <v>72</v>
      </c>
      <c r="B298" s="85" t="s">
        <v>126</v>
      </c>
      <c r="C298" s="96" t="s">
        <v>37</v>
      </c>
      <c r="D298" s="86" t="s">
        <v>140</v>
      </c>
      <c r="E298" s="84" t="s">
        <v>1066</v>
      </c>
      <c r="F298" s="84" t="s">
        <v>1067</v>
      </c>
      <c r="G298" s="88"/>
      <c r="H298" s="84" t="s">
        <v>1068</v>
      </c>
      <c r="I298" s="96"/>
      <c r="J298" s="96"/>
      <c r="K298" s="96" t="s">
        <v>78</v>
      </c>
      <c r="L298" s="97">
        <v>1</v>
      </c>
      <c r="M298" s="98" t="s">
        <v>13445</v>
      </c>
      <c r="N298" s="26" t="s">
        <v>188</v>
      </c>
      <c r="O298" s="96"/>
      <c r="P298" s="96"/>
      <c r="Q298" s="99" t="s">
        <v>64</v>
      </c>
      <c r="R298" s="99"/>
      <c r="S298" s="100"/>
      <c r="T298" s="101"/>
      <c r="U298" s="101"/>
      <c r="V298" s="102"/>
      <c r="W298" s="103"/>
      <c r="X298" s="104"/>
    </row>
    <row r="299" spans="1:24" ht="15" customHeight="1" thickBot="1" x14ac:dyDescent="0.3">
      <c r="A299" s="84" t="s">
        <v>72</v>
      </c>
      <c r="B299" s="85" t="s">
        <v>126</v>
      </c>
      <c r="C299" s="96" t="s">
        <v>37</v>
      </c>
      <c r="D299" s="86" t="s">
        <v>146</v>
      </c>
      <c r="E299" s="84" t="s">
        <v>1069</v>
      </c>
      <c r="F299" s="84" t="s">
        <v>1070</v>
      </c>
      <c r="G299" s="88"/>
      <c r="H299" s="84" t="s">
        <v>1071</v>
      </c>
      <c r="I299" s="96"/>
      <c r="J299" s="96"/>
      <c r="K299" s="96" t="s">
        <v>78</v>
      </c>
      <c r="L299" s="97">
        <v>2</v>
      </c>
      <c r="M299" s="98" t="s">
        <v>13443</v>
      </c>
      <c r="N299" s="26" t="s">
        <v>1069</v>
      </c>
      <c r="O299" s="96"/>
      <c r="P299" s="96"/>
      <c r="Q299" s="99" t="s">
        <v>144</v>
      </c>
      <c r="R299" s="99"/>
      <c r="S299" s="100"/>
      <c r="T299" s="101"/>
      <c r="U299" s="101"/>
      <c r="V299" s="102"/>
      <c r="W299" s="103"/>
      <c r="X299" s="104"/>
    </row>
    <row r="300" spans="1:24" ht="15" customHeight="1" thickBot="1" x14ac:dyDescent="0.3">
      <c r="A300" s="84" t="s">
        <v>72</v>
      </c>
      <c r="B300" s="85" t="s">
        <v>126</v>
      </c>
      <c r="C300" s="96" t="s">
        <v>37</v>
      </c>
      <c r="D300" s="86" t="s">
        <v>150</v>
      </c>
      <c r="E300" s="84" t="s">
        <v>1072</v>
      </c>
      <c r="F300" s="84" t="s">
        <v>1073</v>
      </c>
      <c r="G300" s="88"/>
      <c r="H300" s="84" t="s">
        <v>1074</v>
      </c>
      <c r="I300" s="96"/>
      <c r="J300" s="96"/>
      <c r="K300" s="96" t="s">
        <v>78</v>
      </c>
      <c r="L300" s="97">
        <v>1</v>
      </c>
      <c r="M300" s="98" t="s">
        <v>13445</v>
      </c>
      <c r="N300" s="26" t="s">
        <v>188</v>
      </c>
      <c r="O300" s="96"/>
      <c r="P300" s="96"/>
      <c r="Q300" s="99" t="s">
        <v>64</v>
      </c>
      <c r="R300" s="99"/>
      <c r="S300" s="100"/>
      <c r="T300" s="101"/>
      <c r="U300" s="101"/>
      <c r="V300" s="102"/>
      <c r="W300" s="103"/>
      <c r="X300" s="104"/>
    </row>
    <row r="301" spans="1:24" ht="15" customHeight="1" thickBot="1" x14ac:dyDescent="0.3">
      <c r="A301" s="84" t="s">
        <v>72</v>
      </c>
      <c r="B301" s="85" t="s">
        <v>126</v>
      </c>
      <c r="C301" s="96" t="s">
        <v>37</v>
      </c>
      <c r="D301" s="86" t="s">
        <v>154</v>
      </c>
      <c r="E301" s="84" t="s">
        <v>1075</v>
      </c>
      <c r="F301" s="84" t="s">
        <v>1076</v>
      </c>
      <c r="G301" s="88"/>
      <c r="H301" s="84" t="s">
        <v>1077</v>
      </c>
      <c r="I301" s="96"/>
      <c r="J301" s="96"/>
      <c r="K301" s="96" t="s">
        <v>235</v>
      </c>
      <c r="L301" s="97">
        <v>5</v>
      </c>
      <c r="M301" s="98">
        <v>999.9</v>
      </c>
      <c r="O301" s="96"/>
      <c r="P301" s="96"/>
      <c r="Q301" s="99" t="s">
        <v>173</v>
      </c>
      <c r="R301" s="99"/>
      <c r="S301" s="100"/>
      <c r="T301" s="101"/>
      <c r="U301" s="101"/>
      <c r="V301" s="102"/>
      <c r="W301" s="103"/>
      <c r="X301" s="104"/>
    </row>
    <row r="302" spans="1:24" ht="15" customHeight="1" thickBot="1" x14ac:dyDescent="0.3">
      <c r="A302" s="84" t="s">
        <v>72</v>
      </c>
      <c r="B302" s="85" t="s">
        <v>126</v>
      </c>
      <c r="C302" s="96" t="s">
        <v>37</v>
      </c>
      <c r="D302" s="86" t="s">
        <v>214</v>
      </c>
      <c r="E302" s="84" t="s">
        <v>1078</v>
      </c>
      <c r="F302" s="84" t="s">
        <v>1079</v>
      </c>
      <c r="G302" s="88"/>
      <c r="H302" s="84" t="s">
        <v>1080</v>
      </c>
      <c r="I302" s="96"/>
      <c r="J302" s="96"/>
      <c r="K302" s="96" t="s">
        <v>78</v>
      </c>
      <c r="L302" s="97">
        <v>2</v>
      </c>
      <c r="M302" s="98" t="s">
        <v>13443</v>
      </c>
      <c r="N302" s="26" t="s">
        <v>1078</v>
      </c>
      <c r="O302" s="96"/>
      <c r="P302" s="96"/>
      <c r="Q302" s="99" t="s">
        <v>144</v>
      </c>
      <c r="R302" s="99"/>
      <c r="S302" s="100"/>
      <c r="T302" s="101"/>
      <c r="U302" s="101"/>
      <c r="V302" s="102"/>
      <c r="W302" s="103"/>
      <c r="X302" s="104"/>
    </row>
    <row r="303" spans="1:24" ht="15" customHeight="1" thickBot="1" x14ac:dyDescent="0.3">
      <c r="A303" s="84" t="s">
        <v>72</v>
      </c>
      <c r="B303" s="85" t="s">
        <v>126</v>
      </c>
      <c r="C303" s="96" t="s">
        <v>37</v>
      </c>
      <c r="D303" s="86" t="s">
        <v>220</v>
      </c>
      <c r="E303" s="84" t="s">
        <v>1081</v>
      </c>
      <c r="F303" s="84" t="s">
        <v>1082</v>
      </c>
      <c r="G303" s="88"/>
      <c r="H303" s="84" t="s">
        <v>1083</v>
      </c>
      <c r="I303" s="96"/>
      <c r="J303" s="96"/>
      <c r="K303" s="96" t="s">
        <v>78</v>
      </c>
      <c r="L303" s="97">
        <v>1</v>
      </c>
      <c r="M303" s="98" t="s">
        <v>13445</v>
      </c>
      <c r="N303" s="26" t="s">
        <v>188</v>
      </c>
      <c r="O303" s="96"/>
      <c r="P303" s="96"/>
      <c r="Q303" s="99" t="s">
        <v>64</v>
      </c>
      <c r="R303" s="99"/>
      <c r="S303" s="100"/>
      <c r="T303" s="101"/>
      <c r="U303" s="101"/>
      <c r="V303" s="102"/>
      <c r="W303" s="103"/>
      <c r="X303" s="104"/>
    </row>
    <row r="304" spans="1:24" ht="15" customHeight="1" thickBot="1" x14ac:dyDescent="0.3">
      <c r="A304" s="84" t="s">
        <v>72</v>
      </c>
      <c r="B304" s="85" t="s">
        <v>126</v>
      </c>
      <c r="C304" s="96" t="s">
        <v>37</v>
      </c>
      <c r="D304" s="86" t="s">
        <v>226</v>
      </c>
      <c r="E304" s="84" t="s">
        <v>1084</v>
      </c>
      <c r="F304" s="84" t="s">
        <v>1085</v>
      </c>
      <c r="G304" s="88"/>
      <c r="H304" s="84" t="s">
        <v>1086</v>
      </c>
      <c r="I304" s="96"/>
      <c r="J304" s="96"/>
      <c r="K304" s="96" t="s">
        <v>78</v>
      </c>
      <c r="L304" s="97">
        <v>1</v>
      </c>
      <c r="M304" s="98" t="s">
        <v>13445</v>
      </c>
      <c r="N304" s="26" t="s">
        <v>188</v>
      </c>
      <c r="O304" s="96"/>
      <c r="P304" s="96"/>
      <c r="Q304" s="99" t="s">
        <v>64</v>
      </c>
      <c r="R304" s="99"/>
      <c r="S304" s="100"/>
      <c r="T304" s="101"/>
      <c r="U304" s="101"/>
      <c r="V304" s="102"/>
      <c r="W304" s="103"/>
      <c r="X304" s="104"/>
    </row>
    <row r="305" spans="1:24" ht="15" customHeight="1" x14ac:dyDescent="0.25">
      <c r="A305" s="119" t="s">
        <v>72</v>
      </c>
      <c r="B305" s="120" t="s">
        <v>126</v>
      </c>
      <c r="C305" s="121" t="s">
        <v>37</v>
      </c>
      <c r="D305" s="122" t="s">
        <v>230</v>
      </c>
      <c r="E305" s="119" t="s">
        <v>550</v>
      </c>
      <c r="F305" s="119" t="s">
        <v>551</v>
      </c>
      <c r="G305" s="123"/>
      <c r="H305" s="119" t="s">
        <v>552</v>
      </c>
      <c r="I305" s="121"/>
      <c r="J305" s="121"/>
      <c r="K305" s="121" t="s">
        <v>1186</v>
      </c>
      <c r="L305" s="124">
        <v>250</v>
      </c>
      <c r="M305" s="125"/>
      <c r="N305" s="29"/>
      <c r="O305" s="121"/>
      <c r="P305" s="121"/>
      <c r="Q305" s="126" t="s">
        <v>173</v>
      </c>
      <c r="R305" s="99"/>
      <c r="S305" s="100"/>
      <c r="T305" s="101"/>
      <c r="U305" s="101"/>
      <c r="V305" s="102"/>
      <c r="W305" s="103"/>
      <c r="X305" s="104"/>
    </row>
    <row r="306" spans="1:24" ht="15" customHeight="1" thickBot="1" x14ac:dyDescent="0.3">
      <c r="A306" s="84"/>
      <c r="B306" s="85"/>
      <c r="C306" s="96"/>
      <c r="D306" s="86"/>
      <c r="E306" s="84"/>
      <c r="F306" s="84"/>
      <c r="G306" s="88"/>
      <c r="H306" s="84"/>
      <c r="I306" s="96"/>
      <c r="J306" s="96"/>
      <c r="K306" s="96"/>
      <c r="L306" s="97"/>
      <c r="M306" s="98"/>
      <c r="O306" s="96"/>
      <c r="P306" s="96"/>
      <c r="Q306" s="96"/>
      <c r="R306" s="99"/>
      <c r="S306" s="127"/>
      <c r="T306" s="128"/>
      <c r="U306" s="128"/>
    </row>
    <row r="307" spans="1:24" s="83" customFormat="1" ht="15" customHeight="1" thickBot="1" x14ac:dyDescent="0.3">
      <c r="A307" s="30" t="s">
        <v>1087</v>
      </c>
      <c r="B307" s="129" t="s">
        <v>130</v>
      </c>
      <c r="C307" s="30" t="s">
        <v>40</v>
      </c>
      <c r="D307" s="30" t="s">
        <v>73</v>
      </c>
      <c r="E307" s="30" t="s">
        <v>40</v>
      </c>
      <c r="F307" s="130" t="s">
        <v>40</v>
      </c>
      <c r="G307" s="30" t="b">
        <v>0</v>
      </c>
      <c r="H307" s="30" t="s">
        <v>1088</v>
      </c>
      <c r="I307" s="30"/>
      <c r="J307" s="30"/>
      <c r="K307" s="30"/>
      <c r="L307" s="30"/>
      <c r="M307" s="131"/>
      <c r="N307" s="30"/>
      <c r="O307" s="30"/>
      <c r="P307" s="30"/>
      <c r="Q307" s="132"/>
      <c r="R307" s="99"/>
      <c r="S307" s="75"/>
      <c r="T307" s="118"/>
      <c r="U307" s="118"/>
      <c r="V307" s="118"/>
      <c r="W307" s="75"/>
      <c r="X307" s="75"/>
    </row>
    <row r="308" spans="1:24" ht="15" customHeight="1" thickBot="1" x14ac:dyDescent="0.3">
      <c r="A308" s="84" t="s">
        <v>1087</v>
      </c>
      <c r="B308" s="85" t="s">
        <v>130</v>
      </c>
      <c r="C308" s="96" t="s">
        <v>40</v>
      </c>
      <c r="D308" s="86" t="s">
        <v>74</v>
      </c>
      <c r="E308" s="96" t="s">
        <v>1089</v>
      </c>
      <c r="F308" s="133" t="s">
        <v>1090</v>
      </c>
      <c r="G308" s="88"/>
      <c r="H308" s="96" t="s">
        <v>1091</v>
      </c>
      <c r="I308" s="96"/>
      <c r="J308" s="96"/>
      <c r="K308" s="96" t="s">
        <v>78</v>
      </c>
      <c r="L308" s="97">
        <v>3</v>
      </c>
      <c r="M308" s="98">
        <v>999</v>
      </c>
      <c r="N308" s="25" t="s">
        <v>1053</v>
      </c>
      <c r="O308" s="96"/>
      <c r="P308" s="96"/>
      <c r="Q308" s="99" t="s">
        <v>64</v>
      </c>
      <c r="R308" s="99"/>
      <c r="S308" s="100"/>
      <c r="T308" s="101"/>
      <c r="U308" s="101"/>
      <c r="V308" s="102"/>
      <c r="W308" s="103"/>
      <c r="X308" s="104"/>
    </row>
    <row r="309" spans="1:24" ht="15" customHeight="1" thickBot="1" x14ac:dyDescent="0.3">
      <c r="A309" s="84" t="s">
        <v>1087</v>
      </c>
      <c r="B309" s="85" t="s">
        <v>130</v>
      </c>
      <c r="C309" s="96" t="s">
        <v>40</v>
      </c>
      <c r="D309" s="86" t="s">
        <v>84</v>
      </c>
      <c r="E309" s="96" t="s">
        <v>435</v>
      </c>
      <c r="F309" s="133" t="s">
        <v>76</v>
      </c>
      <c r="G309" s="88"/>
      <c r="H309" s="96" t="s">
        <v>1092</v>
      </c>
      <c r="I309" s="96"/>
      <c r="J309" s="96"/>
      <c r="K309" s="96" t="s">
        <v>78</v>
      </c>
      <c r="L309" s="97">
        <v>4</v>
      </c>
      <c r="M309" s="98">
        <v>9999</v>
      </c>
      <c r="N309" s="25" t="s">
        <v>80</v>
      </c>
      <c r="O309" s="96"/>
      <c r="P309" s="96"/>
      <c r="Q309" s="99" t="s">
        <v>64</v>
      </c>
      <c r="R309" s="99"/>
      <c r="S309" s="100"/>
      <c r="T309" s="101"/>
      <c r="U309" s="101"/>
      <c r="V309" s="102"/>
      <c r="W309" s="103"/>
      <c r="X309" s="104"/>
    </row>
    <row r="310" spans="1:24" ht="15" customHeight="1" thickBot="1" x14ac:dyDescent="0.3">
      <c r="A310" s="84" t="s">
        <v>1087</v>
      </c>
      <c r="B310" s="85" t="s">
        <v>130</v>
      </c>
      <c r="C310" s="96" t="s">
        <v>40</v>
      </c>
      <c r="D310" s="86" t="s">
        <v>90</v>
      </c>
      <c r="E310" s="96" t="s">
        <v>1093</v>
      </c>
      <c r="F310" s="133" t="s">
        <v>1094</v>
      </c>
      <c r="G310" s="88"/>
      <c r="H310" s="96" t="s">
        <v>1095</v>
      </c>
      <c r="I310" s="96"/>
      <c r="J310" s="96"/>
      <c r="K310" s="96" t="s">
        <v>78</v>
      </c>
      <c r="L310" s="97">
        <v>4</v>
      </c>
      <c r="M310" s="98"/>
      <c r="N310" s="26" t="s">
        <v>1096</v>
      </c>
      <c r="O310" s="96"/>
      <c r="P310" s="96"/>
      <c r="Q310" s="99" t="s">
        <v>64</v>
      </c>
      <c r="R310" s="99"/>
      <c r="S310" s="100"/>
      <c r="T310" s="101"/>
      <c r="U310" s="101"/>
      <c r="V310" s="102"/>
      <c r="W310" s="103"/>
      <c r="X310" s="104"/>
    </row>
    <row r="311" spans="1:24" ht="15" customHeight="1" thickBot="1" x14ac:dyDescent="0.3">
      <c r="A311" s="84" t="s">
        <v>1087</v>
      </c>
      <c r="B311" s="85" t="s">
        <v>130</v>
      </c>
      <c r="C311" s="96" t="s">
        <v>40</v>
      </c>
      <c r="D311" s="86" t="s">
        <v>96</v>
      </c>
      <c r="E311" s="96" t="s">
        <v>1097</v>
      </c>
      <c r="F311" s="133" t="s">
        <v>1098</v>
      </c>
      <c r="G311" s="88"/>
      <c r="H311" s="96" t="s">
        <v>1099</v>
      </c>
      <c r="I311" s="96"/>
      <c r="J311" s="96"/>
      <c r="K311" s="96" t="s">
        <v>1186</v>
      </c>
      <c r="L311" s="97">
        <v>50</v>
      </c>
      <c r="M311" s="98"/>
      <c r="O311" s="96"/>
      <c r="P311" s="96"/>
      <c r="Q311" s="99" t="s">
        <v>144</v>
      </c>
      <c r="R311" s="99"/>
      <c r="S311" s="100"/>
      <c r="T311" s="101"/>
      <c r="U311" s="101"/>
      <c r="V311" s="102"/>
      <c r="W311" s="103"/>
      <c r="X311" s="104"/>
    </row>
    <row r="312" spans="1:24" ht="15" customHeight="1" thickBot="1" x14ac:dyDescent="0.3">
      <c r="A312" s="84" t="s">
        <v>1087</v>
      </c>
      <c r="B312" s="85" t="s">
        <v>130</v>
      </c>
      <c r="C312" s="96" t="s">
        <v>40</v>
      </c>
      <c r="D312" s="86" t="s">
        <v>102</v>
      </c>
      <c r="E312" s="96" t="s">
        <v>1100</v>
      </c>
      <c r="F312" s="133" t="s">
        <v>1101</v>
      </c>
      <c r="G312" s="88"/>
      <c r="H312" s="96" t="s">
        <v>1102</v>
      </c>
      <c r="I312" s="96"/>
      <c r="J312" s="96"/>
      <c r="K312" s="96" t="s">
        <v>78</v>
      </c>
      <c r="L312" s="97">
        <v>1</v>
      </c>
      <c r="M312" s="98" t="s">
        <v>13445</v>
      </c>
      <c r="N312" s="26" t="s">
        <v>188</v>
      </c>
      <c r="O312" s="96"/>
      <c r="P312" s="96"/>
      <c r="Q312" s="99" t="s">
        <v>64</v>
      </c>
      <c r="R312" s="99"/>
      <c r="S312" s="100"/>
      <c r="T312" s="101"/>
      <c r="U312" s="101"/>
      <c r="V312" s="102"/>
      <c r="W312" s="103"/>
      <c r="X312" s="104"/>
    </row>
    <row r="313" spans="1:24" ht="15" customHeight="1" thickBot="1" x14ac:dyDescent="0.3">
      <c r="A313" s="84" t="s">
        <v>1087</v>
      </c>
      <c r="B313" s="85" t="s">
        <v>130</v>
      </c>
      <c r="C313" s="96" t="s">
        <v>40</v>
      </c>
      <c r="D313" s="86" t="s">
        <v>109</v>
      </c>
      <c r="E313" s="96" t="s">
        <v>1103</v>
      </c>
      <c r="F313" s="133" t="s">
        <v>591</v>
      </c>
      <c r="G313" s="88"/>
      <c r="H313" s="96" t="s">
        <v>592</v>
      </c>
      <c r="I313" s="96"/>
      <c r="J313" s="96"/>
      <c r="K313" s="96" t="s">
        <v>1153</v>
      </c>
      <c r="L313" s="97">
        <v>9</v>
      </c>
      <c r="M313" s="98">
        <v>999999999</v>
      </c>
      <c r="O313" s="96"/>
      <c r="P313" s="96"/>
      <c r="Q313" s="99" t="s">
        <v>64</v>
      </c>
      <c r="R313" s="99"/>
      <c r="S313" s="100"/>
      <c r="T313" s="101"/>
      <c r="U313" s="101"/>
      <c r="V313" s="102"/>
      <c r="W313" s="103"/>
      <c r="X313" s="104"/>
    </row>
    <row r="314" spans="1:24" ht="15" customHeight="1" thickBot="1" x14ac:dyDescent="0.3">
      <c r="A314" s="84" t="s">
        <v>1087</v>
      </c>
      <c r="B314" s="85" t="s">
        <v>130</v>
      </c>
      <c r="C314" s="96" t="s">
        <v>40</v>
      </c>
      <c r="D314" s="86" t="s">
        <v>114</v>
      </c>
      <c r="E314" s="96" t="s">
        <v>163</v>
      </c>
      <c r="F314" s="133" t="s">
        <v>164</v>
      </c>
      <c r="G314" s="88"/>
      <c r="H314" s="96" t="s">
        <v>1104</v>
      </c>
      <c r="I314" s="96"/>
      <c r="J314" s="96"/>
      <c r="K314" s="96" t="s">
        <v>1186</v>
      </c>
      <c r="L314" s="97">
        <v>35</v>
      </c>
      <c r="M314" s="98"/>
      <c r="O314" s="96"/>
      <c r="P314" s="96"/>
      <c r="Q314" s="99" t="s">
        <v>64</v>
      </c>
      <c r="R314" s="99"/>
      <c r="S314" s="100"/>
      <c r="T314" s="101"/>
      <c r="U314" s="101"/>
      <c r="V314" s="102"/>
      <c r="W314" s="103"/>
      <c r="X314" s="104"/>
    </row>
    <row r="315" spans="1:24" ht="15" customHeight="1" thickBot="1" x14ac:dyDescent="0.3">
      <c r="A315" s="84" t="s">
        <v>1087</v>
      </c>
      <c r="B315" s="85" t="s">
        <v>130</v>
      </c>
      <c r="C315" s="96" t="s">
        <v>40</v>
      </c>
      <c r="D315" s="86" t="s">
        <v>120</v>
      </c>
      <c r="E315" s="96" t="s">
        <v>167</v>
      </c>
      <c r="F315" s="133" t="s">
        <v>168</v>
      </c>
      <c r="G315" s="88"/>
      <c r="H315" s="96" t="s">
        <v>1105</v>
      </c>
      <c r="I315" s="96"/>
      <c r="J315" s="96"/>
      <c r="K315" s="96" t="s">
        <v>1186</v>
      </c>
      <c r="L315" s="97">
        <v>35</v>
      </c>
      <c r="M315" s="98"/>
      <c r="O315" s="96"/>
      <c r="P315" s="96"/>
      <c r="Q315" s="99" t="s">
        <v>64</v>
      </c>
      <c r="R315" s="99"/>
      <c r="S315" s="100"/>
      <c r="T315" s="101"/>
      <c r="U315" s="101"/>
      <c r="V315" s="102"/>
      <c r="W315" s="103"/>
      <c r="X315" s="104"/>
    </row>
    <row r="316" spans="1:24" ht="15" customHeight="1" thickBot="1" x14ac:dyDescent="0.3">
      <c r="A316" s="84" t="s">
        <v>1087</v>
      </c>
      <c r="B316" s="85" t="s">
        <v>130</v>
      </c>
      <c r="C316" s="96" t="s">
        <v>40</v>
      </c>
      <c r="D316" s="86" t="s">
        <v>126</v>
      </c>
      <c r="E316" s="96" t="s">
        <v>1106</v>
      </c>
      <c r="F316" s="133" t="s">
        <v>1107</v>
      </c>
      <c r="G316" s="88"/>
      <c r="H316" s="96" t="s">
        <v>1108</v>
      </c>
      <c r="I316" s="96"/>
      <c r="J316" s="96"/>
      <c r="K316" s="96" t="s">
        <v>1186</v>
      </c>
      <c r="L316" s="97">
        <v>50</v>
      </c>
      <c r="M316" s="98"/>
      <c r="O316" s="96"/>
      <c r="P316" s="96"/>
      <c r="Q316" s="99" t="s">
        <v>64</v>
      </c>
      <c r="R316" s="99"/>
      <c r="S316" s="100"/>
      <c r="T316" s="101"/>
      <c r="U316" s="101"/>
      <c r="V316" s="102"/>
      <c r="W316" s="103"/>
      <c r="X316" s="104"/>
    </row>
    <row r="317" spans="1:24" ht="15" customHeight="1" thickBot="1" x14ac:dyDescent="0.3">
      <c r="A317" s="84" t="s">
        <v>1087</v>
      </c>
      <c r="B317" s="85" t="s">
        <v>130</v>
      </c>
      <c r="C317" s="96" t="s">
        <v>40</v>
      </c>
      <c r="D317" s="86" t="s">
        <v>130</v>
      </c>
      <c r="E317" s="96" t="s">
        <v>1109</v>
      </c>
      <c r="F317" s="133" t="s">
        <v>1110</v>
      </c>
      <c r="G317" s="88"/>
      <c r="H317" s="96" t="s">
        <v>1111</v>
      </c>
      <c r="I317" s="96"/>
      <c r="J317" s="96"/>
      <c r="K317" s="96" t="s">
        <v>1186</v>
      </c>
      <c r="L317" s="97">
        <v>50</v>
      </c>
      <c r="M317" s="98"/>
      <c r="O317" s="96"/>
      <c r="P317" s="96"/>
      <c r="Q317" s="99" t="s">
        <v>64</v>
      </c>
      <c r="R317" s="99"/>
      <c r="S317" s="100"/>
      <c r="T317" s="101"/>
      <c r="U317" s="101"/>
      <c r="V317" s="102"/>
      <c r="W317" s="103"/>
      <c r="X317" s="104"/>
    </row>
    <row r="318" spans="1:24" ht="15" customHeight="1" thickBot="1" x14ac:dyDescent="0.3">
      <c r="A318" s="84" t="s">
        <v>1087</v>
      </c>
      <c r="B318" s="85" t="s">
        <v>130</v>
      </c>
      <c r="C318" s="96" t="s">
        <v>40</v>
      </c>
      <c r="D318" s="86" t="s">
        <v>136</v>
      </c>
      <c r="E318" s="96" t="s">
        <v>1112</v>
      </c>
      <c r="F318" s="133" t="s">
        <v>1113</v>
      </c>
      <c r="G318" s="88"/>
      <c r="H318" s="96" t="s">
        <v>1114</v>
      </c>
      <c r="I318" s="96"/>
      <c r="J318" s="96"/>
      <c r="K318" s="96" t="s">
        <v>78</v>
      </c>
      <c r="L318" s="97">
        <v>4</v>
      </c>
      <c r="M318" s="98">
        <v>9999</v>
      </c>
      <c r="N318" s="25" t="s">
        <v>80</v>
      </c>
      <c r="O318" s="96"/>
      <c r="P318" s="96"/>
      <c r="Q318" s="99" t="s">
        <v>173</v>
      </c>
      <c r="R318" s="99"/>
      <c r="S318" s="100"/>
      <c r="T318" s="101"/>
      <c r="U318" s="101"/>
      <c r="V318" s="102"/>
      <c r="W318" s="103"/>
      <c r="X318" s="104"/>
    </row>
    <row r="319" spans="1:24" ht="15" customHeight="1" thickBot="1" x14ac:dyDescent="0.3">
      <c r="A319" s="84" t="s">
        <v>1087</v>
      </c>
      <c r="B319" s="85" t="s">
        <v>130</v>
      </c>
      <c r="C319" s="96" t="s">
        <v>40</v>
      </c>
      <c r="D319" s="86" t="s">
        <v>140</v>
      </c>
      <c r="E319" s="96" t="s">
        <v>1115</v>
      </c>
      <c r="F319" s="133" t="s">
        <v>1116</v>
      </c>
      <c r="G319" s="88"/>
      <c r="H319" s="96" t="s">
        <v>1117</v>
      </c>
      <c r="I319" s="96"/>
      <c r="J319" s="96"/>
      <c r="K319" s="96" t="s">
        <v>235</v>
      </c>
      <c r="L319" s="97">
        <v>10</v>
      </c>
      <c r="M319" s="98">
        <v>9999999999</v>
      </c>
      <c r="O319" s="96"/>
      <c r="P319" s="96"/>
      <c r="Q319" s="99" t="s">
        <v>173</v>
      </c>
      <c r="R319" s="99"/>
      <c r="S319" s="100"/>
      <c r="T319" s="101"/>
      <c r="U319" s="101"/>
      <c r="V319" s="102"/>
      <c r="W319" s="103"/>
      <c r="X319" s="104"/>
    </row>
    <row r="320" spans="1:24" ht="15" customHeight="1" thickBot="1" x14ac:dyDescent="0.3">
      <c r="A320" s="84" t="s">
        <v>1087</v>
      </c>
      <c r="B320" s="85" t="s">
        <v>130</v>
      </c>
      <c r="C320" s="96" t="s">
        <v>40</v>
      </c>
      <c r="D320" s="86" t="s">
        <v>146</v>
      </c>
      <c r="E320" s="96" t="s">
        <v>1118</v>
      </c>
      <c r="F320" s="133" t="s">
        <v>1119</v>
      </c>
      <c r="G320" s="88"/>
      <c r="H320" s="96" t="s">
        <v>1120</v>
      </c>
      <c r="I320" s="96"/>
      <c r="J320" s="96"/>
      <c r="K320" s="96" t="s">
        <v>235</v>
      </c>
      <c r="L320" s="97">
        <v>5</v>
      </c>
      <c r="M320" s="98">
        <v>99999</v>
      </c>
      <c r="O320" s="96"/>
      <c r="P320" s="96"/>
      <c r="Q320" s="99" t="s">
        <v>173</v>
      </c>
      <c r="R320" s="99"/>
      <c r="S320" s="100"/>
      <c r="T320" s="101"/>
      <c r="U320" s="101"/>
      <c r="V320" s="102"/>
      <c r="W320" s="103"/>
      <c r="X320" s="104"/>
    </row>
    <row r="321" spans="1:24" ht="15" customHeight="1" thickBot="1" x14ac:dyDescent="0.3">
      <c r="A321" s="84" t="s">
        <v>1087</v>
      </c>
      <c r="B321" s="85" t="s">
        <v>130</v>
      </c>
      <c r="C321" s="96" t="s">
        <v>40</v>
      </c>
      <c r="D321" s="86" t="s">
        <v>150</v>
      </c>
      <c r="E321" s="96" t="s">
        <v>1121</v>
      </c>
      <c r="F321" s="133" t="s">
        <v>1122</v>
      </c>
      <c r="G321" s="88"/>
      <c r="H321" s="96" t="s">
        <v>1123</v>
      </c>
      <c r="I321" s="96"/>
      <c r="J321" s="96"/>
      <c r="K321" s="96" t="s">
        <v>78</v>
      </c>
      <c r="L321" s="97">
        <v>1</v>
      </c>
      <c r="M321" s="98" t="s">
        <v>94</v>
      </c>
      <c r="N321" s="26" t="s">
        <v>1124</v>
      </c>
      <c r="O321" s="96"/>
      <c r="P321" s="96"/>
      <c r="Q321" s="99" t="s">
        <v>144</v>
      </c>
      <c r="R321" s="99"/>
      <c r="S321" s="100"/>
      <c r="T321" s="101"/>
      <c r="U321" s="101"/>
      <c r="V321" s="102"/>
      <c r="W321" s="103"/>
      <c r="X321" s="104"/>
    </row>
    <row r="322" spans="1:24" ht="15" customHeight="1" thickBot="1" x14ac:dyDescent="0.3">
      <c r="A322" s="84" t="s">
        <v>1087</v>
      </c>
      <c r="B322" s="85" t="s">
        <v>130</v>
      </c>
      <c r="C322" s="96" t="s">
        <v>40</v>
      </c>
      <c r="D322" s="86" t="s">
        <v>154</v>
      </c>
      <c r="E322" s="96" t="s">
        <v>1125</v>
      </c>
      <c r="F322" s="133" t="s">
        <v>1126</v>
      </c>
      <c r="G322" s="88"/>
      <c r="H322" s="96" t="s">
        <v>1127</v>
      </c>
      <c r="I322" s="96"/>
      <c r="J322" s="96"/>
      <c r="K322" s="96" t="s">
        <v>1156</v>
      </c>
      <c r="L322" s="97">
        <v>10</v>
      </c>
      <c r="M322" s="98">
        <v>9999999999</v>
      </c>
      <c r="O322" s="96"/>
      <c r="P322" s="96"/>
      <c r="Q322" s="99" t="s">
        <v>173</v>
      </c>
      <c r="R322" s="99"/>
      <c r="S322" s="100"/>
      <c r="T322" s="101"/>
      <c r="U322" s="101"/>
      <c r="V322" s="102"/>
      <c r="W322" s="103"/>
      <c r="X322" s="104"/>
    </row>
    <row r="323" spans="1:24" ht="15" customHeight="1" thickBot="1" x14ac:dyDescent="0.3">
      <c r="A323" s="84" t="s">
        <v>1087</v>
      </c>
      <c r="B323" s="85" t="s">
        <v>130</v>
      </c>
      <c r="C323" s="96" t="s">
        <v>40</v>
      </c>
      <c r="D323" s="86" t="s">
        <v>214</v>
      </c>
      <c r="E323" s="96" t="s">
        <v>1128</v>
      </c>
      <c r="F323" s="133" t="s">
        <v>1129</v>
      </c>
      <c r="G323" s="88"/>
      <c r="H323" s="96" t="s">
        <v>1130</v>
      </c>
      <c r="I323" s="96"/>
      <c r="J323" s="96"/>
      <c r="K323" s="96" t="s">
        <v>1156</v>
      </c>
      <c r="L323" s="97">
        <v>5</v>
      </c>
      <c r="M323" s="98">
        <v>99999</v>
      </c>
      <c r="O323" s="96"/>
      <c r="P323" s="96"/>
      <c r="Q323" s="99" t="s">
        <v>173</v>
      </c>
      <c r="R323" s="99"/>
      <c r="S323" s="100"/>
      <c r="T323" s="101"/>
      <c r="U323" s="101"/>
      <c r="V323" s="102"/>
      <c r="W323" s="103"/>
      <c r="X323" s="104"/>
    </row>
    <row r="324" spans="1:24" ht="15" customHeight="1" thickBot="1" x14ac:dyDescent="0.3">
      <c r="A324" s="84" t="s">
        <v>1087</v>
      </c>
      <c r="B324" s="85" t="s">
        <v>130</v>
      </c>
      <c r="C324" s="96" t="s">
        <v>40</v>
      </c>
      <c r="D324" s="86" t="s">
        <v>220</v>
      </c>
      <c r="E324" s="96" t="s">
        <v>1131</v>
      </c>
      <c r="F324" s="133" t="s">
        <v>1132</v>
      </c>
      <c r="G324" s="88"/>
      <c r="H324" s="96" t="s">
        <v>1133</v>
      </c>
      <c r="I324" s="96"/>
      <c r="J324" s="96"/>
      <c r="K324" s="96" t="s">
        <v>78</v>
      </c>
      <c r="L324" s="97">
        <v>1</v>
      </c>
      <c r="M324" s="98" t="s">
        <v>13445</v>
      </c>
      <c r="N324" s="26" t="s">
        <v>1124</v>
      </c>
      <c r="O324" s="96"/>
      <c r="P324" s="96"/>
      <c r="Q324" s="99" t="s">
        <v>144</v>
      </c>
      <c r="R324" s="99"/>
      <c r="S324" s="100"/>
      <c r="T324" s="101"/>
      <c r="U324" s="101"/>
      <c r="V324" s="102"/>
      <c r="W324" s="103"/>
      <c r="X324" s="104"/>
    </row>
    <row r="325" spans="1:24" ht="15" customHeight="1" thickBot="1" x14ac:dyDescent="0.3">
      <c r="A325" s="84" t="s">
        <v>1087</v>
      </c>
      <c r="B325" s="85" t="s">
        <v>130</v>
      </c>
      <c r="C325" s="96" t="s">
        <v>40</v>
      </c>
      <c r="D325" s="86" t="s">
        <v>226</v>
      </c>
      <c r="E325" s="96" t="s">
        <v>1134</v>
      </c>
      <c r="F325" s="133" t="s">
        <v>1135</v>
      </c>
      <c r="G325" s="88"/>
      <c r="H325" s="96" t="s">
        <v>1136</v>
      </c>
      <c r="I325" s="96"/>
      <c r="J325" s="96"/>
      <c r="K325" s="96" t="s">
        <v>1186</v>
      </c>
      <c r="L325" s="97">
        <v>35</v>
      </c>
      <c r="M325" s="98" t="s">
        <v>274</v>
      </c>
      <c r="O325" s="96"/>
      <c r="P325" s="96"/>
      <c r="Q325" s="99" t="s">
        <v>173</v>
      </c>
      <c r="R325" s="99"/>
      <c r="S325" s="100"/>
      <c r="T325" s="101"/>
      <c r="U325" s="101"/>
      <c r="V325" s="102"/>
      <c r="W325" s="103"/>
      <c r="X325" s="104"/>
    </row>
    <row r="326" spans="1:24" ht="15" customHeight="1" x14ac:dyDescent="0.25">
      <c r="A326" s="84" t="s">
        <v>1087</v>
      </c>
      <c r="B326" s="85" t="s">
        <v>130</v>
      </c>
      <c r="C326" s="96" t="s">
        <v>40</v>
      </c>
      <c r="D326" s="86" t="s">
        <v>230</v>
      </c>
      <c r="E326" s="96" t="s">
        <v>1137</v>
      </c>
      <c r="F326" s="133" t="s">
        <v>1138</v>
      </c>
      <c r="G326" s="88"/>
      <c r="H326" s="96" t="s">
        <v>1136</v>
      </c>
      <c r="I326" s="96"/>
      <c r="J326" s="96"/>
      <c r="K326" s="96" t="s">
        <v>1186</v>
      </c>
      <c r="L326" s="97">
        <v>35</v>
      </c>
      <c r="M326" s="98" t="s">
        <v>274</v>
      </c>
      <c r="O326" s="96"/>
      <c r="P326" s="96"/>
      <c r="Q326" s="99" t="s">
        <v>173</v>
      </c>
      <c r="R326" s="99"/>
      <c r="S326" s="100"/>
      <c r="T326" s="101"/>
      <c r="U326" s="101"/>
      <c r="V326" s="102"/>
      <c r="W326" s="103"/>
      <c r="X326" s="104"/>
    </row>
    <row r="327" spans="1:24" ht="15" customHeight="1" x14ac:dyDescent="0.25">
      <c r="A327" s="84" t="s">
        <v>1087</v>
      </c>
      <c r="B327" s="85" t="s">
        <v>130</v>
      </c>
      <c r="C327" s="96" t="s">
        <v>40</v>
      </c>
      <c r="D327" s="86" t="s">
        <v>240</v>
      </c>
      <c r="E327" s="96" t="s">
        <v>1139</v>
      </c>
      <c r="F327" s="133" t="s">
        <v>1140</v>
      </c>
      <c r="H327" s="96" t="s">
        <v>1141</v>
      </c>
      <c r="K327" s="96" t="s">
        <v>1186</v>
      </c>
      <c r="L327" s="97">
        <v>20</v>
      </c>
      <c r="M327" s="98" t="s">
        <v>274</v>
      </c>
      <c r="Q327" s="99" t="s">
        <v>173</v>
      </c>
    </row>
    <row r="328" spans="1:24" ht="15" customHeight="1" x14ac:dyDescent="0.25">
      <c r="A328" s="84" t="s">
        <v>1087</v>
      </c>
      <c r="B328" s="85" t="s">
        <v>130</v>
      </c>
      <c r="C328" s="96" t="s">
        <v>40</v>
      </c>
      <c r="D328" s="86" t="s">
        <v>246</v>
      </c>
      <c r="E328" s="96" t="s">
        <v>1142</v>
      </c>
      <c r="F328" s="133" t="s">
        <v>1143</v>
      </c>
      <c r="H328" s="96" t="s">
        <v>1144</v>
      </c>
      <c r="K328" s="96" t="s">
        <v>1153</v>
      </c>
      <c r="L328" s="97">
        <v>2</v>
      </c>
      <c r="M328" s="98" t="s">
        <v>13443</v>
      </c>
      <c r="Q328" s="99" t="s">
        <v>173</v>
      </c>
    </row>
    <row r="329" spans="1:24" ht="15" customHeight="1" x14ac:dyDescent="0.25">
      <c r="A329" s="119" t="s">
        <v>1087</v>
      </c>
      <c r="B329" s="120" t="s">
        <v>130</v>
      </c>
      <c r="C329" s="121" t="s">
        <v>40</v>
      </c>
      <c r="D329" s="122" t="s">
        <v>250</v>
      </c>
      <c r="E329" s="121" t="s">
        <v>1145</v>
      </c>
      <c r="F329" s="121" t="s">
        <v>1146</v>
      </c>
      <c r="G329" s="134"/>
      <c r="H329" s="121" t="s">
        <v>1147</v>
      </c>
      <c r="I329" s="134"/>
      <c r="J329" s="134"/>
      <c r="K329" s="121" t="s">
        <v>1153</v>
      </c>
      <c r="L329" s="124">
        <v>9</v>
      </c>
      <c r="M329" s="125" t="s">
        <v>218</v>
      </c>
      <c r="N329" s="29"/>
      <c r="O329" s="134"/>
      <c r="P329" s="134"/>
      <c r="Q329" s="126" t="s">
        <v>173</v>
      </c>
    </row>
    <row r="330" spans="1:24" ht="15" customHeight="1" thickBot="1" x14ac:dyDescent="0.3">
      <c r="A330" s="84"/>
      <c r="B330" s="85"/>
      <c r="C330" s="96"/>
      <c r="D330" s="86"/>
      <c r="E330" s="96"/>
      <c r="F330" s="96"/>
      <c r="H330" s="96"/>
      <c r="K330" s="96"/>
      <c r="L330" s="97"/>
      <c r="M330" s="98"/>
      <c r="N330" s="31"/>
    </row>
    <row r="331" spans="1:24" ht="15" customHeight="1" thickBot="1" x14ac:dyDescent="0.3">
      <c r="A331" s="32" t="s">
        <v>1148</v>
      </c>
      <c r="B331" s="135" t="s">
        <v>136</v>
      </c>
      <c r="C331" s="32" t="s">
        <v>1148</v>
      </c>
      <c r="D331" s="32" t="s">
        <v>73</v>
      </c>
      <c r="E331" s="32" t="s">
        <v>1148</v>
      </c>
      <c r="F331" s="136" t="s">
        <v>1148</v>
      </c>
      <c r="G331" s="32" t="b">
        <v>0</v>
      </c>
      <c r="H331" s="32" t="s">
        <v>1149</v>
      </c>
      <c r="I331" s="32"/>
      <c r="J331" s="32"/>
      <c r="K331" s="32"/>
      <c r="L331" s="32"/>
      <c r="M331" s="137"/>
      <c r="N331" s="32"/>
      <c r="O331" s="32"/>
      <c r="P331" s="32"/>
      <c r="Q331" s="138"/>
    </row>
    <row r="332" spans="1:24" s="139" customFormat="1" ht="15" customHeight="1" x14ac:dyDescent="0.25">
      <c r="A332" s="139" t="s">
        <v>1148</v>
      </c>
      <c r="B332" s="140" t="s">
        <v>136</v>
      </c>
      <c r="C332" s="141" t="s">
        <v>1148</v>
      </c>
      <c r="D332" s="142" t="s">
        <v>74</v>
      </c>
      <c r="E332" s="143" t="s">
        <v>1150</v>
      </c>
      <c r="F332" s="143" t="s">
        <v>1151</v>
      </c>
      <c r="G332" s="144"/>
      <c r="H332" s="145" t="s">
        <v>1152</v>
      </c>
      <c r="I332" s="141"/>
      <c r="J332" s="141"/>
      <c r="K332" s="146" t="s">
        <v>1153</v>
      </c>
      <c r="L332" s="147">
        <v>3</v>
      </c>
      <c r="M332" s="148" t="s">
        <v>13469</v>
      </c>
      <c r="N332" s="25" t="s">
        <v>1150</v>
      </c>
      <c r="O332" s="141"/>
      <c r="P332" s="141"/>
      <c r="Q332" s="149" t="s">
        <v>64</v>
      </c>
      <c r="T332" s="150"/>
      <c r="U332" s="150"/>
      <c r="V332" s="150"/>
    </row>
    <row r="333" spans="1:24" s="139" customFormat="1" ht="15" customHeight="1" x14ac:dyDescent="0.25">
      <c r="A333" s="139" t="s">
        <v>1148</v>
      </c>
      <c r="B333" s="140" t="s">
        <v>136</v>
      </c>
      <c r="C333" s="151" t="s">
        <v>1148</v>
      </c>
      <c r="D333" s="152" t="s">
        <v>84</v>
      </c>
      <c r="E333" s="139" t="s">
        <v>1154</v>
      </c>
      <c r="F333" s="139" t="s">
        <v>1090</v>
      </c>
      <c r="G333" s="153"/>
      <c r="H333" s="154" t="s">
        <v>1155</v>
      </c>
      <c r="I333" s="151"/>
      <c r="J333" s="151"/>
      <c r="K333" s="155" t="s">
        <v>78</v>
      </c>
      <c r="L333" s="150">
        <v>3</v>
      </c>
      <c r="M333" s="156">
        <v>999</v>
      </c>
      <c r="N333" s="25" t="s">
        <v>1053</v>
      </c>
      <c r="O333" s="151"/>
      <c r="P333" s="151"/>
      <c r="Q333" s="157" t="s">
        <v>64</v>
      </c>
      <c r="T333" s="150"/>
      <c r="U333" s="150"/>
      <c r="V333" s="150"/>
    </row>
    <row r="334" spans="1:24" s="139" customFormat="1" ht="15" customHeight="1" x14ac:dyDescent="0.25">
      <c r="A334" s="139" t="s">
        <v>1148</v>
      </c>
      <c r="B334" s="140" t="s">
        <v>136</v>
      </c>
      <c r="C334" s="151" t="s">
        <v>1148</v>
      </c>
      <c r="D334" s="152" t="s">
        <v>90</v>
      </c>
      <c r="E334" s="139" t="s">
        <v>75</v>
      </c>
      <c r="F334" s="139" t="s">
        <v>76</v>
      </c>
      <c r="G334" s="153"/>
      <c r="H334" s="154" t="s">
        <v>77</v>
      </c>
      <c r="I334" s="151"/>
      <c r="J334" s="151"/>
      <c r="K334" s="155" t="s">
        <v>78</v>
      </c>
      <c r="L334" s="150">
        <v>4</v>
      </c>
      <c r="M334" s="156">
        <v>9999</v>
      </c>
      <c r="N334" s="25" t="s">
        <v>80</v>
      </c>
      <c r="O334" s="151"/>
      <c r="P334" s="151"/>
      <c r="Q334" s="158" t="s">
        <v>144</v>
      </c>
      <c r="T334" s="150"/>
      <c r="U334" s="150"/>
      <c r="V334" s="150"/>
    </row>
    <row r="335" spans="1:24" s="139" customFormat="1" ht="15" customHeight="1" x14ac:dyDescent="0.25">
      <c r="A335" s="139" t="s">
        <v>1148</v>
      </c>
      <c r="B335" s="140" t="s">
        <v>136</v>
      </c>
      <c r="C335" s="151" t="s">
        <v>1148</v>
      </c>
      <c r="D335" s="152" t="s">
        <v>96</v>
      </c>
      <c r="E335" s="139" t="s">
        <v>1157</v>
      </c>
      <c r="F335" s="139" t="s">
        <v>1158</v>
      </c>
      <c r="G335" s="153"/>
      <c r="H335" s="159" t="s">
        <v>1159</v>
      </c>
      <c r="I335" s="151"/>
      <c r="J335" s="151"/>
      <c r="K335" s="155" t="s">
        <v>1156</v>
      </c>
      <c r="L335" s="150">
        <v>3</v>
      </c>
      <c r="M335" s="156">
        <v>999</v>
      </c>
      <c r="N335" s="25"/>
      <c r="O335" s="151"/>
      <c r="P335" s="151"/>
      <c r="Q335" s="157" t="s">
        <v>173</v>
      </c>
      <c r="T335" s="150"/>
      <c r="U335" s="150"/>
      <c r="V335" s="150"/>
    </row>
    <row r="336" spans="1:24" s="139" customFormat="1" ht="15" customHeight="1" x14ac:dyDescent="0.25">
      <c r="A336" s="139" t="s">
        <v>1148</v>
      </c>
      <c r="B336" s="140" t="s">
        <v>136</v>
      </c>
      <c r="C336" s="151" t="s">
        <v>1148</v>
      </c>
      <c r="D336" s="152" t="s">
        <v>102</v>
      </c>
      <c r="E336" s="139" t="s">
        <v>1160</v>
      </c>
      <c r="F336" s="139" t="s">
        <v>1161</v>
      </c>
      <c r="G336" s="153"/>
      <c r="H336" s="159" t="s">
        <v>13412</v>
      </c>
      <c r="I336" s="151"/>
      <c r="J336" s="151"/>
      <c r="K336" s="155" t="s">
        <v>78</v>
      </c>
      <c r="L336" s="150">
        <v>3</v>
      </c>
      <c r="M336" s="156">
        <v>999</v>
      </c>
      <c r="N336" s="25" t="s">
        <v>1162</v>
      </c>
      <c r="O336" s="151"/>
      <c r="P336" s="151"/>
      <c r="Q336" s="157" t="s">
        <v>64</v>
      </c>
      <c r="T336" s="150"/>
      <c r="U336" s="150"/>
      <c r="V336" s="150"/>
    </row>
    <row r="337" spans="1:22" s="139" customFormat="1" ht="15" customHeight="1" x14ac:dyDescent="0.25">
      <c r="A337" s="139" t="s">
        <v>1148</v>
      </c>
      <c r="B337" s="140" t="s">
        <v>136</v>
      </c>
      <c r="C337" s="151" t="s">
        <v>1148</v>
      </c>
      <c r="D337" s="152" t="s">
        <v>109</v>
      </c>
      <c r="E337" s="139" t="s">
        <v>1163</v>
      </c>
      <c r="F337" s="139" t="s">
        <v>1164</v>
      </c>
      <c r="G337" s="153"/>
      <c r="H337" s="159" t="s">
        <v>13413</v>
      </c>
      <c r="I337" s="151"/>
      <c r="J337" s="151"/>
      <c r="K337" s="155" t="s">
        <v>78</v>
      </c>
      <c r="L337" s="150">
        <v>6</v>
      </c>
      <c r="M337" s="156">
        <v>999999</v>
      </c>
      <c r="N337" s="25" t="s">
        <v>1163</v>
      </c>
      <c r="O337" s="151"/>
      <c r="P337" s="151"/>
      <c r="Q337" s="157" t="s">
        <v>144</v>
      </c>
      <c r="T337" s="150"/>
      <c r="U337" s="150"/>
      <c r="V337" s="150"/>
    </row>
    <row r="338" spans="1:22" s="139" customFormat="1" ht="15" customHeight="1" x14ac:dyDescent="0.25">
      <c r="A338" s="139" t="s">
        <v>1148</v>
      </c>
      <c r="B338" s="140" t="s">
        <v>136</v>
      </c>
      <c r="C338" s="151" t="s">
        <v>1148</v>
      </c>
      <c r="D338" s="152" t="s">
        <v>114</v>
      </c>
      <c r="E338" s="139" t="s">
        <v>1165</v>
      </c>
      <c r="F338" s="139" t="s">
        <v>1166</v>
      </c>
      <c r="G338" s="153"/>
      <c r="H338" s="159" t="s">
        <v>13414</v>
      </c>
      <c r="I338" s="151"/>
      <c r="J338" s="151"/>
      <c r="K338" s="155" t="s">
        <v>78</v>
      </c>
      <c r="L338" s="150">
        <v>3</v>
      </c>
      <c r="M338" s="156">
        <v>999</v>
      </c>
      <c r="N338" s="25" t="s">
        <v>1165</v>
      </c>
      <c r="O338" s="151"/>
      <c r="P338" s="151"/>
      <c r="Q338" s="157" t="s">
        <v>144</v>
      </c>
      <c r="T338" s="150"/>
      <c r="U338" s="150"/>
      <c r="V338" s="150"/>
    </row>
    <row r="339" spans="1:22" s="139" customFormat="1" ht="15" customHeight="1" x14ac:dyDescent="0.25">
      <c r="A339" s="139" t="s">
        <v>1148</v>
      </c>
      <c r="B339" s="140" t="s">
        <v>136</v>
      </c>
      <c r="C339" s="151" t="s">
        <v>1148</v>
      </c>
      <c r="D339" s="152" t="s">
        <v>120</v>
      </c>
      <c r="E339" s="139" t="s">
        <v>1167</v>
      </c>
      <c r="F339" s="139" t="s">
        <v>1168</v>
      </c>
      <c r="G339" s="153"/>
      <c r="H339" s="159" t="s">
        <v>13415</v>
      </c>
      <c r="I339" s="151"/>
      <c r="J339" s="151"/>
      <c r="K339" s="155" t="s">
        <v>78</v>
      </c>
      <c r="L339" s="150">
        <v>3</v>
      </c>
      <c r="M339" s="156">
        <v>999</v>
      </c>
      <c r="N339" s="25" t="s">
        <v>1167</v>
      </c>
      <c r="O339" s="151"/>
      <c r="P339" s="151"/>
      <c r="Q339" s="157" t="s">
        <v>144</v>
      </c>
      <c r="T339" s="150"/>
      <c r="U339" s="150"/>
      <c r="V339" s="150"/>
    </row>
    <row r="340" spans="1:22" s="139" customFormat="1" ht="15" customHeight="1" x14ac:dyDescent="0.25">
      <c r="A340" s="139" t="s">
        <v>1148</v>
      </c>
      <c r="B340" s="140" t="s">
        <v>136</v>
      </c>
      <c r="C340" s="151" t="s">
        <v>1148</v>
      </c>
      <c r="D340" s="152" t="s">
        <v>126</v>
      </c>
      <c r="E340" s="139" t="s">
        <v>1169</v>
      </c>
      <c r="F340" s="139" t="s">
        <v>1170</v>
      </c>
      <c r="G340" s="153"/>
      <c r="H340" s="159" t="s">
        <v>1171</v>
      </c>
      <c r="I340" s="151"/>
      <c r="J340" s="151"/>
      <c r="K340" s="155" t="s">
        <v>1156</v>
      </c>
      <c r="L340" s="150">
        <v>4</v>
      </c>
      <c r="M340" s="156">
        <v>9999</v>
      </c>
      <c r="N340" s="25"/>
      <c r="O340" s="151"/>
      <c r="P340" s="151"/>
      <c r="Q340" s="157" t="s">
        <v>64</v>
      </c>
      <c r="T340" s="150"/>
      <c r="U340" s="150"/>
      <c r="V340" s="150"/>
    </row>
    <row r="341" spans="1:22" s="139" customFormat="1" ht="15" customHeight="1" x14ac:dyDescent="0.25">
      <c r="A341" s="160" t="s">
        <v>1148</v>
      </c>
      <c r="B341" s="161" t="s">
        <v>136</v>
      </c>
      <c r="C341" s="33" t="s">
        <v>1148</v>
      </c>
      <c r="D341" s="162" t="s">
        <v>130</v>
      </c>
      <c r="E341" s="160" t="s">
        <v>1172</v>
      </c>
      <c r="F341" s="160" t="s">
        <v>1173</v>
      </c>
      <c r="G341" s="163"/>
      <c r="H341" s="164" t="s">
        <v>1174</v>
      </c>
      <c r="I341" s="33"/>
      <c r="J341" s="33"/>
      <c r="K341" s="165" t="s">
        <v>1156</v>
      </c>
      <c r="L341" s="166">
        <v>9</v>
      </c>
      <c r="M341" s="167">
        <v>999999999</v>
      </c>
      <c r="N341" s="341"/>
      <c r="O341" s="33"/>
      <c r="P341" s="33"/>
      <c r="Q341" s="168" t="s">
        <v>64</v>
      </c>
      <c r="T341" s="150"/>
      <c r="U341" s="150"/>
      <c r="V341" s="150"/>
    </row>
    <row r="342" spans="1:22" ht="15" customHeight="1" thickBot="1" x14ac:dyDescent="0.3"/>
    <row r="343" spans="1:22" ht="15" customHeight="1" thickBot="1" x14ac:dyDescent="0.3">
      <c r="A343" s="34" t="s">
        <v>13377</v>
      </c>
      <c r="B343" s="171" t="s">
        <v>140</v>
      </c>
      <c r="C343" s="34" t="s">
        <v>13377</v>
      </c>
      <c r="D343" s="34" t="s">
        <v>73</v>
      </c>
      <c r="E343" s="34" t="s">
        <v>13377</v>
      </c>
      <c r="F343" s="172" t="s">
        <v>13377</v>
      </c>
      <c r="G343" s="34" t="b">
        <v>0</v>
      </c>
      <c r="H343" s="34" t="s">
        <v>13377</v>
      </c>
      <c r="I343" s="34"/>
      <c r="J343" s="34"/>
      <c r="K343" s="34"/>
      <c r="L343" s="34"/>
      <c r="M343" s="173"/>
      <c r="N343" s="34"/>
      <c r="O343" s="34"/>
      <c r="P343" s="34"/>
      <c r="Q343" s="174"/>
    </row>
    <row r="344" spans="1:22" s="139" customFormat="1" ht="15" customHeight="1" x14ac:dyDescent="0.25">
      <c r="A344" s="11" t="s">
        <v>13377</v>
      </c>
      <c r="B344" s="175" t="s">
        <v>140</v>
      </c>
      <c r="C344" s="176" t="s">
        <v>13377</v>
      </c>
      <c r="D344" s="177" t="s">
        <v>74</v>
      </c>
      <c r="E344" s="178" t="s">
        <v>1150</v>
      </c>
      <c r="F344" s="178" t="s">
        <v>1151</v>
      </c>
      <c r="G344" s="179"/>
      <c r="H344" s="180" t="s">
        <v>1175</v>
      </c>
      <c r="I344" s="176"/>
      <c r="J344" s="176"/>
      <c r="K344" s="181" t="s">
        <v>1153</v>
      </c>
      <c r="L344" s="182">
        <v>3</v>
      </c>
      <c r="M344" s="183" t="s">
        <v>13469</v>
      </c>
      <c r="N344" s="25" t="s">
        <v>1150</v>
      </c>
      <c r="O344" s="176"/>
      <c r="P344" s="176"/>
      <c r="Q344" s="184" t="s">
        <v>64</v>
      </c>
      <c r="T344" s="150"/>
      <c r="U344" s="150"/>
      <c r="V344" s="150"/>
    </row>
    <row r="345" spans="1:22" s="139" customFormat="1" ht="15" customHeight="1" x14ac:dyDescent="0.25">
      <c r="A345" s="11" t="s">
        <v>13377</v>
      </c>
      <c r="B345" s="175" t="s">
        <v>140</v>
      </c>
      <c r="C345" s="185" t="s">
        <v>13377</v>
      </c>
      <c r="D345" s="186" t="s">
        <v>84</v>
      </c>
      <c r="E345" s="11" t="s">
        <v>1154</v>
      </c>
      <c r="F345" s="11" t="s">
        <v>1090</v>
      </c>
      <c r="G345" s="187"/>
      <c r="H345" s="188" t="s">
        <v>1176</v>
      </c>
      <c r="I345" s="185"/>
      <c r="J345" s="185"/>
      <c r="K345" s="189" t="s">
        <v>78</v>
      </c>
      <c r="L345" s="12">
        <v>3</v>
      </c>
      <c r="M345" s="190">
        <v>999</v>
      </c>
      <c r="N345" s="25" t="s">
        <v>1053</v>
      </c>
      <c r="O345" s="185"/>
      <c r="P345" s="185"/>
      <c r="Q345" s="191" t="s">
        <v>64</v>
      </c>
      <c r="T345" s="150"/>
      <c r="U345" s="150"/>
      <c r="V345" s="150"/>
    </row>
    <row r="346" spans="1:22" s="139" customFormat="1" ht="15" customHeight="1" x14ac:dyDescent="0.25">
      <c r="A346" s="11" t="s">
        <v>13377</v>
      </c>
      <c r="B346" s="175" t="s">
        <v>140</v>
      </c>
      <c r="C346" s="185" t="s">
        <v>13377</v>
      </c>
      <c r="D346" s="186" t="s">
        <v>90</v>
      </c>
      <c r="E346" s="11" t="s">
        <v>75</v>
      </c>
      <c r="F346" s="11" t="s">
        <v>76</v>
      </c>
      <c r="G346" s="187"/>
      <c r="H346" s="188" t="s">
        <v>1177</v>
      </c>
      <c r="I346" s="185"/>
      <c r="J346" s="185"/>
      <c r="K346" s="189" t="s">
        <v>78</v>
      </c>
      <c r="L346" s="12">
        <v>4</v>
      </c>
      <c r="M346" s="190">
        <v>9999</v>
      </c>
      <c r="N346" s="25" t="s">
        <v>80</v>
      </c>
      <c r="O346" s="185"/>
      <c r="P346" s="185"/>
      <c r="Q346" s="191" t="s">
        <v>173</v>
      </c>
      <c r="T346" s="150"/>
      <c r="U346" s="150"/>
      <c r="V346" s="150"/>
    </row>
    <row r="347" spans="1:22" s="139" customFormat="1" ht="15" customHeight="1" x14ac:dyDescent="0.25">
      <c r="A347" s="11" t="s">
        <v>13377</v>
      </c>
      <c r="B347" s="175" t="s">
        <v>140</v>
      </c>
      <c r="C347" s="185" t="s">
        <v>13377</v>
      </c>
      <c r="D347" s="186" t="s">
        <v>96</v>
      </c>
      <c r="E347" s="11" t="s">
        <v>1157</v>
      </c>
      <c r="F347" s="11" t="s">
        <v>1158</v>
      </c>
      <c r="G347" s="187"/>
      <c r="H347" s="188" t="s">
        <v>1159</v>
      </c>
      <c r="I347" s="185"/>
      <c r="J347" s="185"/>
      <c r="K347" s="189" t="s">
        <v>1153</v>
      </c>
      <c r="L347" s="12">
        <v>3</v>
      </c>
      <c r="M347" s="190">
        <v>999</v>
      </c>
      <c r="N347" s="25"/>
      <c r="O347" s="185"/>
      <c r="P347" s="185"/>
      <c r="Q347" s="191" t="s">
        <v>173</v>
      </c>
      <c r="T347" s="150"/>
      <c r="U347" s="150"/>
      <c r="V347" s="150"/>
    </row>
    <row r="348" spans="1:22" s="139" customFormat="1" ht="15" customHeight="1" x14ac:dyDescent="0.25">
      <c r="A348" s="11" t="s">
        <v>13377</v>
      </c>
      <c r="B348" s="175" t="s">
        <v>140</v>
      </c>
      <c r="C348" s="185" t="s">
        <v>13377</v>
      </c>
      <c r="D348" s="186" t="s">
        <v>102</v>
      </c>
      <c r="E348" s="11" t="s">
        <v>1160</v>
      </c>
      <c r="F348" s="11" t="s">
        <v>1161</v>
      </c>
      <c r="G348" s="187"/>
      <c r="H348" s="192" t="s">
        <v>13416</v>
      </c>
      <c r="I348" s="185"/>
      <c r="J348" s="185"/>
      <c r="K348" s="189" t="s">
        <v>78</v>
      </c>
      <c r="L348" s="12">
        <v>3</v>
      </c>
      <c r="M348" s="190">
        <v>999</v>
      </c>
      <c r="N348" s="25" t="s">
        <v>1162</v>
      </c>
      <c r="O348" s="185"/>
      <c r="P348" s="185"/>
      <c r="Q348" s="191" t="s">
        <v>64</v>
      </c>
      <c r="T348" s="150"/>
      <c r="U348" s="150"/>
      <c r="V348" s="150"/>
    </row>
    <row r="349" spans="1:22" s="139" customFormat="1" ht="15" customHeight="1" x14ac:dyDescent="0.25">
      <c r="A349" s="11" t="s">
        <v>13377</v>
      </c>
      <c r="B349" s="175" t="s">
        <v>140</v>
      </c>
      <c r="C349" s="185" t="s">
        <v>13377</v>
      </c>
      <c r="D349" s="186" t="s">
        <v>109</v>
      </c>
      <c r="E349" s="11" t="s">
        <v>1163</v>
      </c>
      <c r="F349" s="11" t="s">
        <v>1164</v>
      </c>
      <c r="G349" s="187"/>
      <c r="H349" s="192" t="s">
        <v>13417</v>
      </c>
      <c r="I349" s="185"/>
      <c r="J349" s="185"/>
      <c r="K349" s="189" t="s">
        <v>78</v>
      </c>
      <c r="L349" s="12">
        <v>6</v>
      </c>
      <c r="M349" s="190">
        <v>999999</v>
      </c>
      <c r="N349" s="25" t="s">
        <v>1163</v>
      </c>
      <c r="O349" s="185"/>
      <c r="P349" s="185"/>
      <c r="Q349" s="193" t="s">
        <v>144</v>
      </c>
      <c r="T349" s="150"/>
      <c r="U349" s="150"/>
      <c r="V349" s="150"/>
    </row>
    <row r="350" spans="1:22" s="139" customFormat="1" ht="15" customHeight="1" x14ac:dyDescent="0.25">
      <c r="A350" s="11" t="s">
        <v>13377</v>
      </c>
      <c r="B350" s="175" t="s">
        <v>140</v>
      </c>
      <c r="C350" s="185" t="s">
        <v>13377</v>
      </c>
      <c r="D350" s="186" t="s">
        <v>114</v>
      </c>
      <c r="E350" s="11" t="s">
        <v>1165</v>
      </c>
      <c r="F350" s="11" t="s">
        <v>1166</v>
      </c>
      <c r="G350" s="187"/>
      <c r="H350" s="192" t="s">
        <v>13418</v>
      </c>
      <c r="I350" s="185"/>
      <c r="J350" s="185"/>
      <c r="K350" s="189" t="s">
        <v>78</v>
      </c>
      <c r="L350" s="12">
        <v>3</v>
      </c>
      <c r="M350" s="190">
        <v>999</v>
      </c>
      <c r="N350" s="25" t="s">
        <v>1165</v>
      </c>
      <c r="O350" s="185"/>
      <c r="P350" s="185"/>
      <c r="Q350" s="191" t="s">
        <v>144</v>
      </c>
      <c r="T350" s="150"/>
      <c r="U350" s="150"/>
      <c r="V350" s="150"/>
    </row>
    <row r="351" spans="1:22" s="139" customFormat="1" ht="15" customHeight="1" x14ac:dyDescent="0.25">
      <c r="A351" s="11" t="s">
        <v>13377</v>
      </c>
      <c r="B351" s="175" t="s">
        <v>140</v>
      </c>
      <c r="C351" s="185" t="s">
        <v>13377</v>
      </c>
      <c r="D351" s="186" t="s">
        <v>120</v>
      </c>
      <c r="E351" s="11" t="s">
        <v>1167</v>
      </c>
      <c r="F351" s="11" t="s">
        <v>1168</v>
      </c>
      <c r="G351" s="187"/>
      <c r="H351" s="192" t="s">
        <v>13419</v>
      </c>
      <c r="I351" s="185"/>
      <c r="J351" s="185"/>
      <c r="K351" s="189" t="s">
        <v>78</v>
      </c>
      <c r="L351" s="12">
        <v>3</v>
      </c>
      <c r="M351" s="190">
        <v>999</v>
      </c>
      <c r="N351" s="25" t="s">
        <v>1167</v>
      </c>
      <c r="O351" s="185"/>
      <c r="P351" s="185"/>
      <c r="Q351" s="191" t="s">
        <v>144</v>
      </c>
      <c r="T351" s="150"/>
      <c r="U351" s="150"/>
      <c r="V351" s="150"/>
    </row>
    <row r="352" spans="1:22" s="139" customFormat="1" ht="15" customHeight="1" x14ac:dyDescent="0.25">
      <c r="A352" s="11" t="s">
        <v>13377</v>
      </c>
      <c r="B352" s="175" t="s">
        <v>140</v>
      </c>
      <c r="C352" s="185" t="s">
        <v>13377</v>
      </c>
      <c r="D352" s="186" t="s">
        <v>126</v>
      </c>
      <c r="E352" s="11" t="s">
        <v>1169</v>
      </c>
      <c r="F352" s="11" t="s">
        <v>1170</v>
      </c>
      <c r="G352" s="187"/>
      <c r="H352" s="192" t="s">
        <v>1171</v>
      </c>
      <c r="I352" s="185"/>
      <c r="J352" s="185"/>
      <c r="K352" s="189" t="s">
        <v>1156</v>
      </c>
      <c r="L352" s="12">
        <v>4</v>
      </c>
      <c r="M352" s="190">
        <v>9999</v>
      </c>
      <c r="N352" s="25"/>
      <c r="O352" s="185"/>
      <c r="P352" s="185"/>
      <c r="Q352" s="191" t="s">
        <v>64</v>
      </c>
      <c r="T352" s="150"/>
      <c r="U352" s="150"/>
      <c r="V352" s="150"/>
    </row>
    <row r="353" spans="1:22" s="139" customFormat="1" ht="15" customHeight="1" x14ac:dyDescent="0.25">
      <c r="A353" s="11" t="s">
        <v>13377</v>
      </c>
      <c r="B353" s="175" t="s">
        <v>140</v>
      </c>
      <c r="C353" s="185" t="s">
        <v>13377</v>
      </c>
      <c r="D353" s="186" t="s">
        <v>130</v>
      </c>
      <c r="E353" s="11" t="s">
        <v>1172</v>
      </c>
      <c r="F353" s="11" t="s">
        <v>1173</v>
      </c>
      <c r="G353" s="187"/>
      <c r="H353" s="192" t="s">
        <v>1174</v>
      </c>
      <c r="I353" s="185"/>
      <c r="J353" s="185"/>
      <c r="K353" s="189" t="s">
        <v>1156</v>
      </c>
      <c r="L353" s="12">
        <v>9</v>
      </c>
      <c r="M353" s="190">
        <v>999999999</v>
      </c>
      <c r="N353" s="25"/>
      <c r="O353" s="185"/>
      <c r="P353" s="185"/>
      <c r="Q353" s="191" t="s">
        <v>64</v>
      </c>
      <c r="T353" s="150"/>
      <c r="U353" s="150"/>
      <c r="V353" s="150"/>
    </row>
    <row r="354" spans="1:22" s="139" customFormat="1" ht="15" customHeight="1" x14ac:dyDescent="0.25">
      <c r="A354" s="11" t="s">
        <v>13377</v>
      </c>
      <c r="B354" s="175" t="s">
        <v>140</v>
      </c>
      <c r="C354" s="185" t="s">
        <v>13377</v>
      </c>
      <c r="D354" s="186" t="s">
        <v>136</v>
      </c>
      <c r="E354" s="11" t="s">
        <v>1178</v>
      </c>
      <c r="F354" s="11" t="s">
        <v>1179</v>
      </c>
      <c r="G354" s="11"/>
      <c r="H354" s="192" t="s">
        <v>1180</v>
      </c>
      <c r="I354" s="12"/>
      <c r="J354" s="12"/>
      <c r="K354" s="189" t="s">
        <v>1181</v>
      </c>
      <c r="L354" s="12">
        <v>10</v>
      </c>
      <c r="M354" s="194" t="s">
        <v>1182</v>
      </c>
      <c r="N354" s="25"/>
      <c r="O354" s="11"/>
      <c r="P354" s="11"/>
      <c r="Q354" s="191" t="s">
        <v>64</v>
      </c>
      <c r="T354" s="150"/>
      <c r="U354" s="150"/>
      <c r="V354" s="150"/>
    </row>
    <row r="355" spans="1:22" s="139" customFormat="1" ht="15" customHeight="1" x14ac:dyDescent="0.25">
      <c r="A355" s="11" t="s">
        <v>13377</v>
      </c>
      <c r="B355" s="175" t="s">
        <v>140</v>
      </c>
      <c r="C355" s="185" t="s">
        <v>13377</v>
      </c>
      <c r="D355" s="186" t="s">
        <v>140</v>
      </c>
      <c r="E355" s="11" t="s">
        <v>1183</v>
      </c>
      <c r="F355" s="11" t="s">
        <v>1184</v>
      </c>
      <c r="G355" s="11"/>
      <c r="H355" s="192" t="s">
        <v>1185</v>
      </c>
      <c r="I355" s="12"/>
      <c r="J355" s="12"/>
      <c r="K355" s="189" t="s">
        <v>1186</v>
      </c>
      <c r="L355" s="12">
        <v>30</v>
      </c>
      <c r="M355" s="190"/>
      <c r="N355" s="25"/>
      <c r="O355" s="11"/>
      <c r="P355" s="11"/>
      <c r="Q355" s="191" t="s">
        <v>64</v>
      </c>
      <c r="T355" s="150"/>
      <c r="U355" s="150"/>
      <c r="V355" s="150"/>
    </row>
    <row r="356" spans="1:22" s="139" customFormat="1" ht="15" customHeight="1" x14ac:dyDescent="0.25">
      <c r="A356" s="11" t="s">
        <v>13377</v>
      </c>
      <c r="B356" s="175" t="s">
        <v>140</v>
      </c>
      <c r="C356" s="185" t="s">
        <v>13377</v>
      </c>
      <c r="D356" s="186" t="s">
        <v>146</v>
      </c>
      <c r="E356" s="11" t="s">
        <v>1187</v>
      </c>
      <c r="F356" s="11" t="s">
        <v>1188</v>
      </c>
      <c r="G356" s="11"/>
      <c r="H356" s="192" t="s">
        <v>1189</v>
      </c>
      <c r="I356" s="12"/>
      <c r="J356" s="12"/>
      <c r="K356" s="189" t="s">
        <v>1186</v>
      </c>
      <c r="L356" s="12">
        <v>40</v>
      </c>
      <c r="M356" s="190"/>
      <c r="N356" s="25"/>
      <c r="O356" s="11"/>
      <c r="P356" s="11"/>
      <c r="Q356" s="191" t="s">
        <v>144</v>
      </c>
      <c r="T356" s="150"/>
      <c r="U356" s="150"/>
      <c r="V356" s="150"/>
    </row>
    <row r="357" spans="1:22" s="139" customFormat="1" ht="15" customHeight="1" x14ac:dyDescent="0.25">
      <c r="A357" s="11" t="s">
        <v>13377</v>
      </c>
      <c r="B357" s="175" t="s">
        <v>140</v>
      </c>
      <c r="C357" s="185" t="s">
        <v>13377</v>
      </c>
      <c r="D357" s="186" t="s">
        <v>150</v>
      </c>
      <c r="E357" s="11" t="s">
        <v>1190</v>
      </c>
      <c r="F357" s="11" t="s">
        <v>1191</v>
      </c>
      <c r="G357" s="11"/>
      <c r="H357" s="192" t="s">
        <v>1192</v>
      </c>
      <c r="I357" s="12"/>
      <c r="J357" s="12"/>
      <c r="K357" s="189" t="s">
        <v>1186</v>
      </c>
      <c r="L357" s="12">
        <v>30</v>
      </c>
      <c r="M357" s="190"/>
      <c r="N357" s="25"/>
      <c r="O357" s="11"/>
      <c r="P357" s="11"/>
      <c r="Q357" s="191" t="s">
        <v>144</v>
      </c>
      <c r="T357" s="150"/>
      <c r="U357" s="150"/>
      <c r="V357" s="150"/>
    </row>
    <row r="358" spans="1:22" s="139" customFormat="1" ht="15" customHeight="1" x14ac:dyDescent="0.25">
      <c r="A358" s="11" t="s">
        <v>13377</v>
      </c>
      <c r="B358" s="175" t="s">
        <v>140</v>
      </c>
      <c r="C358" s="185" t="s">
        <v>13377</v>
      </c>
      <c r="D358" s="186" t="s">
        <v>154</v>
      </c>
      <c r="E358" s="185" t="s">
        <v>1193</v>
      </c>
      <c r="F358" s="11" t="s">
        <v>1194</v>
      </c>
      <c r="G358" s="185"/>
      <c r="H358" s="192" t="s">
        <v>1195</v>
      </c>
      <c r="I358" s="185"/>
      <c r="J358" s="185"/>
      <c r="K358" s="185" t="s">
        <v>1153</v>
      </c>
      <c r="L358" s="195">
        <v>2</v>
      </c>
      <c r="M358" s="185" t="s">
        <v>13443</v>
      </c>
      <c r="N358" s="25" t="s">
        <v>619</v>
      </c>
      <c r="O358" s="185"/>
      <c r="P358" s="185"/>
      <c r="Q358" s="191" t="s">
        <v>144</v>
      </c>
      <c r="T358" s="150"/>
      <c r="U358" s="150"/>
      <c r="V358" s="150"/>
    </row>
    <row r="359" spans="1:22" s="139" customFormat="1" ht="15" customHeight="1" x14ac:dyDescent="0.25">
      <c r="A359" s="196" t="s">
        <v>13377</v>
      </c>
      <c r="B359" s="197" t="s">
        <v>140</v>
      </c>
      <c r="C359" s="198" t="s">
        <v>13377</v>
      </c>
      <c r="D359" s="199" t="s">
        <v>214</v>
      </c>
      <c r="E359" s="198" t="s">
        <v>1197</v>
      </c>
      <c r="F359" s="198" t="s">
        <v>1198</v>
      </c>
      <c r="G359" s="198"/>
      <c r="H359" s="200" t="s">
        <v>1199</v>
      </c>
      <c r="I359" s="198"/>
      <c r="J359" s="198"/>
      <c r="K359" s="198" t="s">
        <v>1153</v>
      </c>
      <c r="L359" s="201">
        <v>2</v>
      </c>
      <c r="M359" s="198" t="s">
        <v>13443</v>
      </c>
      <c r="N359" s="341" t="s">
        <v>330</v>
      </c>
      <c r="O359" s="198"/>
      <c r="P359" s="198"/>
      <c r="Q359" s="202" t="s">
        <v>144</v>
      </c>
      <c r="T359" s="150"/>
      <c r="U359" s="150"/>
      <c r="V359" s="150"/>
    </row>
  </sheetData>
  <autoFilter ref="A1:X359" xr:uid="{D5433C31-B74C-44C0-BD19-A53F27FB4DB6}"/>
  <phoneticPr fontId="0" type="noConversion"/>
  <hyperlinks>
    <hyperlink ref="N51" location="Border_Student" display="Border Student" xr:uid="{00000000-0004-0000-0200-000000000000}"/>
    <hyperlink ref="N38" location="Lunch_Status" display="Lunch Status" xr:uid="{00000000-0004-0000-0200-000001000000}"/>
    <hyperlink ref="N26" location="Yes_No" display="Yes/No" xr:uid="{00000000-0004-0000-0200-000002000000}"/>
    <hyperlink ref="N25" location="Gender" display="Gender" xr:uid="{00000000-0004-0000-0200-000003000000}"/>
    <hyperlink ref="N158" location="Languages" display="Languages" xr:uid="{00000000-0004-0000-0200-000004000000}"/>
    <hyperlink ref="N45" location="Yes_No_NA" display="Yes/No/NA" xr:uid="{00000000-0004-0000-0200-000005000000}"/>
    <hyperlink ref="N123" location="Special_Ed_Eligibility" display="Special Ed Eligiblity (Yes/No/Undetermined)" xr:uid="{00000000-0004-0000-0200-000006000000}"/>
    <hyperlink ref="N36" location="Grade_Level" display="Grade Level" xr:uid="{00000000-0004-0000-0200-000007000000}"/>
    <hyperlink ref="N151" location="Gender" display="Gender" xr:uid="{00000000-0004-0000-0200-000008000000}"/>
    <hyperlink ref="N27" location="Yes_No" display="Yes/No" xr:uid="{00000000-0004-0000-0200-00000A000000}"/>
    <hyperlink ref="N28" location="Yes_No" display="Yes/No" xr:uid="{00000000-0004-0000-0200-00000B000000}"/>
    <hyperlink ref="N29" location="Yes_No" display="Yes/No" xr:uid="{00000000-0004-0000-0200-00000C000000}"/>
    <hyperlink ref="N30" location="Yes_No" display="Yes/No" xr:uid="{00000000-0004-0000-0200-00000D000000}"/>
    <hyperlink ref="N31" location="Yes_No" display="Yes/No" xr:uid="{00000000-0004-0000-0200-00000E000000}"/>
    <hyperlink ref="N39" location="Yes_No" display="Yes/No" xr:uid="{00000000-0004-0000-0200-000010000000}"/>
    <hyperlink ref="N40" location="Yes_No" display="Yes/No" xr:uid="{00000000-0004-0000-0200-000011000000}"/>
    <hyperlink ref="N43" location="Yes_No" display="Yes/No" xr:uid="{00000000-0004-0000-0200-000012000000}"/>
    <hyperlink ref="N46" location="Yes_No" display="Yes/No" xr:uid="{00000000-0004-0000-0200-000013000000}"/>
    <hyperlink ref="N47" location="Yes_No" display="Yes/No" xr:uid="{00000000-0004-0000-0200-000014000000}"/>
    <hyperlink ref="N48" location="Yes_No" display="Yes/No" xr:uid="{00000000-0004-0000-0200-000015000000}"/>
    <hyperlink ref="N53" location="Yes_No" display="Yes/No" xr:uid="{00000000-0004-0000-0200-000016000000}"/>
    <hyperlink ref="N111" location="Yes_No" display="Yes/No" xr:uid="{00000000-0004-0000-0200-000017000000}"/>
    <hyperlink ref="N119" location="Yes_No" display="Yes/No" xr:uid="{00000000-0004-0000-0200-000018000000}"/>
    <hyperlink ref="N133" location="Yes_No" display="Yes/No" xr:uid="{00000000-0004-0000-0200-000019000000}"/>
    <hyperlink ref="N134" location="Yes_No" display="Yes/No" xr:uid="{00000000-0004-0000-0200-00001A000000}"/>
    <hyperlink ref="N135" location="Yes_No" display="Yes/No" xr:uid="{00000000-0004-0000-0200-00001B000000}"/>
    <hyperlink ref="N136" location="Yes_No" display="Yes/No" xr:uid="{00000000-0004-0000-0200-00001C000000}"/>
    <hyperlink ref="N137" location="Yes_No" display="Yes/No" xr:uid="{00000000-0004-0000-0200-00001D000000}"/>
    <hyperlink ref="N152" location="Yes_No" display="Yes/No" xr:uid="{00000000-0004-0000-0200-00001E000000}"/>
    <hyperlink ref="N153" location="Yes_No" display="Yes/No" xr:uid="{00000000-0004-0000-0200-00001F000000}"/>
    <hyperlink ref="N154" location="Yes_No" display="Yes/No" xr:uid="{00000000-0004-0000-0200-000020000000}"/>
    <hyperlink ref="N155" location="Yes_No" display="Yes/No" xr:uid="{00000000-0004-0000-0200-000021000000}"/>
    <hyperlink ref="N156" location="Yes_No" display="Yes/No" xr:uid="{00000000-0004-0000-0200-000022000000}"/>
    <hyperlink ref="N157" location="Yes_No" display="Yes/No" xr:uid="{00000000-0004-0000-0200-000023000000}"/>
    <hyperlink ref="N159" location="Yes_No" display="Yes/No" xr:uid="{00000000-0004-0000-0200-000024000000}"/>
    <hyperlink ref="N160" location="Parapro_Type" display="Parapro Type" xr:uid="{00000000-0004-0000-0200-000025000000}"/>
    <hyperlink ref="N200" location="Yes_No" display="Yes/No" xr:uid="{00000000-0004-0000-0200-000026000000}"/>
    <hyperlink ref="N201" location="Yes_No" display="Yes/No" xr:uid="{00000000-0004-0000-0200-000027000000}"/>
    <hyperlink ref="N84" location="Yes_No" display="Yes/No" xr:uid="{00000000-0004-0000-0200-000028000000}"/>
    <hyperlink ref="N85" location="Yes_No" display="Yes/No" xr:uid="{00000000-0004-0000-0200-000029000000}"/>
    <hyperlink ref="N296" location="Yes_No" display="Yes/No" xr:uid="{00000000-0004-0000-0200-00002A000000}"/>
    <hyperlink ref="N298" location="Yes_No" display="Yes/No" xr:uid="{00000000-0004-0000-0200-00002D000000}"/>
    <hyperlink ref="N300" location="Yes_No" display="Yes/No" xr:uid="{00000000-0004-0000-0200-000030000000}"/>
    <hyperlink ref="N303" location="Yes_No" display="Yes/No" xr:uid="{00000000-0004-0000-0200-000031000000}"/>
    <hyperlink ref="N304" location="Yes_No" display="Yes/No" xr:uid="{00000000-0004-0000-0200-000032000000}"/>
    <hyperlink ref="N33" location="Idaho_Counties" display="Idaho Counties" xr:uid="{00000000-0004-0000-0200-000034000000}"/>
    <hyperlink ref="N49" location="Homeless_Residence" display="Homeless Residence" xr:uid="{00000000-0004-0000-0200-000036000000}"/>
    <hyperlink ref="N56" location="Country" display="Country" xr:uid="{00000000-0004-0000-0200-000037000000}"/>
    <hyperlink ref="N63" location="Entry_Reasons" display="Entry Reasons" xr:uid="{00000000-0004-0000-0200-000038000000}"/>
    <hyperlink ref="N65" location="Entry_Reasons" display="Entry Reasons" xr:uid="{00000000-0004-0000-0200-000039000000}"/>
    <hyperlink ref="N67" location="Exit_Reasons" display="Entry Reasons" xr:uid="{00000000-0004-0000-0200-00003A000000}"/>
    <hyperlink ref="N97" location="Calendar_Type" display="Calendar Type" xr:uid="{00000000-0004-0000-0200-00003B000000}"/>
    <hyperlink ref="N98" location="Kindergarten_Session_Type" display="Kindergarten Session Type" xr:uid="{00000000-0004-0000-0200-00003C000000}"/>
    <hyperlink ref="N107" location="Exceptionality" display="Exceptionality" xr:uid="{00000000-0004-0000-0200-00003D000000}"/>
    <hyperlink ref="N108" location="Special_Ed_Environment" display="Special Ed Environment" xr:uid="{00000000-0004-0000-0200-00003E000000}"/>
    <hyperlink ref="N113" location="Early_Childhood_Determination" display="Early Childhood Determination Late" xr:uid="{00000000-0004-0000-0200-00003F000000}"/>
    <hyperlink ref="N121" location="Special_Ed_Determination_late" display="Special Ed Determination Late" xr:uid="{00000000-0004-0000-0200-000040000000}"/>
    <hyperlink ref="N122" location="State_Exception_Rule" display="State Exception Rule" xr:uid="{00000000-0004-0000-0200-000041000000}"/>
    <hyperlink ref="N124" location="Undetermined_Reason" display="Undetermined Reason" xr:uid="{00000000-0004-0000-0200-000042000000}"/>
    <hyperlink ref="N125" location="Program_Status_SE" display="Program Status" xr:uid="{00000000-0004-0000-0200-000043000000}"/>
    <hyperlink ref="N127" location="Program_Exit_Reason" display="Program Exit Reason" xr:uid="{00000000-0004-0000-0200-000044000000}"/>
    <hyperlink ref="N138" location="Program_Status_GT" display="Program Status" xr:uid="{00000000-0004-0000-0200-000045000000}"/>
    <hyperlink ref="N142" location="Gifted_Exit_Reason" display="Gifted Exit Reason" xr:uid="{00000000-0004-0000-0200-000046000000}"/>
    <hyperlink ref="N302" location="Modified_Duration_Reason" display="Modified Duration Reason" xr:uid="{00000000-0004-0000-0200-000054000000}"/>
    <hyperlink ref="N299" location="Weapon_Type" display="Weapon Type" xr:uid="{00000000-0004-0000-0200-000055000000}"/>
    <hyperlink ref="N291" location="Disciplinary_Action_Type" display="Disciplinary Action Type" xr:uid="{00000000-0004-0000-0200-000056000000}"/>
    <hyperlink ref="N297" location="IDEA_Interim_Removal_Reason" display="IDEA Interim Removal Reason" xr:uid="{00000000-0004-0000-0200-000059000000}"/>
    <hyperlink ref="N79" location="Course_Exit_Reason" display="Course Exit Reason" xr:uid="{00000000-0004-0000-0200-00005A000000}"/>
    <hyperlink ref="N278" location="Teaching_Role" display="Teaching Role" xr:uid="{00000000-0004-0000-0200-00005B000000}"/>
    <hyperlink ref="N277" location="AssignmentCourse_Codes" display="Staff Assignment Code" xr:uid="{00000000-0004-0000-0200-00005C000000}"/>
    <hyperlink ref="N165" location="Higher_Ed_Institutions" display="Higher Ed Institutions" xr:uid="{00000000-0004-0000-0200-00005D000000}"/>
    <hyperlink ref="N172" location="Higher_Ed_Institutions" display="Higher Ed Institutions" xr:uid="{00000000-0004-0000-0200-00005E000000}"/>
    <hyperlink ref="N178" location="Higher_Ed_Institutions" display="Higher Ed Institutions" xr:uid="{00000000-0004-0000-0200-00005F000000}"/>
    <hyperlink ref="N184" location="Higher_Ed_Institutions" display="Higher Ed Institutions" xr:uid="{00000000-0004-0000-0200-000060000000}"/>
    <hyperlink ref="N190" location="Higher_Ed_Institutions" display="Higher Ed Institutions" xr:uid="{00000000-0004-0000-0200-000061000000}"/>
    <hyperlink ref="N195" location="Higher_Ed_Institutions" display="Higher Ed Institutions" xr:uid="{00000000-0004-0000-0200-000062000000}"/>
    <hyperlink ref="N212" location="Contract_Type" display="Contract Type" xr:uid="{00000000-0004-0000-0200-000063000000}"/>
    <hyperlink ref="N225" location="Contract_Type" display="Contract Type" xr:uid="{00000000-0004-0000-0200-000064000000}"/>
    <hyperlink ref="N211" location="Employment_Status" display="Employment Status" xr:uid="{00000000-0004-0000-0200-000065000000}"/>
    <hyperlink ref="N196" location="State_Province" display="State Province" xr:uid="{00000000-0004-0000-0200-000066000000}"/>
    <hyperlink ref="N191" location="State_Province" display="State Province" xr:uid="{00000000-0004-0000-0200-000067000000}"/>
    <hyperlink ref="N185" location="State_Province" display="State Province" xr:uid="{00000000-0004-0000-0200-000068000000}"/>
    <hyperlink ref="N179" location="State_Province" display="State Province" xr:uid="{00000000-0004-0000-0200-000069000000}"/>
    <hyperlink ref="N166" location="State_Province" display="State Province" xr:uid="{00000000-0004-0000-0200-00006A000000}"/>
    <hyperlink ref="N162" location="State_Province" display="State Province" xr:uid="{00000000-0004-0000-0200-00006B000000}"/>
    <hyperlink ref="N163" location="Education_Degree" display="Education Degree" xr:uid="{00000000-0004-0000-0200-00006C000000}"/>
    <hyperlink ref="N170" location="Education_Degree" display="Education Degree" xr:uid="{00000000-0004-0000-0200-00006D000000}"/>
    <hyperlink ref="N176" location="Education_Degree" display="Education Degree" xr:uid="{00000000-0004-0000-0200-00006E000000}"/>
    <hyperlink ref="N182" location="Education_Degree" display="Education Degree" xr:uid="{00000000-0004-0000-0200-00006F000000}"/>
    <hyperlink ref="N188" location="Education_Degree" display="Education Degree" xr:uid="{00000000-0004-0000-0200-000070000000}"/>
    <hyperlink ref="N197" location="Parapro_High_School_Degree" display="Parapro High School Degree" xr:uid="{00000000-0004-0000-0200-000071000000}"/>
    <hyperlink ref="N251" location="Extra_Pay_Type" display="Extra Pay Type" xr:uid="{00000000-0004-0000-0200-000072000000}"/>
    <hyperlink ref="N253" location="Extra_Pay_Type" display="Extra Pay Type" xr:uid="{00000000-0004-0000-0200-000073000000}"/>
    <hyperlink ref="N255" location="Extra_Pay_Type" display="Extra Pay Type" xr:uid="{00000000-0004-0000-0200-000074000000}"/>
    <hyperlink ref="N257" location="Extra_Pay_Type" display="Extra Pay Type" xr:uid="{00000000-0004-0000-0200-000075000000}"/>
    <hyperlink ref="N268" location="Staff_Exit_Reason" display="Staff Exit Reason" xr:uid="{00000000-0004-0000-0200-000076000000}"/>
    <hyperlink ref="N87" location="College_Credit" display="College Credit" xr:uid="{00000000-0004-0000-0200-000077000000}"/>
    <hyperlink ref="N173" location="State_Province" display="State Province" xr:uid="{00000000-0004-0000-0200-00007D000000}"/>
    <hyperlink ref="N69" location="Exit_Reasons" display="Entry Reasons" xr:uid="{00000000-0004-0000-0200-00007E000000}"/>
    <hyperlink ref="N217" location="Funding_Source" display="Funding Source" xr:uid="{00000000-0004-0000-0200-000080000000}"/>
    <hyperlink ref="N219" location="Funding_Source" display="Funding Source" xr:uid="{00000000-0004-0000-0200-000081000000}"/>
    <hyperlink ref="N221" location="Funding_Source" display="Funding Source" xr:uid="{00000000-0004-0000-0200-000082000000}"/>
    <hyperlink ref="N223" location="Funding_Source" display="Funding Source" xr:uid="{00000000-0004-0000-0200-000083000000}"/>
    <hyperlink ref="N238" location="Contract_Type" display="Contract Type" xr:uid="{00000000-0004-0000-0200-000084000000}"/>
    <hyperlink ref="N230" location="Funding_Source" display="Funding Source" xr:uid="{00000000-0004-0000-0200-000085000000}"/>
    <hyperlink ref="N232" location="Funding_Source" display="Funding Source" xr:uid="{00000000-0004-0000-0200-000086000000}"/>
    <hyperlink ref="N234" location="Funding_Source" display="Funding Source" xr:uid="{00000000-0004-0000-0200-000087000000}"/>
    <hyperlink ref="N236" location="Funding_Source" display="Funding Source" xr:uid="{00000000-0004-0000-0200-000088000000}"/>
    <hyperlink ref="N243" location="Funding_Source" display="Funding Source" xr:uid="{00000000-0004-0000-0200-000089000000}"/>
    <hyperlink ref="N245" location="Funding_Source" display="Funding Source" xr:uid="{00000000-0004-0000-0200-00008A000000}"/>
    <hyperlink ref="N247" location="Funding_Source" display="Funding Source" xr:uid="{00000000-0004-0000-0200-00008B000000}"/>
    <hyperlink ref="N249" location="Funding_Source" display="Funding Source" xr:uid="{00000000-0004-0000-0200-00008C000000}"/>
    <hyperlink ref="N259" location="Funding_Source" display="Funding Source" xr:uid="{00000000-0004-0000-0200-00008D000000}"/>
    <hyperlink ref="N261" location="Funding_Source" display="Funding Source" xr:uid="{00000000-0004-0000-0200-00008E000000}"/>
    <hyperlink ref="N263" location="Funding_Source" display="Funding Source" xr:uid="{00000000-0004-0000-0200-00008F000000}"/>
    <hyperlink ref="N265" location="Funding_Source" display="Funding Source" xr:uid="{00000000-0004-0000-0200-000090000000}"/>
    <hyperlink ref="N50" location="Yes_No" display="Yes/No" xr:uid="{00000000-0004-0000-0200-000091000000}"/>
    <hyperlink ref="N110" location="Yes_No" display="Yes/No" xr:uid="{00000000-0004-0000-0200-000092000000}"/>
    <hyperlink ref="N3" location="Schools" display="Schools" xr:uid="{00000000-0004-0000-0200-000093000000}"/>
    <hyperlink ref="N4" location="AssignmentCourse_Codes" display="Course Code" xr:uid="{00000000-0004-0000-0200-000094000000}"/>
    <hyperlink ref="N5" location="Course_Type" display="Course Type" xr:uid="{00000000-0004-0000-0200-000095000000}"/>
    <hyperlink ref="N6" location="Instructional_Setting" display="Instructional Setting" xr:uid="{00000000-0004-0000-0200-000096000000}"/>
    <hyperlink ref="N42" location="Military_Connection" display="Military Connection" xr:uid="{00000000-0004-0000-0200-000097000000}"/>
    <hyperlink ref="N73" location="AssignmentCourse_Codes" display="Course Code" xr:uid="{00000000-0004-0000-0200-0000A3000000}"/>
    <hyperlink ref="N41" location="Yes_No" display="Yes/No" xr:uid="{00000000-0004-0000-0200-0000A5000000}"/>
    <hyperlink ref="N44" location="Yes_No" display="Yes/No" xr:uid="{00000000-0004-0000-0200-0000A9000000}"/>
    <hyperlink ref="N59" location="Yes_No" display="Yes/No" xr:uid="{00000000-0004-0000-0200-0000AA000000}"/>
    <hyperlink ref="N82" location="Yes_No" display="Yes/No" xr:uid="{00000000-0004-0000-0200-0000AB000000}"/>
    <hyperlink ref="N61" location="Yes_No" display="Yes/No" xr:uid="{00000000-0004-0000-0200-0000AC000000}"/>
    <hyperlink ref="N8" location="Content_Grade_Level" display="Content Grade Level" xr:uid="{00000000-0004-0000-0200-0000AD000000}"/>
    <hyperlink ref="N55" location="Languages" display="Languages" xr:uid="{00000000-0004-0000-0200-0000AE000000}"/>
    <hyperlink ref="N57" location="Yes_No" display="Yes/No" xr:uid="{00000000-0004-0000-0200-0000AF000000}"/>
    <hyperlink ref="N35" location="PH_School" display="PH School" xr:uid="{0B595D0C-9F4D-4D08-81A5-140947C5EB43}"/>
    <hyperlink ref="N60" location="Yes_No" display="Yes/No" xr:uid="{21F3D70A-D60D-4D49-B2E9-CF2B4E9FF3BB}"/>
    <hyperlink ref="N310" location="Program_Contact_Role" display="Program Contact Role" xr:uid="{7CF7119B-19FA-451F-896F-3AB644DDEC1F}"/>
    <hyperlink ref="N312" location="Yes_No" display="Yes/No" xr:uid="{D7736BFF-1D22-4DA4-860B-761F0F92DA21}"/>
    <hyperlink ref="N324" location="Phone_Type" display="Phone Type" xr:uid="{313EA79E-37AD-4C00-830C-4AC05EEA9D85}"/>
    <hyperlink ref="N321" location="Phone_Type" display="Phone Type" xr:uid="{E74610EA-8EF3-4179-855D-E9371982427E}"/>
    <hyperlink ref="N332" location="Record_Type_ASF" display="Record Type" xr:uid="{EF2CC01E-1802-4BD2-87D0-487E731F1C31}"/>
    <hyperlink ref="N338" location="Function_Code" display="Function Code" xr:uid="{0F01D2D0-BD3C-44E6-83F0-F308D6737E52}"/>
    <hyperlink ref="N339" location="Object_Code" display="Object Code" xr:uid="{3CBB5B10-4CC1-4053-8F7E-C3B35065D22A}"/>
    <hyperlink ref="N344" location="Record_Type_FTR" display="Record Type" xr:uid="{3C4F56FA-A5CC-44A5-934F-E11445639067}"/>
    <hyperlink ref="N348" location="Fund_Number" display="Fund number" xr:uid="{84E4EA36-1F17-47AC-9E80-A1C6D40B151B}"/>
    <hyperlink ref="N350" location="Function_Code" display="Function Code" xr:uid="{8C003CAD-0152-4283-A5F3-90BA0056E8BB}"/>
    <hyperlink ref="N351" location="Object_Code" display="Object Code" xr:uid="{372D436A-9DF3-413E-B545-1AF94C9765C8}"/>
    <hyperlink ref="N349" location="Account_Code" display="Account Code" xr:uid="{E79EB7D0-612A-4FF6-A0B1-4285B3B751A3}"/>
    <hyperlink ref="N359" location="Country" display="Country" xr:uid="{22E5CC1E-8F91-46D7-A88C-AD55F586FD39}"/>
    <hyperlink ref="N358" location="State_Province" display="State Province" xr:uid="{89356BD9-17CA-445D-9D48-EC487EA2A02B}"/>
    <hyperlink ref="N58" location="Yes_No" display="Yes/No" xr:uid="{2C2D32EE-84D7-4FEE-8E37-4B1F097F8F7C}"/>
    <hyperlink ref="N94" location="Yes_No" display="Yes/No" xr:uid="{76EAD7EB-B675-421C-8DCF-E6EC354454C0}"/>
    <hyperlink ref="N345" location="Districts" display="Districts" xr:uid="{CCC6CFB7-9F63-4B87-8A21-0FB1AA09F153}"/>
    <hyperlink ref="N337" location="Account_Code" display="Account Code" xr:uid="{01A1BB9D-1531-4B3C-B79B-AD46677EA22E}"/>
    <hyperlink ref="N336" location="Fund_Number" display="Fund number" xr:uid="{3F60FF3D-A0A3-4E51-9C7D-6D0FB7CE7B41}"/>
    <hyperlink ref="N14" location="Schools" display="Schools" xr:uid="{19123E53-D49C-477F-8C8E-2FB52CD4F007}"/>
    <hyperlink ref="N32" location="Schools" display="Schools" xr:uid="{377B1F30-51BF-4CAA-ACBE-371CCDEB0FDB}"/>
    <hyperlink ref="N72" location="Schools" display="Schools" xr:uid="{03D2203E-E4EC-4ADB-8C4D-F5343E7FDC3D}"/>
    <hyperlink ref="N90" location="Schools" display="Schools" xr:uid="{EB5F4B10-262A-45D8-88C6-1F7CED1D48D9}"/>
    <hyperlink ref="N105" location="Schools" display="Schools" xr:uid="{A80A04DE-5F55-4616-8F6F-F7505A346E7F}"/>
    <hyperlink ref="N106" location="Schools" display="Schools" xr:uid="{96010CBC-1671-4557-A98E-7E4D3867DBBB}"/>
    <hyperlink ref="N132" location="Schools" display="Schools" xr:uid="{0B8BECE6-6960-42CA-94DE-BCEABB2ECFEE}"/>
    <hyperlink ref="N202" location="Schools" display="Schools" xr:uid="{A6A7C143-2632-4DAB-8817-95E766CDE740}"/>
    <hyperlink ref="N272" location="Schools" display="Schools" xr:uid="{DD621346-55F6-4205-8B0B-9691394EA9DF}"/>
    <hyperlink ref="N295" location="Schools" display="Schools" xr:uid="{9C9A521C-7C30-40CC-A998-D28BA5F5BBFA}"/>
    <hyperlink ref="N309" location="Schools" display="Schools" xr:uid="{17ED2832-D52C-451C-9FD6-0D82C9B83D59}"/>
    <hyperlink ref="N318" location="Schools" display="Schools" xr:uid="{33AFE62C-58D8-4D53-BEB6-AB19A392B016}"/>
    <hyperlink ref="N334" location="Schools" display="Schools" xr:uid="{9A46B453-8A2B-466E-8928-632CFA08604E}"/>
    <hyperlink ref="N346" location="Schools" display="Schools" xr:uid="{F30F6248-DA6C-4AA5-90A4-744FD59B1B4D}"/>
    <hyperlink ref="N333" location="Districts" display="Districts" xr:uid="{DA4C2B57-799B-4600-8EB0-32D225D64059}"/>
    <hyperlink ref="N308" location="Districts" display="Districts" xr:uid="{3B2A10FD-3B46-40A2-94EB-05CAA73A28ED}"/>
    <hyperlink ref="N294" location="Districts" display="Districts" xr:uid="{D7B327F6-217C-4E34-B27B-7023C67F0D1C}"/>
    <hyperlink ref="N293" location="Districts" display="Districts" xr:uid="{5487F5A7-7DF7-4621-A9D1-849B758BBFFF}"/>
    <hyperlink ref="N168" location="CIP_Codes" display="CIP Codes" xr:uid="{336ECEA2-1C04-46AB-B7ED-571FFAA074E5}"/>
    <hyperlink ref="N167" location="CIP_Codes" display="CIP Codes" xr:uid="{06B920C0-7039-4FE1-911B-EBC600A324D4}"/>
    <hyperlink ref="N174" location="CIP_Codes" display="CIP Codes" xr:uid="{DF21008B-6913-4404-A496-7739BEFCF7DB}"/>
    <hyperlink ref="N175" location="CIP_Codes" display="CIP Codes" xr:uid="{5E45838C-A653-4328-B6BE-5B494DC30E40}"/>
    <hyperlink ref="N180" location="CIP_Codes" display="CIP Codes" xr:uid="{65B5D247-8AD1-48E3-8C9A-249FA568BC14}"/>
    <hyperlink ref="N181" location="CIP_Codes" display="CIP Codes" xr:uid="{2A2AB578-A0C2-488B-80EB-58FC49F422FF}"/>
    <hyperlink ref="N186" location="CIP_Codes" display="CIP Codes" xr:uid="{7521C54C-3D34-4098-87E0-496C30667DED}"/>
    <hyperlink ref="N187" location="CIP_Codes" display="CIP Codes" xr:uid="{3FF5AE6F-A0B9-48C1-8899-5F013CAE7500}"/>
    <hyperlink ref="N192" location="CIP_Codes" display="CIP Codes" xr:uid="{44F7EFB7-A369-4FCC-B532-1AD921AA1C8E}"/>
    <hyperlink ref="N193" location="CIP_Codes" display="CIP Codes" xr:uid="{4101B2AE-8911-4E3E-ADED-34A499B60820}"/>
    <hyperlink ref="N273" location="Contract_Number" display="Contract Number" xr:uid="{7264EF55-91BD-4954-8B99-72B2E06B7381}"/>
  </hyperlinks>
  <pageMargins left="0.5" right="0.5" top="0.60000000000000009" bottom="0.75000000000000011" header="0.60000000000000009" footer="0.5"/>
  <pageSetup orientation="landscape" r:id="rId1"/>
  <headerFooter alignWithMargins="0">
    <oddFooter>&amp;L&amp;"Arial"&amp;8&amp;I5/22/2012&amp;I 
&amp;IPage 1 of 1&amp;I &amp;C&amp;R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3"/>
  <sheetViews>
    <sheetView zoomScaleNormal="100" workbookViewId="0"/>
  </sheetViews>
  <sheetFormatPr defaultColWidth="9.21875" defaultRowHeight="14.25" customHeight="1" x14ac:dyDescent="0.25"/>
  <cols>
    <col min="1" max="1" width="13.21875" style="204" customWidth="1"/>
    <col min="2" max="2" width="6" style="204" customWidth="1"/>
    <col min="3" max="3" width="36.77734375" style="204" bestFit="1" customWidth="1"/>
    <col min="4" max="4" width="9.21875" style="204"/>
    <col min="5" max="6" width="9.77734375" style="204" customWidth="1"/>
    <col min="7" max="7" width="9.21875" style="204" customWidth="1"/>
    <col min="8" max="8" width="10" style="204" customWidth="1"/>
    <col min="9" max="9" width="23" style="204" bestFit="1" customWidth="1"/>
    <col min="10" max="10" width="10" style="204" customWidth="1"/>
    <col min="11" max="16384" width="9.21875" style="204"/>
  </cols>
  <sheetData>
    <row r="1" spans="1:11" ht="15.6" customHeight="1" thickBot="1" x14ac:dyDescent="0.3">
      <c r="A1" s="203" t="s">
        <v>1200</v>
      </c>
      <c r="D1" s="205"/>
      <c r="E1" s="205"/>
      <c r="F1" s="205"/>
      <c r="G1" s="206"/>
      <c r="H1" s="207"/>
      <c r="I1" s="207"/>
      <c r="J1" s="207"/>
      <c r="K1" s="207"/>
    </row>
    <row r="2" spans="1:11" ht="14.25" customHeight="1" thickBot="1" x14ac:dyDescent="0.3">
      <c r="A2" s="203"/>
      <c r="D2" s="205"/>
      <c r="E2" s="205"/>
      <c r="F2" s="205"/>
      <c r="H2" s="208" t="s">
        <v>1201</v>
      </c>
      <c r="I2" s="209"/>
      <c r="K2" s="207"/>
    </row>
    <row r="3" spans="1:11" ht="14.25" customHeight="1" x14ac:dyDescent="0.25">
      <c r="A3" s="207" t="s">
        <v>25</v>
      </c>
      <c r="B3" s="207"/>
      <c r="C3" s="207" t="s">
        <v>61</v>
      </c>
      <c r="D3" s="425" t="s">
        <v>13399</v>
      </c>
      <c r="E3" s="426"/>
      <c r="F3" s="207"/>
      <c r="H3" s="210"/>
      <c r="I3" s="211"/>
      <c r="K3" s="207"/>
    </row>
    <row r="4" spans="1:11" ht="14.25" customHeight="1" x14ac:dyDescent="0.25">
      <c r="A4" s="218"/>
      <c r="B4" s="75"/>
      <c r="C4" s="35" t="s">
        <v>1163</v>
      </c>
      <c r="D4" s="424" t="s">
        <v>13385</v>
      </c>
      <c r="E4" s="421"/>
      <c r="F4" s="215" t="s">
        <v>13388</v>
      </c>
      <c r="H4" s="216" t="s">
        <v>1204</v>
      </c>
      <c r="I4" s="217" t="s">
        <v>1205</v>
      </c>
    </row>
    <row r="5" spans="1:11" ht="14.25" customHeight="1" x14ac:dyDescent="0.25">
      <c r="A5" s="218"/>
      <c r="B5" s="75"/>
      <c r="C5" s="35" t="s">
        <v>305</v>
      </c>
      <c r="D5" s="417" t="s">
        <v>1204</v>
      </c>
      <c r="E5" s="418"/>
      <c r="F5" s="419"/>
      <c r="H5" s="219" t="s">
        <v>13386</v>
      </c>
      <c r="I5" s="220" t="s">
        <v>13384</v>
      </c>
    </row>
    <row r="6" spans="1:11" ht="14.25" customHeight="1" x14ac:dyDescent="0.25">
      <c r="A6" s="218"/>
      <c r="B6" s="75"/>
      <c r="C6" s="35" t="s">
        <v>454</v>
      </c>
      <c r="D6" s="417" t="s">
        <v>1204</v>
      </c>
      <c r="E6" s="418"/>
      <c r="F6" s="419"/>
      <c r="H6" s="221" t="s">
        <v>13385</v>
      </c>
      <c r="I6" s="222" t="s">
        <v>1148</v>
      </c>
    </row>
    <row r="7" spans="1:11" ht="14.25" customHeight="1" x14ac:dyDescent="0.25">
      <c r="A7" s="218"/>
      <c r="B7" s="75"/>
      <c r="C7" s="35" t="s">
        <v>638</v>
      </c>
      <c r="D7" s="417" t="s">
        <v>1204</v>
      </c>
      <c r="E7" s="418"/>
      <c r="F7" s="419"/>
      <c r="H7" s="223" t="s">
        <v>13388</v>
      </c>
      <c r="I7" s="224" t="s">
        <v>13387</v>
      </c>
    </row>
    <row r="8" spans="1:11" ht="14.25" customHeight="1" thickBot="1" x14ac:dyDescent="0.3">
      <c r="A8" s="212" t="s">
        <v>1202</v>
      </c>
      <c r="B8" s="213" t="s">
        <v>35</v>
      </c>
      <c r="C8" s="35" t="s">
        <v>433</v>
      </c>
      <c r="D8" s="417" t="s">
        <v>1204</v>
      </c>
      <c r="E8" s="418"/>
      <c r="F8" s="419"/>
      <c r="H8" s="225" t="s">
        <v>13397</v>
      </c>
      <c r="I8" s="226" t="s">
        <v>13398</v>
      </c>
    </row>
    <row r="9" spans="1:11" ht="14.25" customHeight="1" x14ac:dyDescent="0.25">
      <c r="A9" s="218"/>
      <c r="B9" s="75"/>
      <c r="C9" s="35" t="s">
        <v>110</v>
      </c>
      <c r="D9" s="417" t="s">
        <v>1204</v>
      </c>
      <c r="E9" s="418"/>
      <c r="F9" s="419"/>
    </row>
    <row r="10" spans="1:11" ht="14.25" customHeight="1" x14ac:dyDescent="0.25">
      <c r="A10" s="334" t="s">
        <v>13440</v>
      </c>
      <c r="B10" s="335" t="s">
        <v>35</v>
      </c>
      <c r="C10" s="340" t="s">
        <v>1004</v>
      </c>
      <c r="D10" s="417" t="s">
        <v>1204</v>
      </c>
      <c r="E10" s="418"/>
      <c r="F10" s="419"/>
    </row>
    <row r="11" spans="1:11" ht="14.25" customHeight="1" x14ac:dyDescent="0.25">
      <c r="A11" s="218"/>
      <c r="B11" s="75"/>
      <c r="C11" s="35" t="s">
        <v>797</v>
      </c>
      <c r="D11" s="417" t="s">
        <v>1204</v>
      </c>
      <c r="E11" s="418"/>
      <c r="F11" s="419"/>
    </row>
    <row r="12" spans="1:11" ht="14.25" customHeight="1" x14ac:dyDescent="0.25">
      <c r="A12" s="212" t="s">
        <v>1202</v>
      </c>
      <c r="B12" s="213" t="s">
        <v>35</v>
      </c>
      <c r="C12" s="35" t="s">
        <v>330</v>
      </c>
      <c r="D12" s="420" t="s">
        <v>1204</v>
      </c>
      <c r="E12" s="421"/>
      <c r="F12" s="215" t="s">
        <v>13388</v>
      </c>
    </row>
    <row r="13" spans="1:11" ht="14.25" customHeight="1" x14ac:dyDescent="0.25">
      <c r="A13" s="218"/>
      <c r="B13" s="75"/>
      <c r="C13" s="35" t="s">
        <v>85</v>
      </c>
      <c r="D13" s="417" t="s">
        <v>1204</v>
      </c>
      <c r="E13" s="418"/>
      <c r="F13" s="419"/>
    </row>
    <row r="14" spans="1:11" ht="14.25" customHeight="1" x14ac:dyDescent="0.25">
      <c r="A14" s="218"/>
      <c r="B14" s="75"/>
      <c r="C14" s="35" t="s">
        <v>401</v>
      </c>
      <c r="D14" s="417" t="s">
        <v>1204</v>
      </c>
      <c r="E14" s="418"/>
      <c r="F14" s="419"/>
    </row>
    <row r="15" spans="1:11" ht="14.25" customHeight="1" x14ac:dyDescent="0.25">
      <c r="A15" s="218"/>
      <c r="B15" s="75"/>
      <c r="C15" s="35" t="s">
        <v>91</v>
      </c>
      <c r="D15" s="417" t="s">
        <v>1204</v>
      </c>
      <c r="E15" s="418"/>
      <c r="F15" s="419"/>
    </row>
    <row r="16" spans="1:11" ht="14.25" customHeight="1" x14ac:dyDescent="0.25">
      <c r="A16" s="218"/>
      <c r="B16" s="75"/>
      <c r="C16" s="35" t="s">
        <v>1046</v>
      </c>
      <c r="D16" s="417" t="s">
        <v>1204</v>
      </c>
      <c r="E16" s="418"/>
      <c r="F16" s="419"/>
    </row>
    <row r="17" spans="1:6" ht="14.25" customHeight="1" x14ac:dyDescent="0.25">
      <c r="A17" s="334" t="s">
        <v>13440</v>
      </c>
      <c r="B17" s="335" t="s">
        <v>35</v>
      </c>
      <c r="C17" s="340" t="s">
        <v>1053</v>
      </c>
      <c r="D17" s="336" t="s">
        <v>13386</v>
      </c>
      <c r="E17" s="214" t="s">
        <v>13385</v>
      </c>
      <c r="F17" s="215" t="s">
        <v>13388</v>
      </c>
    </row>
    <row r="18" spans="1:6" ht="14.25" customHeight="1" x14ac:dyDescent="0.25">
      <c r="A18" s="218"/>
      <c r="B18" s="75"/>
      <c r="C18" s="35" t="s">
        <v>504</v>
      </c>
      <c r="D18" s="417" t="s">
        <v>1204</v>
      </c>
      <c r="E18" s="418"/>
      <c r="F18" s="419"/>
    </row>
    <row r="19" spans="1:6" ht="14.25" customHeight="1" x14ac:dyDescent="0.25">
      <c r="A19" s="218"/>
      <c r="B19" s="75"/>
      <c r="C19" s="35" t="s">
        <v>244</v>
      </c>
      <c r="D19" s="417" t="s">
        <v>1204</v>
      </c>
      <c r="E19" s="418"/>
      <c r="F19" s="419"/>
    </row>
    <row r="20" spans="1:6" ht="14.25" customHeight="1" x14ac:dyDescent="0.25">
      <c r="A20" s="218"/>
      <c r="B20" s="75"/>
      <c r="C20" s="35" t="s">
        <v>623</v>
      </c>
      <c r="D20" s="417" t="s">
        <v>1204</v>
      </c>
      <c r="E20" s="418"/>
      <c r="F20" s="419"/>
    </row>
    <row r="21" spans="1:6" ht="14.25" customHeight="1" x14ac:dyDescent="0.25">
      <c r="A21" s="218"/>
      <c r="B21" s="75"/>
      <c r="C21" s="35" t="s">
        <v>789</v>
      </c>
      <c r="D21" s="417" t="s">
        <v>1204</v>
      </c>
      <c r="E21" s="418"/>
      <c r="F21" s="419"/>
    </row>
    <row r="22" spans="1:6" ht="14.25" customHeight="1" x14ac:dyDescent="0.25">
      <c r="C22" s="35" t="s">
        <v>361</v>
      </c>
      <c r="D22" s="417" t="s">
        <v>1204</v>
      </c>
      <c r="E22" s="418"/>
      <c r="F22" s="419"/>
    </row>
    <row r="23" spans="1:6" ht="14.25" customHeight="1" x14ac:dyDescent="0.25">
      <c r="A23" s="212" t="s">
        <v>1202</v>
      </c>
      <c r="B23" s="213" t="s">
        <v>35</v>
      </c>
      <c r="C23" s="35" t="s">
        <v>483</v>
      </c>
      <c r="D23" s="417" t="s">
        <v>1204</v>
      </c>
      <c r="E23" s="418"/>
      <c r="F23" s="419"/>
    </row>
    <row r="24" spans="1:6" ht="14.25" customHeight="1" x14ac:dyDescent="0.25">
      <c r="A24" s="218"/>
      <c r="B24" s="75"/>
      <c r="C24" s="35" t="s">
        <v>378</v>
      </c>
      <c r="D24" s="417" t="s">
        <v>1204</v>
      </c>
      <c r="E24" s="418"/>
      <c r="F24" s="419"/>
    </row>
    <row r="25" spans="1:6" ht="14.25" customHeight="1" x14ac:dyDescent="0.25">
      <c r="A25" s="227"/>
      <c r="B25" s="227"/>
      <c r="C25" s="35" t="s">
        <v>941</v>
      </c>
      <c r="D25" s="417" t="s">
        <v>1204</v>
      </c>
      <c r="E25" s="418"/>
      <c r="F25" s="419"/>
    </row>
    <row r="26" spans="1:6" ht="14.25" customHeight="1" x14ac:dyDescent="0.25">
      <c r="A26" s="227"/>
      <c r="B26" s="227"/>
      <c r="C26" s="35" t="s">
        <v>1165</v>
      </c>
      <c r="D26" s="424" t="s">
        <v>13385</v>
      </c>
      <c r="E26" s="421"/>
      <c r="F26" s="215" t="s">
        <v>13388</v>
      </c>
    </row>
    <row r="27" spans="1:6" ht="14.25" customHeight="1" x14ac:dyDescent="0.25">
      <c r="A27" s="227"/>
      <c r="B27" s="227"/>
      <c r="C27" s="35" t="s">
        <v>1160</v>
      </c>
      <c r="D27" s="424" t="s">
        <v>13385</v>
      </c>
      <c r="E27" s="421"/>
      <c r="F27" s="215" t="s">
        <v>13388</v>
      </c>
    </row>
    <row r="28" spans="1:6" ht="14.25" customHeight="1" x14ac:dyDescent="0.25">
      <c r="A28" s="218"/>
      <c r="B28" s="75"/>
      <c r="C28" s="35" t="s">
        <v>821</v>
      </c>
      <c r="D28" s="417" t="s">
        <v>1204</v>
      </c>
      <c r="E28" s="418"/>
      <c r="F28" s="419"/>
    </row>
    <row r="29" spans="1:6" ht="14.25" customHeight="1" x14ac:dyDescent="0.25">
      <c r="A29" s="218"/>
      <c r="B29" s="75"/>
      <c r="C29" s="35" t="s">
        <v>181</v>
      </c>
      <c r="D29" s="417" t="s">
        <v>1204</v>
      </c>
      <c r="E29" s="418"/>
      <c r="F29" s="419"/>
    </row>
    <row r="30" spans="1:6" ht="14.25" customHeight="1" x14ac:dyDescent="0.25">
      <c r="A30" s="218"/>
      <c r="B30" s="75"/>
      <c r="C30" s="35" t="s">
        <v>588</v>
      </c>
      <c r="D30" s="417" t="s">
        <v>1204</v>
      </c>
      <c r="E30" s="418"/>
      <c r="F30" s="419"/>
    </row>
    <row r="31" spans="1:6" ht="14.25" customHeight="1" x14ac:dyDescent="0.25">
      <c r="A31" s="218"/>
      <c r="B31" s="75"/>
      <c r="C31" s="35" t="s">
        <v>227</v>
      </c>
      <c r="D31" s="417" t="s">
        <v>1204</v>
      </c>
      <c r="E31" s="418"/>
      <c r="F31" s="419"/>
    </row>
    <row r="32" spans="1:6" ht="14.25" customHeight="1" x14ac:dyDescent="0.25">
      <c r="A32" s="218"/>
      <c r="B32" s="75"/>
      <c r="C32" s="35" t="s">
        <v>630</v>
      </c>
      <c r="D32" s="417" t="s">
        <v>1204</v>
      </c>
      <c r="E32" s="418"/>
      <c r="F32" s="419"/>
    </row>
    <row r="33" spans="1:6" ht="14.25" customHeight="1" x14ac:dyDescent="0.25">
      <c r="A33" s="218"/>
      <c r="B33" s="75"/>
      <c r="C33" s="35" t="s">
        <v>294</v>
      </c>
      <c r="D33" s="417" t="s">
        <v>1204</v>
      </c>
      <c r="E33" s="418"/>
      <c r="F33" s="419"/>
    </row>
    <row r="34" spans="1:6" ht="14.25" customHeight="1" x14ac:dyDescent="0.25">
      <c r="A34" s="218"/>
      <c r="B34" s="75"/>
      <c r="C34" s="35" t="s">
        <v>212</v>
      </c>
      <c r="D34" s="417" t="s">
        <v>1204</v>
      </c>
      <c r="E34" s="418"/>
      <c r="F34" s="419"/>
    </row>
    <row r="35" spans="1:6" ht="14.25" customHeight="1" x14ac:dyDescent="0.25">
      <c r="A35" s="218"/>
      <c r="B35" s="75"/>
      <c r="C35" s="35" t="s">
        <v>1065</v>
      </c>
      <c r="D35" s="417" t="s">
        <v>1204</v>
      </c>
      <c r="E35" s="418"/>
      <c r="F35" s="419"/>
    </row>
    <row r="36" spans="1:6" ht="14.25" customHeight="1" x14ac:dyDescent="0.25">
      <c r="A36" s="218"/>
      <c r="B36" s="75"/>
      <c r="C36" s="35" t="s">
        <v>97</v>
      </c>
      <c r="D36" s="417" t="s">
        <v>1204</v>
      </c>
      <c r="E36" s="418"/>
      <c r="F36" s="419"/>
    </row>
    <row r="37" spans="1:6" ht="14.25" customHeight="1" x14ac:dyDescent="0.25">
      <c r="A37" s="218"/>
      <c r="B37" s="75"/>
      <c r="C37" s="35" t="s">
        <v>459</v>
      </c>
      <c r="D37" s="417" t="s">
        <v>1204</v>
      </c>
      <c r="E37" s="418"/>
      <c r="F37" s="419"/>
    </row>
    <row r="38" spans="1:6" ht="14.25" customHeight="1" x14ac:dyDescent="0.25">
      <c r="A38" s="218"/>
      <c r="B38" s="75"/>
      <c r="C38" s="35" t="s">
        <v>325</v>
      </c>
      <c r="D38" s="417" t="s">
        <v>1204</v>
      </c>
      <c r="E38" s="418"/>
      <c r="F38" s="419"/>
    </row>
    <row r="39" spans="1:6" ht="14.25" customHeight="1" x14ac:dyDescent="0.25">
      <c r="A39" s="218"/>
      <c r="B39" s="75"/>
      <c r="C39" s="35" t="s">
        <v>262</v>
      </c>
      <c r="D39" s="417" t="s">
        <v>1204</v>
      </c>
      <c r="E39" s="418"/>
      <c r="F39" s="419"/>
    </row>
    <row r="40" spans="1:6" ht="14.25" customHeight="1" x14ac:dyDescent="0.25">
      <c r="A40" s="218"/>
      <c r="B40" s="75"/>
      <c r="C40" s="35" t="s">
        <v>1078</v>
      </c>
      <c r="D40" s="417" t="s">
        <v>1204</v>
      </c>
      <c r="E40" s="418"/>
      <c r="F40" s="419"/>
    </row>
    <row r="41" spans="1:6" ht="14.25" customHeight="1" x14ac:dyDescent="0.25">
      <c r="A41" s="218"/>
      <c r="B41" s="75"/>
      <c r="C41" s="35" t="s">
        <v>1167</v>
      </c>
      <c r="D41" s="424" t="s">
        <v>13385</v>
      </c>
      <c r="E41" s="421"/>
      <c r="F41" s="215" t="s">
        <v>13388</v>
      </c>
    </row>
    <row r="42" spans="1:6" ht="14.25" customHeight="1" x14ac:dyDescent="0.25">
      <c r="A42" s="218"/>
      <c r="B42" s="75"/>
      <c r="C42" s="35" t="s">
        <v>612</v>
      </c>
      <c r="D42" s="417" t="s">
        <v>1204</v>
      </c>
      <c r="E42" s="418"/>
      <c r="F42" s="419"/>
    </row>
    <row r="43" spans="1:6" ht="14.25" customHeight="1" x14ac:dyDescent="0.25">
      <c r="A43" s="218"/>
      <c r="B43" s="75"/>
      <c r="C43" s="35" t="s">
        <v>734</v>
      </c>
      <c r="D43" s="417" t="s">
        <v>1204</v>
      </c>
      <c r="E43" s="418"/>
      <c r="F43" s="419"/>
    </row>
    <row r="44" spans="1:6" ht="14.25" customHeight="1" x14ac:dyDescent="0.25">
      <c r="A44" s="218"/>
      <c r="B44" s="75"/>
      <c r="C44" s="35" t="s">
        <v>224</v>
      </c>
      <c r="D44" s="417" t="s">
        <v>1204</v>
      </c>
      <c r="E44" s="418"/>
      <c r="F44" s="419"/>
    </row>
    <row r="45" spans="1:6" ht="14.25" customHeight="1" x14ac:dyDescent="0.25">
      <c r="A45" s="218"/>
      <c r="B45" s="75"/>
      <c r="C45" s="35" t="s">
        <v>1124</v>
      </c>
      <c r="D45" s="428" t="s">
        <v>13386</v>
      </c>
      <c r="E45" s="429"/>
      <c r="F45" s="419"/>
    </row>
    <row r="46" spans="1:6" ht="14.25" customHeight="1" x14ac:dyDescent="0.25">
      <c r="A46" s="218"/>
      <c r="B46" s="75"/>
      <c r="C46" s="35" t="s">
        <v>1096</v>
      </c>
      <c r="D46" s="428" t="s">
        <v>13386</v>
      </c>
      <c r="E46" s="429"/>
      <c r="F46" s="419"/>
    </row>
    <row r="47" spans="1:6" ht="14.25" customHeight="1" x14ac:dyDescent="0.25">
      <c r="A47" s="218"/>
      <c r="B47" s="75"/>
      <c r="C47" s="35" t="s">
        <v>545</v>
      </c>
      <c r="D47" s="417" t="s">
        <v>1204</v>
      </c>
      <c r="E47" s="418"/>
      <c r="F47" s="419"/>
    </row>
    <row r="48" spans="1:6" ht="14.25" customHeight="1" x14ac:dyDescent="0.25">
      <c r="A48" s="212" t="s">
        <v>1202</v>
      </c>
      <c r="B48" s="213" t="s">
        <v>35</v>
      </c>
      <c r="C48" s="24" t="s">
        <v>539</v>
      </c>
      <c r="D48" s="417" t="s">
        <v>1204</v>
      </c>
      <c r="E48" s="418"/>
      <c r="F48" s="419"/>
    </row>
    <row r="49" spans="1:6" s="330" customFormat="1" ht="14.25" customHeight="1" x14ac:dyDescent="0.25">
      <c r="A49" s="332" t="s">
        <v>13439</v>
      </c>
      <c r="B49" s="333" t="s">
        <v>35</v>
      </c>
      <c r="C49" s="331" t="s">
        <v>1206</v>
      </c>
      <c r="D49" s="427" t="s">
        <v>13397</v>
      </c>
      <c r="E49" s="427"/>
      <c r="F49" s="419"/>
    </row>
    <row r="50" spans="1:6" ht="14.25" customHeight="1" x14ac:dyDescent="0.25">
      <c r="A50" s="218"/>
      <c r="B50" s="75"/>
      <c r="C50" s="24" t="s">
        <v>1150</v>
      </c>
      <c r="D50" s="424" t="s">
        <v>13385</v>
      </c>
      <c r="E50" s="421"/>
      <c r="F50" s="215" t="s">
        <v>13388</v>
      </c>
    </row>
    <row r="51" spans="1:6" ht="14.25" customHeight="1" x14ac:dyDescent="0.25">
      <c r="A51" s="212" t="s">
        <v>1202</v>
      </c>
      <c r="B51" s="213" t="s">
        <v>35</v>
      </c>
      <c r="C51" s="24" t="s">
        <v>80</v>
      </c>
      <c r="D51" s="422" t="s">
        <v>13397</v>
      </c>
      <c r="E51" s="423"/>
      <c r="F51" s="419"/>
    </row>
    <row r="52" spans="1:6" ht="14.25" customHeight="1" x14ac:dyDescent="0.25">
      <c r="A52" s="218"/>
      <c r="B52" s="75"/>
      <c r="C52" s="35" t="s">
        <v>527</v>
      </c>
      <c r="D52" s="417" t="s">
        <v>1204</v>
      </c>
      <c r="E52" s="418"/>
      <c r="F52" s="419"/>
    </row>
    <row r="53" spans="1:6" ht="14.25" customHeight="1" x14ac:dyDescent="0.25">
      <c r="A53" s="212" t="s">
        <v>1202</v>
      </c>
      <c r="B53" s="213" t="s">
        <v>35</v>
      </c>
      <c r="C53" s="35" t="s">
        <v>1207</v>
      </c>
      <c r="D53" s="417" t="s">
        <v>1204</v>
      </c>
      <c r="E53" s="418"/>
      <c r="F53" s="419"/>
    </row>
    <row r="54" spans="1:6" ht="14.25" customHeight="1" x14ac:dyDescent="0.25">
      <c r="A54" s="212" t="s">
        <v>1202</v>
      </c>
      <c r="B54" s="213" t="s">
        <v>35</v>
      </c>
      <c r="C54" s="35" t="s">
        <v>488</v>
      </c>
      <c r="D54" s="417" t="s">
        <v>1204</v>
      </c>
      <c r="E54" s="418"/>
      <c r="F54" s="419"/>
    </row>
    <row r="55" spans="1:6" ht="14.25" customHeight="1" x14ac:dyDescent="0.25">
      <c r="A55" s="218"/>
      <c r="B55" s="75"/>
      <c r="C55" s="35" t="s">
        <v>1010</v>
      </c>
      <c r="D55" s="417" t="s">
        <v>1204</v>
      </c>
      <c r="E55" s="418"/>
      <c r="F55" s="419"/>
    </row>
    <row r="56" spans="1:6" ht="14.25" customHeight="1" x14ac:dyDescent="0.25">
      <c r="A56" s="218"/>
      <c r="B56" s="75"/>
      <c r="C56" s="35" t="s">
        <v>1001</v>
      </c>
      <c r="D56" s="417" t="s">
        <v>1204</v>
      </c>
      <c r="E56" s="418"/>
      <c r="F56" s="419"/>
    </row>
    <row r="57" spans="1:6" ht="14.25" customHeight="1" x14ac:dyDescent="0.25">
      <c r="A57" s="212" t="s">
        <v>1202</v>
      </c>
      <c r="B57" s="213" t="s">
        <v>35</v>
      </c>
      <c r="C57" s="35" t="s">
        <v>530</v>
      </c>
      <c r="D57" s="417" t="s">
        <v>1204</v>
      </c>
      <c r="E57" s="418"/>
      <c r="F57" s="419"/>
    </row>
    <row r="58" spans="1:6" ht="14.25" customHeight="1" x14ac:dyDescent="0.25">
      <c r="A58" s="218"/>
      <c r="B58" s="75"/>
      <c r="C58" s="35" t="s">
        <v>619</v>
      </c>
      <c r="D58" s="420" t="s">
        <v>1204</v>
      </c>
      <c r="E58" s="421"/>
      <c r="F58" s="215" t="s">
        <v>13388</v>
      </c>
    </row>
    <row r="59" spans="1:6" ht="14.25" customHeight="1" x14ac:dyDescent="0.25">
      <c r="A59" s="218"/>
      <c r="B59" s="75"/>
      <c r="C59" s="35" t="s">
        <v>1011</v>
      </c>
      <c r="D59" s="417" t="s">
        <v>1204</v>
      </c>
      <c r="E59" s="418"/>
      <c r="F59" s="419"/>
    </row>
    <row r="60" spans="1:6" ht="14.25" customHeight="1" x14ac:dyDescent="0.25">
      <c r="A60" s="212" t="s">
        <v>1202</v>
      </c>
      <c r="B60" s="213" t="s">
        <v>35</v>
      </c>
      <c r="C60" s="35" t="s">
        <v>534</v>
      </c>
      <c r="D60" s="417" t="s">
        <v>1204</v>
      </c>
      <c r="E60" s="418"/>
      <c r="F60" s="419"/>
    </row>
    <row r="61" spans="1:6" ht="14.25" customHeight="1" x14ac:dyDescent="0.25">
      <c r="A61" s="218"/>
      <c r="B61" s="75"/>
      <c r="C61" s="35" t="s">
        <v>1069</v>
      </c>
      <c r="D61" s="417" t="s">
        <v>1204</v>
      </c>
      <c r="E61" s="418"/>
      <c r="F61" s="419"/>
    </row>
    <row r="62" spans="1:6" ht="14.25" customHeight="1" x14ac:dyDescent="0.25">
      <c r="A62" s="218"/>
      <c r="B62" s="75"/>
      <c r="C62" s="35" t="s">
        <v>188</v>
      </c>
      <c r="D62" s="420" t="s">
        <v>1204</v>
      </c>
      <c r="E62" s="421"/>
      <c r="F62" s="336" t="s">
        <v>13386</v>
      </c>
    </row>
    <row r="63" spans="1:6" ht="14.25" customHeight="1" x14ac:dyDescent="0.25">
      <c r="C63" s="35" t="s">
        <v>279</v>
      </c>
      <c r="D63" s="417" t="s">
        <v>1204</v>
      </c>
      <c r="E63" s="418"/>
      <c r="F63" s="419"/>
    </row>
  </sheetData>
  <mergeCells count="60">
    <mergeCell ref="D49:F49"/>
    <mergeCell ref="D38:F38"/>
    <mergeCell ref="D39:F39"/>
    <mergeCell ref="D40:F40"/>
    <mergeCell ref="D42:F42"/>
    <mergeCell ref="D43:F43"/>
    <mergeCell ref="D44:F44"/>
    <mergeCell ref="D47:F47"/>
    <mergeCell ref="D48:F48"/>
    <mergeCell ref="D41:E41"/>
    <mergeCell ref="D45:F45"/>
    <mergeCell ref="D46:F46"/>
    <mergeCell ref="D10:F10"/>
    <mergeCell ref="D28:F28"/>
    <mergeCell ref="D29:F29"/>
    <mergeCell ref="D30:F30"/>
    <mergeCell ref="D31:F31"/>
    <mergeCell ref="D27:E27"/>
    <mergeCell ref="D12:E12"/>
    <mergeCell ref="D25:F25"/>
    <mergeCell ref="D26:E26"/>
    <mergeCell ref="D9:F9"/>
    <mergeCell ref="D3:E3"/>
    <mergeCell ref="D4:E4"/>
    <mergeCell ref="D5:F5"/>
    <mergeCell ref="D6:F6"/>
    <mergeCell ref="D7:F7"/>
    <mergeCell ref="D8:F8"/>
    <mergeCell ref="D57:F57"/>
    <mergeCell ref="D58:E58"/>
    <mergeCell ref="D51:F51"/>
    <mergeCell ref="D50:E50"/>
    <mergeCell ref="D11:F11"/>
    <mergeCell ref="D13:F13"/>
    <mergeCell ref="D14:F14"/>
    <mergeCell ref="D15:F15"/>
    <mergeCell ref="D16:F16"/>
    <mergeCell ref="D18:F18"/>
    <mergeCell ref="D19:F19"/>
    <mergeCell ref="D20:F20"/>
    <mergeCell ref="D21:F21"/>
    <mergeCell ref="D22:F22"/>
    <mergeCell ref="D23:F23"/>
    <mergeCell ref="D24:F24"/>
    <mergeCell ref="D52:F52"/>
    <mergeCell ref="D53:F53"/>
    <mergeCell ref="D54:F54"/>
    <mergeCell ref="D55:F55"/>
    <mergeCell ref="D56:F56"/>
    <mergeCell ref="D63:F63"/>
    <mergeCell ref="D59:F59"/>
    <mergeCell ref="D60:F60"/>
    <mergeCell ref="D61:F61"/>
    <mergeCell ref="D62:E62"/>
    <mergeCell ref="D37:F37"/>
    <mergeCell ref="D32:F32"/>
    <mergeCell ref="D33:F33"/>
    <mergeCell ref="D34:F34"/>
    <mergeCell ref="D35:F35"/>
    <mergeCell ref="D36:F36"/>
  </mergeCells>
  <hyperlinks>
    <hyperlink ref="C9" location="Content_Grade_Level" display="Content Grade Level" xr:uid="{00000000-0004-0000-0300-000000000000}"/>
    <hyperlink ref="C5" location="Border_Student" display="Border Student" xr:uid="{00000000-0004-0000-0300-000001000000}"/>
    <hyperlink ref="C6" location="Calendar_Type" display="Calendar Type" xr:uid="{00000000-0004-0000-0300-000002000000}"/>
    <hyperlink ref="C7" location="CIP_Codes" display="CIP Codes" xr:uid="{00000000-0004-0000-0300-000003000000}"/>
    <hyperlink ref="C11" location="Contract_Type" display="Contract Type" xr:uid="{00000000-0004-0000-0300-000004000000}"/>
    <hyperlink ref="C12" location="Country" display="Country" xr:uid="{00000000-0004-0000-0300-000005000000}"/>
    <hyperlink ref="C13" location="AssignmentCourse_Codes" display="Course Code" xr:uid="{00000000-0004-0000-0300-000006000000}"/>
    <hyperlink ref="C14" location="Course_Exit_Reason" display="Course Exit Reason" xr:uid="{00000000-0004-0000-0300-000007000000}"/>
    <hyperlink ref="C15" location="Course_Type" display="Course Type" xr:uid="{00000000-0004-0000-0300-000008000000}"/>
    <hyperlink ref="C16" location="Disciplinary_Action_Type" display="Disciplinary Action Type" xr:uid="{00000000-0004-0000-0300-000009000000}"/>
    <hyperlink ref="C20" location="Education_Degree" display="Education Degree" xr:uid="{00000000-0004-0000-0300-00000A000000}"/>
    <hyperlink ref="C21" location="Employment_Status" display="Employment Status" xr:uid="{00000000-0004-0000-0300-00000B000000}"/>
    <hyperlink ref="C22" location="Entry_Reasons" display="Entry Reasons" xr:uid="{00000000-0004-0000-0300-00000C000000}"/>
    <hyperlink ref="C23" location="Exceptionality" display="Exceptionality" xr:uid="{00000000-0004-0000-0300-00000D000000}"/>
    <hyperlink ref="C24" location="Exit_Reasons" display="Exit Reasons" xr:uid="{00000000-0004-0000-0300-00000E000000}"/>
    <hyperlink ref="C25" location="Extra_Pay_Type" display="Extra Pay Type" xr:uid="{00000000-0004-0000-0300-00000F000000}"/>
    <hyperlink ref="C31" location="Grade_Level" display="Grade Level" xr:uid="{00000000-0004-0000-0300-000011000000}"/>
    <hyperlink ref="C32" location="Higher_Ed_Institutions" display="Higher Ed Institutions" xr:uid="{00000000-0004-0000-0300-000012000000}"/>
    <hyperlink ref="C33" location="Homeless_Residence" display="Homeless Residence" xr:uid="{00000000-0004-0000-0300-000013000000}"/>
    <hyperlink ref="C35" location="IDEA_Interim_Removal_Reason" display="IDEA Interim Removal Reason" xr:uid="{00000000-0004-0000-0300-000014000000}"/>
    <hyperlink ref="C37" location="Kindergarten_Session_Type" display="Kindergarten Session Type" xr:uid="{00000000-0004-0000-0300-000015000000}"/>
    <hyperlink ref="C38" location="Languages" display="Languages" xr:uid="{00000000-0004-0000-0300-000016000000}"/>
    <hyperlink ref="C19" location="Lunch_Status" display="Lunch Status" xr:uid="{00000000-0004-0000-0300-000018000000}"/>
    <hyperlink ref="C40" location="Modified_Duration_Reason" display="Modified Duration Reason" xr:uid="{00000000-0004-0000-0300-000019000000}"/>
    <hyperlink ref="C43" location="Parapro_High_School_Degree" display="Parapro High School Degree" xr:uid="{00000000-0004-0000-0300-00001A000000}"/>
    <hyperlink ref="C47" location="Program_Exit_Reason" display="Program Exit Reason" xr:uid="{00000000-0004-0000-0300-00001B000000}"/>
    <hyperlink ref="C48" location="Program_Status_SE" display="Program Status" xr:uid="{00000000-0004-0000-0300-00001C000000}"/>
    <hyperlink ref="C52" location="Special_Ed_Determination_late" display="Special Ed Determination Late" xr:uid="{00000000-0004-0000-0300-00001D000000}"/>
    <hyperlink ref="C53" location="Special_Ed_Eligibility" display="Special Ed Eligibility" xr:uid="{00000000-0004-0000-0300-00001E000000}"/>
    <hyperlink ref="C54" location="Special_Ed_Environment" display="Special Ed Environment" xr:uid="{00000000-0004-0000-0300-00001F000000}"/>
    <hyperlink ref="C55" location="AssignmentCourse_Codes" display="Staff Assignment Code" xr:uid="{00000000-0004-0000-0300-000020000000}"/>
    <hyperlink ref="C56" location="Staff_Exit_Reason" display="Staff Exit Reason" xr:uid="{00000000-0004-0000-0300-000021000000}"/>
    <hyperlink ref="C57" location="State_Exception_Rule" display="State Exception Rule" xr:uid="{00000000-0004-0000-0300-000022000000}"/>
    <hyperlink ref="C58" location="State_Province" display="State Province" xr:uid="{00000000-0004-0000-0300-000023000000}"/>
    <hyperlink ref="C60" location="Undetermined_Reason" display="Undetermined Reason" xr:uid="{00000000-0004-0000-0300-000024000000}"/>
    <hyperlink ref="C61" location="Weapon_Type" display="Weapon Type" xr:uid="{00000000-0004-0000-0300-000025000000}"/>
    <hyperlink ref="C62" location="Yes_No" display="Yes/No" xr:uid="{00000000-0004-0000-0300-000026000000}"/>
    <hyperlink ref="C63" location="Yes_No_NA" display="Yes/No/NA" xr:uid="{00000000-0004-0000-0300-000027000000}"/>
    <hyperlink ref="C36" location="Instructional_Setting" display="Instructional Setting" xr:uid="{00000000-0004-0000-0300-000028000000}"/>
    <hyperlink ref="C34" location="Idaho_Counties" display="Idaho Counties" xr:uid="{00000000-0004-0000-0300-000029000000}"/>
    <hyperlink ref="C51" location="Schools" display="Schools" xr:uid="{00000000-0004-0000-0300-00002E000000}"/>
    <hyperlink ref="C29" location="Gender" display="Gender" xr:uid="{00000000-0004-0000-0300-00002F000000}"/>
    <hyperlink ref="C18" location="Early_Childhood_Determination" display="Early Childhood Determination Late" xr:uid="{00000000-0004-0000-0300-000030000000}"/>
    <hyperlink ref="C8" location="College_Credit" display="College Credit" xr:uid="{00000000-0004-0000-0300-000031000000}"/>
    <hyperlink ref="C30" location="Gifted_Exit_Reason" display="Gifted Exit Reason" xr:uid="{00000000-0004-0000-0300-000032000000}"/>
    <hyperlink ref="C39" location="Military_Connection" display="Military Connection" xr:uid="{00000000-0004-0000-0300-000033000000}"/>
    <hyperlink ref="C59" location="Teaching_Role" display="Teaching Role" xr:uid="{00000000-0004-0000-0300-000035000000}"/>
    <hyperlink ref="C44" location="PH_School" display="PH School" xr:uid="{0E3DB06E-A86D-4CF9-9040-98CD77BE4625}"/>
    <hyperlink ref="C28" location="Funding_Source" display="Funding Source" xr:uid="{00000000-0004-0000-0300-000010000000}"/>
    <hyperlink ref="C4" location="Account_Code" display="Account Code" xr:uid="{E233A16C-2A10-4027-A053-6091F5665C70}"/>
    <hyperlink ref="C26" location="Function_Code" display="Function Code" xr:uid="{764FD5BD-8021-46C8-8230-22A68ABA4CD7}"/>
    <hyperlink ref="C27" location="Fund_Number" display="Fund Number" xr:uid="{973D5F26-4C2A-4CAB-8D17-1298412F191B}"/>
    <hyperlink ref="C41" location="Object_Code" display="Object Code" xr:uid="{3ED27AA9-BFC9-42BA-8352-4D55947F5DB2}"/>
    <hyperlink ref="C45" location="Phone_Type" display="Phone Type" xr:uid="{7D956C16-0F81-4117-900C-52D4EDAD0BFE}"/>
    <hyperlink ref="C46" location="Program_Contact_Role" display="Program Contact Role" xr:uid="{61E1C3DB-2586-40A2-ACA3-AA6B314C7FCD}"/>
    <hyperlink ref="C42" location="Parapro_Type" display="Parapro Type" xr:uid="{C177EBCA-75D3-4B8B-B075-EC3831DCE4A0}"/>
    <hyperlink ref="C50" location="Record_Type_ASF" display="Record Type" xr:uid="{05707C59-EC91-4DD2-86B1-B9E36B4750A7}"/>
    <hyperlink ref="C17" location="Districts" display="Districts" xr:uid="{049B3AED-D42C-48C1-890C-AD0CDC27609B}"/>
    <hyperlink ref="C10" location="Contract_Number" display="Contract Number" xr:uid="{6ECFEC57-A149-4D34-BF9E-E1F5BCC33B4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sheetPr>
  <dimension ref="A1:ALO4206"/>
  <sheetViews>
    <sheetView zoomScaleNormal="100" workbookViewId="0">
      <pane ySplit="1" topLeftCell="A2" activePane="bottomLeft" state="frozen"/>
      <selection pane="bottomLeft"/>
    </sheetView>
  </sheetViews>
  <sheetFormatPr defaultColWidth="22" defaultRowHeight="14.55" customHeight="1" outlineLevelRow="1" x14ac:dyDescent="0.25"/>
  <cols>
    <col min="1" max="1" width="30.88671875" style="75" customWidth="1"/>
    <col min="2" max="2" width="13" style="262" customWidth="1"/>
    <col min="3" max="3" width="44.5546875" style="75" customWidth="1"/>
    <col min="4" max="4" width="65" style="259" customWidth="1"/>
    <col min="5" max="5" width="66.5546875" style="230" customWidth="1"/>
    <col min="6" max="16384" width="22" style="75"/>
  </cols>
  <sheetData>
    <row r="1" spans="1:5" ht="15.6" customHeight="1" thickBot="1" x14ac:dyDescent="0.3">
      <c r="A1" s="28" t="s">
        <v>61</v>
      </c>
      <c r="B1" s="28" t="s">
        <v>1208</v>
      </c>
      <c r="C1" s="28" t="s">
        <v>1209</v>
      </c>
      <c r="D1" s="28" t="s">
        <v>1210</v>
      </c>
      <c r="E1" s="28" t="s">
        <v>1211</v>
      </c>
    </row>
    <row r="2" spans="1:5" ht="14.55" customHeight="1" x14ac:dyDescent="0.25">
      <c r="A2" s="75" t="s">
        <v>1163</v>
      </c>
      <c r="B2" s="342" t="s">
        <v>1212</v>
      </c>
      <c r="C2" s="229" t="s">
        <v>1213</v>
      </c>
      <c r="D2" s="229"/>
      <c r="E2" s="229"/>
    </row>
    <row r="3" spans="1:5" ht="14.55" customHeight="1" x14ac:dyDescent="0.25">
      <c r="A3" s="75" t="s">
        <v>1163</v>
      </c>
      <c r="B3" s="342" t="s">
        <v>1214</v>
      </c>
      <c r="C3" s="75" t="s">
        <v>1215</v>
      </c>
      <c r="D3" s="75"/>
      <c r="E3" s="75"/>
    </row>
    <row r="4" spans="1:5" ht="14.55" customHeight="1" x14ac:dyDescent="0.25">
      <c r="A4" s="75" t="s">
        <v>1163</v>
      </c>
      <c r="B4" s="342" t="s">
        <v>1216</v>
      </c>
      <c r="C4" s="75" t="s">
        <v>1217</v>
      </c>
      <c r="D4" s="75"/>
      <c r="E4" s="75"/>
    </row>
    <row r="5" spans="1:5" ht="14.55" customHeight="1" x14ac:dyDescent="0.25">
      <c r="A5" s="75" t="s">
        <v>1163</v>
      </c>
      <c r="B5" s="342" t="s">
        <v>1218</v>
      </c>
      <c r="C5" s="75" t="s">
        <v>1219</v>
      </c>
      <c r="D5" s="75"/>
      <c r="E5" s="75"/>
    </row>
    <row r="6" spans="1:5" ht="14.55" customHeight="1" x14ac:dyDescent="0.25">
      <c r="A6" s="75" t="s">
        <v>1163</v>
      </c>
      <c r="B6" s="342" t="s">
        <v>1220</v>
      </c>
      <c r="C6" s="75" t="s">
        <v>1221</v>
      </c>
      <c r="D6" s="75"/>
      <c r="E6" s="75"/>
    </row>
    <row r="7" spans="1:5" ht="14.55" customHeight="1" x14ac:dyDescent="0.25">
      <c r="A7" s="75" t="s">
        <v>1163</v>
      </c>
      <c r="B7" s="342" t="s">
        <v>1222</v>
      </c>
      <c r="C7" s="75" t="s">
        <v>1223</v>
      </c>
      <c r="D7" s="75"/>
      <c r="E7" s="75"/>
    </row>
    <row r="8" spans="1:5" ht="14.55" customHeight="1" x14ac:dyDescent="0.25">
      <c r="A8" s="75" t="s">
        <v>1163</v>
      </c>
      <c r="B8" s="342" t="s">
        <v>1224</v>
      </c>
      <c r="C8" s="75" t="s">
        <v>1225</v>
      </c>
      <c r="D8" s="75"/>
      <c r="E8" s="75"/>
    </row>
    <row r="9" spans="1:5" ht="14.55" customHeight="1" x14ac:dyDescent="0.25">
      <c r="A9" s="75" t="s">
        <v>1163</v>
      </c>
      <c r="B9" s="342" t="s">
        <v>1226</v>
      </c>
      <c r="C9" s="75" t="s">
        <v>1227</v>
      </c>
      <c r="D9" s="75"/>
      <c r="E9" s="75"/>
    </row>
    <row r="10" spans="1:5" ht="14.55" customHeight="1" x14ac:dyDescent="0.25">
      <c r="A10" s="75" t="s">
        <v>1163</v>
      </c>
      <c r="B10" s="342" t="s">
        <v>1228</v>
      </c>
      <c r="C10" s="75" t="s">
        <v>1229</v>
      </c>
      <c r="D10" s="75"/>
      <c r="E10" s="75"/>
    </row>
    <row r="11" spans="1:5" s="206" customFormat="1" ht="14.55" customHeight="1" x14ac:dyDescent="0.25">
      <c r="A11" s="75" t="s">
        <v>1163</v>
      </c>
      <c r="B11" s="342" t="s">
        <v>1230</v>
      </c>
      <c r="C11" s="75" t="s">
        <v>1231</v>
      </c>
      <c r="D11" s="75"/>
      <c r="E11" s="75"/>
    </row>
    <row r="12" spans="1:5" ht="14.55" customHeight="1" x14ac:dyDescent="0.25">
      <c r="A12" s="75" t="s">
        <v>1163</v>
      </c>
      <c r="B12" s="342" t="s">
        <v>1232</v>
      </c>
      <c r="C12" s="75" t="s">
        <v>1233</v>
      </c>
      <c r="D12" s="75"/>
      <c r="E12" s="75"/>
    </row>
    <row r="13" spans="1:5" ht="14.55" customHeight="1" x14ac:dyDescent="0.25">
      <c r="A13" s="75" t="s">
        <v>1163</v>
      </c>
      <c r="B13" s="342" t="s">
        <v>1234</v>
      </c>
      <c r="C13" s="75" t="s">
        <v>1235</v>
      </c>
      <c r="D13" s="75"/>
      <c r="E13" s="75"/>
    </row>
    <row r="14" spans="1:5" ht="14.55" customHeight="1" x14ac:dyDescent="0.25">
      <c r="A14" s="75" t="s">
        <v>1163</v>
      </c>
      <c r="B14" s="342" t="s">
        <v>1236</v>
      </c>
      <c r="C14" s="75" t="s">
        <v>1237</v>
      </c>
      <c r="D14" s="75"/>
      <c r="E14" s="75"/>
    </row>
    <row r="15" spans="1:5" ht="14.55" customHeight="1" x14ac:dyDescent="0.25">
      <c r="A15" s="75" t="s">
        <v>1163</v>
      </c>
      <c r="B15" s="342" t="s">
        <v>1238</v>
      </c>
      <c r="C15" s="75" t="s">
        <v>1239</v>
      </c>
      <c r="D15" s="75"/>
      <c r="E15" s="75"/>
    </row>
    <row r="16" spans="1:5" ht="14.55" customHeight="1" x14ac:dyDescent="0.25">
      <c r="A16" s="75" t="s">
        <v>1163</v>
      </c>
      <c r="B16" s="342" t="s">
        <v>1240</v>
      </c>
      <c r="C16" s="75" t="s">
        <v>1241</v>
      </c>
      <c r="D16" s="75"/>
      <c r="E16" s="75"/>
    </row>
    <row r="17" spans="1:5" ht="14.55" customHeight="1" x14ac:dyDescent="0.25">
      <c r="A17" s="75" t="s">
        <v>1163</v>
      </c>
      <c r="B17" s="262" t="s">
        <v>1242</v>
      </c>
      <c r="C17" s="75" t="s">
        <v>1243</v>
      </c>
      <c r="D17" s="75"/>
      <c r="E17" s="75"/>
    </row>
    <row r="18" spans="1:5" ht="14.55" customHeight="1" x14ac:dyDescent="0.25">
      <c r="A18" s="75" t="s">
        <v>1163</v>
      </c>
      <c r="B18" s="262" t="s">
        <v>1244</v>
      </c>
      <c r="C18" s="75" t="s">
        <v>1245</v>
      </c>
      <c r="D18" s="75"/>
      <c r="E18" s="75"/>
    </row>
    <row r="19" spans="1:5" ht="14.55" customHeight="1" x14ac:dyDescent="0.25">
      <c r="A19" s="75" t="s">
        <v>1163</v>
      </c>
      <c r="B19" s="262" t="s">
        <v>1246</v>
      </c>
      <c r="C19" s="75" t="s">
        <v>1247</v>
      </c>
      <c r="D19" s="75"/>
      <c r="E19" s="75"/>
    </row>
    <row r="20" spans="1:5" ht="14.55" customHeight="1" x14ac:dyDescent="0.25">
      <c r="A20" s="75" t="s">
        <v>1163</v>
      </c>
      <c r="B20" s="262" t="s">
        <v>1248</v>
      </c>
      <c r="C20" s="75" t="s">
        <v>1249</v>
      </c>
      <c r="D20" s="75"/>
      <c r="E20" s="75"/>
    </row>
    <row r="21" spans="1:5" ht="14.55" customHeight="1" x14ac:dyDescent="0.25">
      <c r="A21" s="75" t="s">
        <v>1163</v>
      </c>
      <c r="B21" s="262" t="s">
        <v>1250</v>
      </c>
      <c r="C21" s="75" t="s">
        <v>1251</v>
      </c>
      <c r="D21" s="75"/>
      <c r="E21" s="75"/>
    </row>
    <row r="22" spans="1:5" ht="14.55" customHeight="1" x14ac:dyDescent="0.25">
      <c r="A22" s="75" t="s">
        <v>1163</v>
      </c>
      <c r="B22" s="262" t="s">
        <v>1252</v>
      </c>
      <c r="C22" s="75" t="s">
        <v>1253</v>
      </c>
      <c r="D22" s="75"/>
      <c r="E22" s="75"/>
    </row>
    <row r="23" spans="1:5" ht="14.55" customHeight="1" x14ac:dyDescent="0.25">
      <c r="A23" s="75" t="s">
        <v>1163</v>
      </c>
      <c r="B23" s="262" t="s">
        <v>1254</v>
      </c>
      <c r="C23" s="75" t="s">
        <v>1255</v>
      </c>
      <c r="D23" s="75"/>
      <c r="E23" s="75"/>
    </row>
    <row r="24" spans="1:5" ht="14.55" customHeight="1" x14ac:dyDescent="0.25">
      <c r="A24" s="75" t="s">
        <v>1163</v>
      </c>
      <c r="B24" s="262" t="s">
        <v>1256</v>
      </c>
      <c r="C24" s="75" t="s">
        <v>1257</v>
      </c>
      <c r="D24" s="75"/>
      <c r="E24" s="75"/>
    </row>
    <row r="25" spans="1:5" ht="14.55" customHeight="1" x14ac:dyDescent="0.25">
      <c r="A25" s="75" t="s">
        <v>1163</v>
      </c>
      <c r="B25" s="262" t="s">
        <v>1258</v>
      </c>
      <c r="C25" s="75" t="s">
        <v>1259</v>
      </c>
      <c r="D25" s="75"/>
      <c r="E25" s="75"/>
    </row>
    <row r="26" spans="1:5" ht="14.55" customHeight="1" x14ac:dyDescent="0.25">
      <c r="A26" s="75" t="s">
        <v>1163</v>
      </c>
      <c r="B26" s="262" t="s">
        <v>1260</v>
      </c>
      <c r="C26" s="75" t="s">
        <v>1261</v>
      </c>
      <c r="D26" s="75"/>
      <c r="E26" s="75"/>
    </row>
    <row r="27" spans="1:5" ht="14.55" customHeight="1" x14ac:dyDescent="0.25">
      <c r="A27" s="75" t="s">
        <v>1163</v>
      </c>
      <c r="B27" s="262" t="s">
        <v>1262</v>
      </c>
      <c r="C27" s="75" t="s">
        <v>1263</v>
      </c>
      <c r="D27" s="75"/>
      <c r="E27" s="75"/>
    </row>
    <row r="28" spans="1:5" ht="14.55" customHeight="1" x14ac:dyDescent="0.25">
      <c r="A28" s="75" t="s">
        <v>1163</v>
      </c>
      <c r="B28" s="262" t="s">
        <v>1264</v>
      </c>
      <c r="C28" s="75" t="s">
        <v>1265</v>
      </c>
      <c r="D28" s="75"/>
      <c r="E28" s="75"/>
    </row>
    <row r="29" spans="1:5" ht="14.55" customHeight="1" x14ac:dyDescent="0.25">
      <c r="A29" s="75" t="s">
        <v>1163</v>
      </c>
      <c r="B29" s="262" t="s">
        <v>1266</v>
      </c>
      <c r="C29" s="75" t="s">
        <v>1267</v>
      </c>
      <c r="D29" s="75"/>
      <c r="E29" s="75"/>
    </row>
    <row r="30" spans="1:5" ht="14.55" customHeight="1" x14ac:dyDescent="0.25">
      <c r="A30" s="75" t="s">
        <v>1163</v>
      </c>
      <c r="B30" s="262" t="s">
        <v>1268</v>
      </c>
      <c r="C30" s="75" t="s">
        <v>1269</v>
      </c>
      <c r="D30" s="75"/>
      <c r="E30" s="75"/>
    </row>
    <row r="31" spans="1:5" ht="14.55" customHeight="1" x14ac:dyDescent="0.25">
      <c r="A31" s="75" t="s">
        <v>1163</v>
      </c>
      <c r="B31" s="262" t="s">
        <v>1270</v>
      </c>
      <c r="C31" s="75" t="s">
        <v>1271</v>
      </c>
      <c r="D31" s="75"/>
      <c r="E31" s="75"/>
    </row>
    <row r="32" spans="1:5" ht="14.55" customHeight="1" x14ac:dyDescent="0.25">
      <c r="A32" s="75" t="s">
        <v>1163</v>
      </c>
      <c r="B32" s="262" t="s">
        <v>1272</v>
      </c>
      <c r="C32" s="75" t="s">
        <v>1273</v>
      </c>
      <c r="D32" s="75"/>
      <c r="E32" s="75"/>
    </row>
    <row r="33" spans="1:5" ht="14.55" customHeight="1" x14ac:dyDescent="0.25">
      <c r="A33" s="75" t="s">
        <v>1163</v>
      </c>
      <c r="B33" s="262">
        <v>310900</v>
      </c>
      <c r="C33" s="75" t="s">
        <v>1274</v>
      </c>
      <c r="D33" s="75"/>
      <c r="E33" s="75"/>
    </row>
    <row r="34" spans="1:5" ht="14.55" customHeight="1" x14ac:dyDescent="0.25">
      <c r="A34" s="75" t="s">
        <v>1163</v>
      </c>
      <c r="B34" s="262" t="s">
        <v>1275</v>
      </c>
      <c r="C34" s="75" t="s">
        <v>1276</v>
      </c>
      <c r="D34" s="75"/>
      <c r="E34" s="75"/>
    </row>
    <row r="35" spans="1:5" ht="14.55" customHeight="1" x14ac:dyDescent="0.25">
      <c r="A35" s="75" t="s">
        <v>1163</v>
      </c>
      <c r="B35" s="262" t="s">
        <v>1277</v>
      </c>
      <c r="C35" s="75" t="s">
        <v>1278</v>
      </c>
      <c r="D35" s="75"/>
      <c r="E35" s="75"/>
    </row>
    <row r="36" spans="1:5" ht="14.55" customHeight="1" x14ac:dyDescent="0.25">
      <c r="A36" s="75" t="s">
        <v>1163</v>
      </c>
      <c r="B36" s="262" t="s">
        <v>1279</v>
      </c>
      <c r="C36" s="75" t="s">
        <v>1280</v>
      </c>
      <c r="D36" s="75"/>
      <c r="E36" s="75"/>
    </row>
    <row r="37" spans="1:5" ht="14.55" customHeight="1" x14ac:dyDescent="0.25">
      <c r="A37" s="75" t="s">
        <v>1163</v>
      </c>
      <c r="B37" s="262" t="s">
        <v>1281</v>
      </c>
      <c r="C37" s="75" t="s">
        <v>1282</v>
      </c>
      <c r="D37" s="75"/>
      <c r="E37" s="75"/>
    </row>
    <row r="38" spans="1:5" ht="14.55" customHeight="1" x14ac:dyDescent="0.25">
      <c r="A38" s="75" t="s">
        <v>1163</v>
      </c>
      <c r="B38" s="262" t="s">
        <v>1283</v>
      </c>
      <c r="C38" s="75" t="s">
        <v>1284</v>
      </c>
      <c r="D38" s="75"/>
      <c r="E38" s="75"/>
    </row>
    <row r="39" spans="1:5" ht="14.55" customHeight="1" x14ac:dyDescent="0.25">
      <c r="A39" s="75" t="s">
        <v>1163</v>
      </c>
      <c r="B39" s="342" t="s">
        <v>1285</v>
      </c>
      <c r="C39" s="75" t="s">
        <v>1286</v>
      </c>
      <c r="D39" s="75"/>
      <c r="E39" s="75"/>
    </row>
    <row r="40" spans="1:5" ht="14.55" customHeight="1" x14ac:dyDescent="0.25">
      <c r="A40" s="75" t="s">
        <v>1163</v>
      </c>
      <c r="B40" s="342" t="s">
        <v>1287</v>
      </c>
      <c r="C40" s="75" t="s">
        <v>1288</v>
      </c>
      <c r="D40" s="75"/>
      <c r="E40" s="75"/>
    </row>
    <row r="41" spans="1:5" ht="14.55" customHeight="1" x14ac:dyDescent="0.25">
      <c r="A41" s="75" t="s">
        <v>1163</v>
      </c>
      <c r="B41" s="342" t="s">
        <v>1289</v>
      </c>
      <c r="C41" s="75" t="s">
        <v>1290</v>
      </c>
      <c r="D41" s="75"/>
      <c r="E41" s="75"/>
    </row>
    <row r="42" spans="1:5" ht="14.55" customHeight="1" x14ac:dyDescent="0.25">
      <c r="A42" s="75" t="s">
        <v>1163</v>
      </c>
      <c r="B42" s="342" t="s">
        <v>1291</v>
      </c>
      <c r="C42" s="75" t="s">
        <v>1292</v>
      </c>
      <c r="D42" s="75"/>
      <c r="E42" s="75"/>
    </row>
    <row r="43" spans="1:5" ht="14.55" customHeight="1" x14ac:dyDescent="0.25">
      <c r="A43" s="75" t="s">
        <v>1163</v>
      </c>
      <c r="B43" s="342" t="s">
        <v>1293</v>
      </c>
      <c r="C43" s="75" t="s">
        <v>1294</v>
      </c>
      <c r="D43" s="75"/>
      <c r="E43" s="75"/>
    </row>
    <row r="44" spans="1:5" ht="14.55" customHeight="1" x14ac:dyDescent="0.25">
      <c r="A44" s="75" t="s">
        <v>1163</v>
      </c>
      <c r="B44" s="342" t="s">
        <v>1295</v>
      </c>
      <c r="C44" s="75" t="s">
        <v>1296</v>
      </c>
      <c r="D44" s="75"/>
      <c r="E44" s="75"/>
    </row>
    <row r="45" spans="1:5" ht="14.55" customHeight="1" x14ac:dyDescent="0.25">
      <c r="A45" s="75" t="s">
        <v>1163</v>
      </c>
      <c r="B45" s="342" t="s">
        <v>1297</v>
      </c>
      <c r="C45" s="75" t="s">
        <v>1298</v>
      </c>
      <c r="D45" s="75"/>
      <c r="E45" s="75"/>
    </row>
    <row r="46" spans="1:5" ht="14.55" customHeight="1" x14ac:dyDescent="0.25">
      <c r="A46" s="75" t="s">
        <v>1163</v>
      </c>
      <c r="B46" s="342" t="s">
        <v>1299</v>
      </c>
      <c r="C46" s="75" t="s">
        <v>1300</v>
      </c>
      <c r="D46" s="75"/>
      <c r="E46" s="75"/>
    </row>
    <row r="47" spans="1:5" ht="14.55" customHeight="1" x14ac:dyDescent="0.25">
      <c r="A47" s="75" t="s">
        <v>1163</v>
      </c>
      <c r="B47" s="342" t="s">
        <v>1301</v>
      </c>
      <c r="C47" s="75" t="s">
        <v>1302</v>
      </c>
      <c r="D47" s="75"/>
      <c r="E47" s="75"/>
    </row>
    <row r="48" spans="1:5" ht="14.55" customHeight="1" x14ac:dyDescent="0.25">
      <c r="A48" s="75" t="s">
        <v>1163</v>
      </c>
      <c r="B48" s="342" t="s">
        <v>1303</v>
      </c>
      <c r="C48" s="75" t="s">
        <v>1304</v>
      </c>
      <c r="D48" s="75"/>
      <c r="E48" s="75"/>
    </row>
    <row r="49" spans="1:5" ht="14.55" customHeight="1" x14ac:dyDescent="0.25">
      <c r="A49" s="75" t="s">
        <v>1163</v>
      </c>
      <c r="B49" s="342" t="s">
        <v>1305</v>
      </c>
      <c r="C49" s="229" t="s">
        <v>1306</v>
      </c>
      <c r="D49" s="229"/>
      <c r="E49" s="229"/>
    </row>
    <row r="50" spans="1:5" ht="14.55" customHeight="1" x14ac:dyDescent="0.25">
      <c r="A50" s="75" t="s">
        <v>1163</v>
      </c>
      <c r="B50" s="342" t="s">
        <v>1307</v>
      </c>
      <c r="C50" s="229" t="s">
        <v>1308</v>
      </c>
      <c r="D50" s="229"/>
      <c r="E50" s="229"/>
    </row>
    <row r="51" spans="1:5" ht="14.55" customHeight="1" x14ac:dyDescent="0.25">
      <c r="A51" s="75" t="s">
        <v>1163</v>
      </c>
      <c r="B51" s="342" t="s">
        <v>1309</v>
      </c>
      <c r="C51" s="229" t="s">
        <v>1310</v>
      </c>
      <c r="D51" s="229"/>
      <c r="E51" s="229"/>
    </row>
    <row r="52" spans="1:5" ht="14.55" customHeight="1" x14ac:dyDescent="0.25">
      <c r="A52" s="75" t="s">
        <v>1163</v>
      </c>
      <c r="B52" s="342" t="s">
        <v>1311</v>
      </c>
      <c r="C52" s="229" t="s">
        <v>1312</v>
      </c>
      <c r="D52" s="229"/>
      <c r="E52" s="229"/>
    </row>
    <row r="53" spans="1:5" ht="14.55" customHeight="1" x14ac:dyDescent="0.25">
      <c r="A53" s="75" t="s">
        <v>1163</v>
      </c>
      <c r="B53" s="342" t="s">
        <v>1313</v>
      </c>
      <c r="C53" s="229" t="s">
        <v>1314</v>
      </c>
      <c r="D53" s="229"/>
      <c r="E53" s="229"/>
    </row>
    <row r="54" spans="1:5" ht="14.55" customHeight="1" x14ac:dyDescent="0.25">
      <c r="A54" s="75" t="s">
        <v>1163</v>
      </c>
      <c r="B54" s="342" t="s">
        <v>1315</v>
      </c>
      <c r="C54" s="229" t="s">
        <v>1316</v>
      </c>
      <c r="D54" s="229"/>
      <c r="E54" s="229"/>
    </row>
    <row r="55" spans="1:5" ht="14.55" customHeight="1" x14ac:dyDescent="0.25">
      <c r="A55" s="75" t="s">
        <v>1163</v>
      </c>
      <c r="B55" s="342" t="s">
        <v>1317</v>
      </c>
      <c r="C55" s="229" t="s">
        <v>1318</v>
      </c>
      <c r="D55" s="229"/>
      <c r="E55" s="229"/>
    </row>
    <row r="56" spans="1:5" ht="14.55" customHeight="1" x14ac:dyDescent="0.25">
      <c r="A56" s="75" t="s">
        <v>1163</v>
      </c>
      <c r="B56" s="342" t="s">
        <v>1319</v>
      </c>
      <c r="C56" s="229" t="s">
        <v>1320</v>
      </c>
      <c r="D56" s="229"/>
      <c r="E56" s="229"/>
    </row>
    <row r="57" spans="1:5" ht="14.55" customHeight="1" x14ac:dyDescent="0.25">
      <c r="A57" s="75" t="s">
        <v>1163</v>
      </c>
      <c r="B57" s="342" t="s">
        <v>1321</v>
      </c>
      <c r="C57" s="229" t="s">
        <v>1322</v>
      </c>
      <c r="D57" s="229"/>
      <c r="E57" s="229"/>
    </row>
    <row r="58" spans="1:5" ht="14.55" customHeight="1" x14ac:dyDescent="0.25">
      <c r="A58" s="75" t="s">
        <v>1163</v>
      </c>
      <c r="B58" s="342" t="s">
        <v>1323</v>
      </c>
      <c r="C58" s="229" t="s">
        <v>1324</v>
      </c>
      <c r="D58" s="229"/>
      <c r="E58" s="229"/>
    </row>
    <row r="59" spans="1:5" ht="14.55" customHeight="1" x14ac:dyDescent="0.25">
      <c r="A59" s="75" t="s">
        <v>1163</v>
      </c>
      <c r="B59" s="342" t="s">
        <v>1325</v>
      </c>
      <c r="C59" s="229" t="s">
        <v>1326</v>
      </c>
      <c r="D59" s="229"/>
      <c r="E59" s="229"/>
    </row>
    <row r="60" spans="1:5" ht="14.55" customHeight="1" x14ac:dyDescent="0.25">
      <c r="A60" s="75" t="s">
        <v>1163</v>
      </c>
      <c r="B60" s="342" t="s">
        <v>1327</v>
      </c>
      <c r="C60" s="229" t="s">
        <v>1328</v>
      </c>
      <c r="D60" s="229"/>
      <c r="E60" s="229"/>
    </row>
    <row r="61" spans="1:5" ht="14.55" customHeight="1" x14ac:dyDescent="0.25">
      <c r="A61" s="75" t="s">
        <v>1163</v>
      </c>
      <c r="B61" s="342" t="s">
        <v>1329</v>
      </c>
      <c r="C61" s="229" t="s">
        <v>1330</v>
      </c>
      <c r="D61" s="229"/>
      <c r="E61" s="229"/>
    </row>
    <row r="62" spans="1:5" ht="14.55" customHeight="1" x14ac:dyDescent="0.25">
      <c r="A62" s="75" t="s">
        <v>1163</v>
      </c>
      <c r="B62" s="342" t="s">
        <v>1331</v>
      </c>
      <c r="C62" s="229" t="s">
        <v>1332</v>
      </c>
      <c r="D62" s="229"/>
      <c r="E62" s="229"/>
    </row>
    <row r="63" spans="1:5" ht="14.55" customHeight="1" x14ac:dyDescent="0.25">
      <c r="A63" s="75" t="s">
        <v>1163</v>
      </c>
      <c r="B63" s="342" t="s">
        <v>1333</v>
      </c>
      <c r="C63" s="229" t="s">
        <v>1334</v>
      </c>
      <c r="D63" s="229"/>
      <c r="E63" s="229"/>
    </row>
    <row r="64" spans="1:5" ht="14.55" customHeight="1" x14ac:dyDescent="0.25">
      <c r="A64" s="75" t="s">
        <v>1163</v>
      </c>
      <c r="B64" s="342" t="s">
        <v>1335</v>
      </c>
      <c r="C64" s="229" t="s">
        <v>1336</v>
      </c>
      <c r="D64" s="229"/>
      <c r="E64" s="229"/>
    </row>
    <row r="65" spans="1:5" ht="14.55" customHeight="1" x14ac:dyDescent="0.25">
      <c r="A65" s="75" t="s">
        <v>1163</v>
      </c>
      <c r="B65" s="342" t="s">
        <v>1337</v>
      </c>
      <c r="C65" s="229" t="s">
        <v>1338</v>
      </c>
      <c r="D65" s="229"/>
      <c r="E65" s="229"/>
    </row>
    <row r="66" spans="1:5" ht="14.55" customHeight="1" x14ac:dyDescent="0.25">
      <c r="A66" s="75" t="s">
        <v>1163</v>
      </c>
      <c r="B66" s="342" t="s">
        <v>1339</v>
      </c>
      <c r="C66" s="229" t="s">
        <v>1340</v>
      </c>
      <c r="D66" s="229"/>
      <c r="E66" s="229"/>
    </row>
    <row r="67" spans="1:5" ht="14.55" customHeight="1" x14ac:dyDescent="0.25">
      <c r="A67" s="75" t="s">
        <v>1163</v>
      </c>
      <c r="B67" s="342" t="s">
        <v>1341</v>
      </c>
      <c r="C67" s="229" t="s">
        <v>1342</v>
      </c>
      <c r="D67" s="229"/>
      <c r="E67" s="229"/>
    </row>
    <row r="68" spans="1:5" ht="14.55" customHeight="1" x14ac:dyDescent="0.25">
      <c r="A68" s="75" t="s">
        <v>1163</v>
      </c>
      <c r="B68" s="342" t="s">
        <v>1343</v>
      </c>
      <c r="C68" s="229" t="s">
        <v>1344</v>
      </c>
      <c r="D68" s="229"/>
      <c r="E68" s="229"/>
    </row>
    <row r="69" spans="1:5" ht="14.55" customHeight="1" x14ac:dyDescent="0.25">
      <c r="A69" s="75" t="s">
        <v>1163</v>
      </c>
      <c r="B69" s="342" t="s">
        <v>1345</v>
      </c>
      <c r="C69" s="229" t="s">
        <v>1346</v>
      </c>
      <c r="D69" s="229"/>
      <c r="E69" s="229"/>
    </row>
    <row r="70" spans="1:5" ht="14.55" customHeight="1" x14ac:dyDescent="0.25">
      <c r="A70" s="75" t="s">
        <v>1163</v>
      </c>
      <c r="B70" s="342" t="s">
        <v>1347</v>
      </c>
      <c r="C70" s="229" t="s">
        <v>1348</v>
      </c>
      <c r="D70" s="229"/>
      <c r="E70" s="229"/>
    </row>
    <row r="71" spans="1:5" ht="14.55" customHeight="1" x14ac:dyDescent="0.25">
      <c r="A71" s="75" t="s">
        <v>1163</v>
      </c>
      <c r="B71" s="342" t="s">
        <v>1349</v>
      </c>
      <c r="C71" s="229" t="s">
        <v>1350</v>
      </c>
      <c r="D71" s="229"/>
      <c r="E71" s="229"/>
    </row>
    <row r="72" spans="1:5" ht="14.55" customHeight="1" x14ac:dyDescent="0.25">
      <c r="A72" s="75" t="s">
        <v>1163</v>
      </c>
      <c r="B72" s="342" t="s">
        <v>1351</v>
      </c>
      <c r="C72" s="229" t="s">
        <v>1352</v>
      </c>
      <c r="D72" s="229"/>
      <c r="E72" s="229"/>
    </row>
    <row r="73" spans="1:5" ht="14.55" customHeight="1" x14ac:dyDescent="0.25">
      <c r="A73" s="75" t="s">
        <v>1163</v>
      </c>
      <c r="B73" s="342" t="s">
        <v>1353</v>
      </c>
      <c r="C73" s="229" t="s">
        <v>1354</v>
      </c>
      <c r="D73" s="229"/>
      <c r="E73" s="229"/>
    </row>
    <row r="74" spans="1:5" ht="14.55" customHeight="1" x14ac:dyDescent="0.25">
      <c r="A74" s="75" t="s">
        <v>1163</v>
      </c>
      <c r="B74" s="342" t="s">
        <v>1355</v>
      </c>
      <c r="C74" s="229" t="s">
        <v>1356</v>
      </c>
      <c r="D74" s="229"/>
      <c r="E74" s="229"/>
    </row>
    <row r="75" spans="1:5" ht="14.55" customHeight="1" x14ac:dyDescent="0.25">
      <c r="A75" s="75" t="s">
        <v>1163</v>
      </c>
      <c r="B75" s="342" t="s">
        <v>1357</v>
      </c>
      <c r="C75" s="229" t="s">
        <v>1358</v>
      </c>
      <c r="D75" s="229"/>
      <c r="E75" s="229"/>
    </row>
    <row r="76" spans="1:5" ht="14.55" customHeight="1" x14ac:dyDescent="0.25">
      <c r="A76" s="75" t="s">
        <v>1163</v>
      </c>
      <c r="B76" s="342" t="s">
        <v>1359</v>
      </c>
      <c r="C76" s="229" t="s">
        <v>1360</v>
      </c>
      <c r="D76" s="229"/>
      <c r="E76" s="229"/>
    </row>
    <row r="77" spans="1:5" ht="14.55" customHeight="1" x14ac:dyDescent="0.25">
      <c r="A77" s="75" t="s">
        <v>1163</v>
      </c>
      <c r="B77" s="342" t="s">
        <v>1361</v>
      </c>
      <c r="C77" s="229" t="s">
        <v>1362</v>
      </c>
      <c r="D77" s="229"/>
      <c r="E77" s="229"/>
    </row>
    <row r="78" spans="1:5" ht="14.55" customHeight="1" x14ac:dyDescent="0.25">
      <c r="A78" s="75" t="s">
        <v>1163</v>
      </c>
      <c r="B78" s="342" t="s">
        <v>1363</v>
      </c>
      <c r="C78" s="229" t="s">
        <v>1364</v>
      </c>
      <c r="D78" s="229"/>
      <c r="E78" s="229"/>
    </row>
    <row r="79" spans="1:5" ht="14.55" customHeight="1" x14ac:dyDescent="0.25">
      <c r="A79" s="75" t="s">
        <v>1163</v>
      </c>
      <c r="B79" s="342" t="s">
        <v>1365</v>
      </c>
      <c r="C79" s="229" t="s">
        <v>1366</v>
      </c>
      <c r="D79" s="229"/>
      <c r="E79" s="229"/>
    </row>
    <row r="80" spans="1:5" ht="14.55" customHeight="1" x14ac:dyDescent="0.25">
      <c r="A80" s="75" t="s">
        <v>1163</v>
      </c>
      <c r="B80" s="342" t="s">
        <v>1367</v>
      </c>
      <c r="C80" s="229" t="s">
        <v>1368</v>
      </c>
      <c r="D80" s="229"/>
      <c r="E80" s="229"/>
    </row>
    <row r="81" spans="1:5" ht="14.55" customHeight="1" x14ac:dyDescent="0.25">
      <c r="A81" s="75" t="s">
        <v>1163</v>
      </c>
      <c r="B81" s="342" t="s">
        <v>1369</v>
      </c>
      <c r="C81" s="229" t="s">
        <v>1370</v>
      </c>
      <c r="D81" s="229"/>
      <c r="E81" s="229"/>
    </row>
    <row r="82" spans="1:5" ht="14.55" customHeight="1" x14ac:dyDescent="0.25">
      <c r="A82" s="75" t="s">
        <v>1163</v>
      </c>
      <c r="B82" s="342" t="s">
        <v>1371</v>
      </c>
      <c r="C82" s="229" t="s">
        <v>1372</v>
      </c>
      <c r="D82" s="229"/>
      <c r="E82" s="229"/>
    </row>
    <row r="83" spans="1:5" ht="14.55" customHeight="1" x14ac:dyDescent="0.25">
      <c r="A83" s="75" t="s">
        <v>1163</v>
      </c>
      <c r="B83" s="342" t="s">
        <v>1373</v>
      </c>
      <c r="C83" s="229" t="s">
        <v>1374</v>
      </c>
      <c r="D83" s="229"/>
      <c r="E83" s="229"/>
    </row>
    <row r="84" spans="1:5" ht="14.55" customHeight="1" x14ac:dyDescent="0.25">
      <c r="A84" s="75" t="s">
        <v>1163</v>
      </c>
      <c r="B84" s="342" t="s">
        <v>1375</v>
      </c>
      <c r="C84" s="229" t="s">
        <v>1376</v>
      </c>
      <c r="D84" s="229"/>
      <c r="E84" s="229"/>
    </row>
    <row r="85" spans="1:5" ht="14.55" customHeight="1" x14ac:dyDescent="0.25">
      <c r="A85" s="75" t="s">
        <v>1163</v>
      </c>
      <c r="B85" s="342" t="s">
        <v>1377</v>
      </c>
      <c r="C85" s="229" t="s">
        <v>1378</v>
      </c>
      <c r="D85" s="229"/>
      <c r="E85" s="229"/>
    </row>
    <row r="86" spans="1:5" ht="14.55" customHeight="1" x14ac:dyDescent="0.25">
      <c r="A86" s="75" t="s">
        <v>1163</v>
      </c>
      <c r="B86" s="342" t="s">
        <v>1379</v>
      </c>
      <c r="C86" s="229" t="s">
        <v>1380</v>
      </c>
      <c r="D86" s="229"/>
      <c r="E86" s="229"/>
    </row>
    <row r="87" spans="1:5" ht="14.55" customHeight="1" x14ac:dyDescent="0.25">
      <c r="A87" s="75" t="s">
        <v>1163</v>
      </c>
      <c r="B87" s="342" t="s">
        <v>1381</v>
      </c>
      <c r="C87" s="229" t="s">
        <v>1382</v>
      </c>
      <c r="D87" s="229"/>
      <c r="E87" s="229"/>
    </row>
    <row r="88" spans="1:5" ht="14.55" customHeight="1" x14ac:dyDescent="0.25">
      <c r="A88" s="75" t="s">
        <v>1163</v>
      </c>
      <c r="B88" s="342" t="s">
        <v>1383</v>
      </c>
      <c r="C88" s="229" t="s">
        <v>1384</v>
      </c>
      <c r="D88" s="229"/>
      <c r="E88" s="229"/>
    </row>
    <row r="89" spans="1:5" ht="14.55" customHeight="1" x14ac:dyDescent="0.25">
      <c r="A89" s="75" t="s">
        <v>1163</v>
      </c>
      <c r="B89" s="342" t="s">
        <v>1385</v>
      </c>
      <c r="C89" s="229" t="s">
        <v>1386</v>
      </c>
      <c r="D89" s="229"/>
      <c r="E89" s="229"/>
    </row>
    <row r="90" spans="1:5" ht="14.55" customHeight="1" x14ac:dyDescent="0.25">
      <c r="A90" s="75" t="s">
        <v>1163</v>
      </c>
      <c r="B90" s="342" t="s">
        <v>1387</v>
      </c>
      <c r="C90" s="229" t="s">
        <v>1388</v>
      </c>
      <c r="D90" s="229"/>
      <c r="E90" s="229"/>
    </row>
    <row r="91" spans="1:5" ht="14.55" customHeight="1" x14ac:dyDescent="0.25">
      <c r="A91" s="75" t="s">
        <v>1163</v>
      </c>
      <c r="B91" s="342" t="s">
        <v>1389</v>
      </c>
      <c r="C91" s="229" t="s">
        <v>1390</v>
      </c>
      <c r="D91" s="229"/>
      <c r="E91" s="229"/>
    </row>
    <row r="92" spans="1:5" ht="14.55" customHeight="1" x14ac:dyDescent="0.25">
      <c r="A92" s="75" t="s">
        <v>1163</v>
      </c>
      <c r="B92" s="342" t="s">
        <v>1391</v>
      </c>
      <c r="C92" s="229" t="s">
        <v>1392</v>
      </c>
      <c r="D92" s="229"/>
      <c r="E92" s="229"/>
    </row>
    <row r="93" spans="1:5" ht="14.55" customHeight="1" x14ac:dyDescent="0.25">
      <c r="A93" s="230" t="s">
        <v>305</v>
      </c>
      <c r="B93" s="231" t="s">
        <v>1393</v>
      </c>
      <c r="C93" s="230" t="s">
        <v>1394</v>
      </c>
      <c r="D93" s="230" t="s">
        <v>1395</v>
      </c>
    </row>
    <row r="94" spans="1:5" ht="14.55" customHeight="1" x14ac:dyDescent="0.25">
      <c r="A94" s="230" t="s">
        <v>305</v>
      </c>
      <c r="B94" s="231" t="s">
        <v>1396</v>
      </c>
      <c r="C94" s="230" t="s">
        <v>1397</v>
      </c>
      <c r="D94" s="230" t="s">
        <v>1398</v>
      </c>
    </row>
    <row r="95" spans="1:5" ht="14.55" customHeight="1" x14ac:dyDescent="0.25">
      <c r="A95" s="230" t="s">
        <v>305</v>
      </c>
      <c r="B95" s="231" t="s">
        <v>94</v>
      </c>
      <c r="C95" s="230" t="s">
        <v>1399</v>
      </c>
      <c r="D95" s="230" t="s">
        <v>1400</v>
      </c>
    </row>
    <row r="96" spans="1:5" ht="14.55" customHeight="1" x14ac:dyDescent="0.25">
      <c r="A96" s="230" t="s">
        <v>454</v>
      </c>
      <c r="B96" s="231" t="s">
        <v>1401</v>
      </c>
      <c r="C96" s="230" t="s">
        <v>1402</v>
      </c>
      <c r="D96" s="230" t="s">
        <v>1403</v>
      </c>
    </row>
    <row r="97" spans="1:5" ht="14.55" customHeight="1" x14ac:dyDescent="0.25">
      <c r="A97" s="230" t="s">
        <v>454</v>
      </c>
      <c r="B97" s="231" t="s">
        <v>1404</v>
      </c>
      <c r="C97" s="230" t="s">
        <v>1405</v>
      </c>
      <c r="D97" s="230" t="s">
        <v>1406</v>
      </c>
      <c r="E97" s="230" t="s">
        <v>1407</v>
      </c>
    </row>
    <row r="98" spans="1:5" ht="14.55" customHeight="1" x14ac:dyDescent="0.25">
      <c r="A98" s="230" t="s">
        <v>454</v>
      </c>
      <c r="B98" s="231" t="s">
        <v>1408</v>
      </c>
      <c r="C98" s="230" t="s">
        <v>1409</v>
      </c>
      <c r="D98" s="230" t="s">
        <v>1410</v>
      </c>
    </row>
    <row r="99" spans="1:5" ht="14.55" customHeight="1" x14ac:dyDescent="0.25">
      <c r="A99" s="230" t="s">
        <v>454</v>
      </c>
      <c r="B99" s="231" t="s">
        <v>1411</v>
      </c>
      <c r="C99" s="230" t="s">
        <v>1412</v>
      </c>
      <c r="D99" s="230" t="s">
        <v>1413</v>
      </c>
    </row>
    <row r="100" spans="1:5" ht="14.55" customHeight="1" x14ac:dyDescent="0.25">
      <c r="A100" s="230" t="s">
        <v>454</v>
      </c>
      <c r="B100" s="231" t="s">
        <v>1414</v>
      </c>
      <c r="C100" s="230" t="s">
        <v>1415</v>
      </c>
      <c r="D100" s="230" t="s">
        <v>1416</v>
      </c>
      <c r="E100" s="230" t="s">
        <v>1417</v>
      </c>
    </row>
    <row r="101" spans="1:5" ht="14.55" customHeight="1" x14ac:dyDescent="0.25">
      <c r="A101" s="230" t="s">
        <v>454</v>
      </c>
      <c r="B101" s="231" t="s">
        <v>1418</v>
      </c>
      <c r="C101" s="230" t="s">
        <v>1419</v>
      </c>
      <c r="D101" s="230" t="s">
        <v>1420</v>
      </c>
      <c r="E101" s="230" t="s">
        <v>1421</v>
      </c>
    </row>
    <row r="102" spans="1:5" ht="14.55" customHeight="1" outlineLevel="1" x14ac:dyDescent="0.25">
      <c r="A102" s="230" t="s">
        <v>1422</v>
      </c>
      <c r="B102" s="343" t="str">
        <f>"01"</f>
        <v>01</v>
      </c>
      <c r="C102" s="75" t="s">
        <v>1423</v>
      </c>
      <c r="D102" s="127" t="s">
        <v>1424</v>
      </c>
      <c r="E102" s="232"/>
    </row>
    <row r="103" spans="1:5" ht="14.55" customHeight="1" outlineLevel="1" x14ac:dyDescent="0.25">
      <c r="A103" s="230" t="s">
        <v>1422</v>
      </c>
      <c r="B103" s="343" t="str">
        <f>"01.00"</f>
        <v>01.00</v>
      </c>
      <c r="C103" s="75" t="s">
        <v>1425</v>
      </c>
      <c r="D103" s="127" t="s">
        <v>1426</v>
      </c>
      <c r="E103" s="232"/>
    </row>
    <row r="104" spans="1:5" ht="14.55" customHeight="1" outlineLevel="1" x14ac:dyDescent="0.25">
      <c r="A104" s="230" t="s">
        <v>1422</v>
      </c>
      <c r="B104" s="343" t="str">
        <f>"01.0000"</f>
        <v>01.0000</v>
      </c>
      <c r="C104" s="75" t="s">
        <v>1425</v>
      </c>
      <c r="D104" s="127" t="s">
        <v>1427</v>
      </c>
      <c r="E104" s="232"/>
    </row>
    <row r="105" spans="1:5" ht="14.55" customHeight="1" outlineLevel="1" x14ac:dyDescent="0.25">
      <c r="A105" s="230" t="s">
        <v>1422</v>
      </c>
      <c r="B105" s="343" t="str">
        <f>"01.01"</f>
        <v>01.01</v>
      </c>
      <c r="C105" s="75" t="s">
        <v>1428</v>
      </c>
      <c r="D105" s="127" t="s">
        <v>1429</v>
      </c>
      <c r="E105" s="232"/>
    </row>
    <row r="106" spans="1:5" ht="14.55" customHeight="1" outlineLevel="1" x14ac:dyDescent="0.25">
      <c r="A106" s="230" t="s">
        <v>1422</v>
      </c>
      <c r="B106" s="343" t="str">
        <f>"01.0101"</f>
        <v>01.0101</v>
      </c>
      <c r="C106" s="75" t="s">
        <v>1430</v>
      </c>
      <c r="D106" s="127" t="s">
        <v>1431</v>
      </c>
      <c r="E106" s="232"/>
    </row>
    <row r="107" spans="1:5" ht="14.55" customHeight="1" outlineLevel="1" x14ac:dyDescent="0.25">
      <c r="A107" s="230" t="s">
        <v>1422</v>
      </c>
      <c r="B107" s="343" t="str">
        <f>"01.0102"</f>
        <v>01.0102</v>
      </c>
      <c r="C107" s="75" t="s">
        <v>1432</v>
      </c>
      <c r="D107" s="127" t="s">
        <v>1433</v>
      </c>
      <c r="E107" s="232"/>
    </row>
    <row r="108" spans="1:5" ht="14.55" customHeight="1" outlineLevel="1" x14ac:dyDescent="0.25">
      <c r="A108" s="230" t="s">
        <v>1422</v>
      </c>
      <c r="B108" s="343" t="str">
        <f>"01.0103"</f>
        <v>01.0103</v>
      </c>
      <c r="C108" s="75" t="s">
        <v>1434</v>
      </c>
      <c r="D108" s="127" t="s">
        <v>1435</v>
      </c>
      <c r="E108" s="232"/>
    </row>
    <row r="109" spans="1:5" ht="14.55" customHeight="1" outlineLevel="1" x14ac:dyDescent="0.25">
      <c r="A109" s="230" t="s">
        <v>1422</v>
      </c>
      <c r="B109" s="343" t="str">
        <f>"01.0104"</f>
        <v>01.0104</v>
      </c>
      <c r="C109" s="75" t="s">
        <v>1436</v>
      </c>
      <c r="D109" s="127" t="s">
        <v>1437</v>
      </c>
      <c r="E109" s="232"/>
    </row>
    <row r="110" spans="1:5" ht="14.55" customHeight="1" outlineLevel="1" x14ac:dyDescent="0.25">
      <c r="A110" s="230" t="s">
        <v>1422</v>
      </c>
      <c r="B110" s="343" t="str">
        <f>"01.0105"</f>
        <v>01.0105</v>
      </c>
      <c r="C110" s="75" t="s">
        <v>1438</v>
      </c>
      <c r="D110" s="127" t="s">
        <v>1439</v>
      </c>
      <c r="E110" s="232"/>
    </row>
    <row r="111" spans="1:5" ht="14.55" customHeight="1" outlineLevel="1" x14ac:dyDescent="0.25">
      <c r="A111" s="230" t="s">
        <v>1422</v>
      </c>
      <c r="B111" s="343" t="str">
        <f>"01.0106"</f>
        <v>01.0106</v>
      </c>
      <c r="C111" s="75" t="s">
        <v>1440</v>
      </c>
      <c r="D111" s="127" t="s">
        <v>1441</v>
      </c>
      <c r="E111" s="232"/>
    </row>
    <row r="112" spans="1:5" ht="14.55" customHeight="1" outlineLevel="1" x14ac:dyDescent="0.25">
      <c r="A112" s="230" t="s">
        <v>1422</v>
      </c>
      <c r="B112" s="343" t="str">
        <f>"01.0199"</f>
        <v>01.0199</v>
      </c>
      <c r="C112" s="75" t="s">
        <v>1442</v>
      </c>
      <c r="D112" s="127" t="s">
        <v>1443</v>
      </c>
      <c r="E112" s="232"/>
    </row>
    <row r="113" spans="1:5" ht="14.55" customHeight="1" outlineLevel="1" x14ac:dyDescent="0.25">
      <c r="A113" s="230" t="s">
        <v>1422</v>
      </c>
      <c r="B113" s="343" t="str">
        <f>"01.02"</f>
        <v>01.02</v>
      </c>
      <c r="C113" s="75" t="s">
        <v>1444</v>
      </c>
      <c r="D113" s="127" t="s">
        <v>1445</v>
      </c>
      <c r="E113" s="232"/>
    </row>
    <row r="114" spans="1:5" ht="14.55" customHeight="1" outlineLevel="1" x14ac:dyDescent="0.25">
      <c r="A114" s="230" t="s">
        <v>1422</v>
      </c>
      <c r="B114" s="343" t="str">
        <f>"01.0201"</f>
        <v>01.0201</v>
      </c>
      <c r="C114" s="75" t="s">
        <v>1446</v>
      </c>
      <c r="D114" s="127" t="s">
        <v>1447</v>
      </c>
      <c r="E114" s="232"/>
    </row>
    <row r="115" spans="1:5" ht="14.55" customHeight="1" outlineLevel="1" x14ac:dyDescent="0.25">
      <c r="A115" s="230" t="s">
        <v>1422</v>
      </c>
      <c r="B115" s="343" t="str">
        <f>"01.0204"</f>
        <v>01.0204</v>
      </c>
      <c r="C115" s="75" t="s">
        <v>1448</v>
      </c>
      <c r="D115" s="127" t="s">
        <v>1449</v>
      </c>
      <c r="E115" s="232"/>
    </row>
    <row r="116" spans="1:5" ht="14.55" customHeight="1" outlineLevel="1" x14ac:dyDescent="0.25">
      <c r="A116" s="230" t="s">
        <v>1422</v>
      </c>
      <c r="B116" s="343" t="str">
        <f>"01.0205"</f>
        <v>01.0205</v>
      </c>
      <c r="C116" s="75" t="s">
        <v>1450</v>
      </c>
      <c r="D116" s="127" t="s">
        <v>1451</v>
      </c>
      <c r="E116" s="232"/>
    </row>
    <row r="117" spans="1:5" ht="14.55" customHeight="1" outlineLevel="1" x14ac:dyDescent="0.25">
      <c r="A117" s="230" t="s">
        <v>1422</v>
      </c>
      <c r="B117" s="343" t="str">
        <f>"01.0207"</f>
        <v>01.0207</v>
      </c>
      <c r="C117" s="75" t="s">
        <v>1452</v>
      </c>
      <c r="D117" s="127" t="s">
        <v>1453</v>
      </c>
      <c r="E117" s="232"/>
    </row>
    <row r="118" spans="1:5" ht="14.55" customHeight="1" outlineLevel="1" x14ac:dyDescent="0.25">
      <c r="A118" s="230" t="s">
        <v>1422</v>
      </c>
      <c r="B118" s="343" t="str">
        <f>"01.0299"</f>
        <v>01.0299</v>
      </c>
      <c r="C118" s="75" t="s">
        <v>1454</v>
      </c>
      <c r="D118" s="127" t="s">
        <v>1455</v>
      </c>
      <c r="E118" s="232"/>
    </row>
    <row r="119" spans="1:5" ht="14.55" customHeight="1" outlineLevel="1" x14ac:dyDescent="0.25">
      <c r="A119" s="230" t="s">
        <v>1422</v>
      </c>
      <c r="B119" s="343" t="str">
        <f>"01.03"</f>
        <v>01.03</v>
      </c>
      <c r="C119" s="75" t="s">
        <v>1456</v>
      </c>
      <c r="D119" s="127" t="s">
        <v>1457</v>
      </c>
      <c r="E119" s="232"/>
    </row>
    <row r="120" spans="1:5" ht="14.55" customHeight="1" outlineLevel="1" x14ac:dyDescent="0.25">
      <c r="A120" s="230" t="s">
        <v>1422</v>
      </c>
      <c r="B120" s="343" t="str">
        <f>"01.0301"</f>
        <v>01.0301</v>
      </c>
      <c r="C120" s="75" t="s">
        <v>1458</v>
      </c>
      <c r="D120" s="127" t="s">
        <v>1459</v>
      </c>
      <c r="E120" s="232"/>
    </row>
    <row r="121" spans="1:5" ht="14.55" customHeight="1" outlineLevel="1" x14ac:dyDescent="0.25">
      <c r="A121" s="230" t="s">
        <v>1422</v>
      </c>
      <c r="B121" s="343" t="str">
        <f>"01.0302"</f>
        <v>01.0302</v>
      </c>
      <c r="C121" s="75" t="s">
        <v>1460</v>
      </c>
      <c r="D121" s="127" t="s">
        <v>1461</v>
      </c>
      <c r="E121" s="232"/>
    </row>
    <row r="122" spans="1:5" ht="14.55" customHeight="1" outlineLevel="1" x14ac:dyDescent="0.25">
      <c r="A122" s="230" t="s">
        <v>1422</v>
      </c>
      <c r="B122" s="343" t="str">
        <f>"01.0303"</f>
        <v>01.0303</v>
      </c>
      <c r="C122" s="75" t="s">
        <v>1462</v>
      </c>
      <c r="D122" s="127" t="s">
        <v>1463</v>
      </c>
      <c r="E122" s="232"/>
    </row>
    <row r="123" spans="1:5" ht="14.55" customHeight="1" outlineLevel="1" x14ac:dyDescent="0.25">
      <c r="A123" s="230" t="s">
        <v>1422</v>
      </c>
      <c r="B123" s="343" t="str">
        <f>"01.0304"</f>
        <v>01.0304</v>
      </c>
      <c r="C123" s="75" t="s">
        <v>1464</v>
      </c>
      <c r="D123" s="127" t="s">
        <v>1465</v>
      </c>
      <c r="E123" s="232"/>
    </row>
    <row r="124" spans="1:5" ht="14.55" customHeight="1" outlineLevel="1" x14ac:dyDescent="0.25">
      <c r="A124" s="230" t="s">
        <v>1422</v>
      </c>
      <c r="B124" s="343" t="str">
        <f>"01.0306"</f>
        <v>01.0306</v>
      </c>
      <c r="C124" s="75" t="s">
        <v>1466</v>
      </c>
      <c r="D124" s="127" t="s">
        <v>1467</v>
      </c>
      <c r="E124" s="232"/>
    </row>
    <row r="125" spans="1:5" ht="14.55" customHeight="1" outlineLevel="1" x14ac:dyDescent="0.25">
      <c r="A125" s="230" t="s">
        <v>1422</v>
      </c>
      <c r="B125" s="343" t="str">
        <f>"01.0307"</f>
        <v>01.0307</v>
      </c>
      <c r="C125" s="75" t="s">
        <v>1468</v>
      </c>
      <c r="D125" s="127" t="s">
        <v>1469</v>
      </c>
      <c r="E125" s="232"/>
    </row>
    <row r="126" spans="1:5" ht="14.55" customHeight="1" outlineLevel="1" x14ac:dyDescent="0.25">
      <c r="A126" s="230" t="s">
        <v>1422</v>
      </c>
      <c r="B126" s="343" t="str">
        <f>"01.0308"</f>
        <v>01.0308</v>
      </c>
      <c r="C126" s="75" t="s">
        <v>1470</v>
      </c>
      <c r="D126" s="127" t="s">
        <v>1471</v>
      </c>
      <c r="E126" s="232"/>
    </row>
    <row r="127" spans="1:5" ht="14.55" customHeight="1" outlineLevel="1" x14ac:dyDescent="0.25">
      <c r="A127" s="230" t="s">
        <v>1422</v>
      </c>
      <c r="B127" s="343" t="str">
        <f>"01.0310"</f>
        <v>01.0310</v>
      </c>
      <c r="C127" s="75" t="s">
        <v>1472</v>
      </c>
      <c r="D127" s="127" t="s">
        <v>1473</v>
      </c>
      <c r="E127" s="232"/>
    </row>
    <row r="128" spans="1:5" ht="14.55" customHeight="1" outlineLevel="1" x14ac:dyDescent="0.25">
      <c r="A128" s="230" t="s">
        <v>1422</v>
      </c>
      <c r="B128" s="343" t="str">
        <f>"01.0399"</f>
        <v>01.0399</v>
      </c>
      <c r="C128" s="75" t="s">
        <v>1474</v>
      </c>
      <c r="D128" s="127" t="s">
        <v>1475</v>
      </c>
      <c r="E128" s="232"/>
    </row>
    <row r="129" spans="1:5" ht="14.55" customHeight="1" outlineLevel="1" x14ac:dyDescent="0.25">
      <c r="A129" s="230" t="s">
        <v>1422</v>
      </c>
      <c r="B129" s="343" t="str">
        <f>"01.04"</f>
        <v>01.04</v>
      </c>
      <c r="C129" s="75" t="s">
        <v>1476</v>
      </c>
      <c r="D129" s="127" t="s">
        <v>1477</v>
      </c>
      <c r="E129" s="232"/>
    </row>
    <row r="130" spans="1:5" ht="14.55" customHeight="1" outlineLevel="1" x14ac:dyDescent="0.25">
      <c r="A130" s="230" t="s">
        <v>1422</v>
      </c>
      <c r="B130" s="343" t="str">
        <f>"01.0401"</f>
        <v>01.0401</v>
      </c>
      <c r="C130" s="75" t="s">
        <v>1476</v>
      </c>
      <c r="D130" s="127" t="s">
        <v>1478</v>
      </c>
      <c r="E130" s="232"/>
    </row>
    <row r="131" spans="1:5" ht="14.55" customHeight="1" outlineLevel="1" x14ac:dyDescent="0.25">
      <c r="A131" s="230" t="s">
        <v>1422</v>
      </c>
      <c r="B131" s="343" t="str">
        <f>"01.0480"</f>
        <v>01.0480</v>
      </c>
      <c r="C131" s="75" t="s">
        <v>1479</v>
      </c>
      <c r="D131" s="127" t="s">
        <v>1480</v>
      </c>
      <c r="E131" s="232"/>
    </row>
    <row r="132" spans="1:5" ht="14.55" customHeight="1" outlineLevel="1" x14ac:dyDescent="0.25">
      <c r="A132" s="230" t="s">
        <v>1422</v>
      </c>
      <c r="B132" s="343" t="str">
        <f>"01.05"</f>
        <v>01.05</v>
      </c>
      <c r="C132" s="75" t="s">
        <v>1481</v>
      </c>
      <c r="D132" s="127" t="s">
        <v>1482</v>
      </c>
      <c r="E132" s="232"/>
    </row>
    <row r="133" spans="1:5" ht="14.55" customHeight="1" outlineLevel="1" x14ac:dyDescent="0.25">
      <c r="A133" s="230" t="s">
        <v>1422</v>
      </c>
      <c r="B133" s="343" t="str">
        <f>"01.0504"</f>
        <v>01.0504</v>
      </c>
      <c r="C133" s="75" t="s">
        <v>1483</v>
      </c>
      <c r="D133" s="127" t="s">
        <v>1484</v>
      </c>
      <c r="E133" s="232"/>
    </row>
    <row r="134" spans="1:5" ht="14.55" customHeight="1" outlineLevel="1" x14ac:dyDescent="0.25">
      <c r="A134" s="230" t="s">
        <v>1422</v>
      </c>
      <c r="B134" s="343" t="str">
        <f>"01.0505"</f>
        <v>01.0505</v>
      </c>
      <c r="C134" s="75" t="s">
        <v>1485</v>
      </c>
      <c r="D134" s="127" t="s">
        <v>1486</v>
      </c>
      <c r="E134" s="232"/>
    </row>
    <row r="135" spans="1:5" ht="14.55" customHeight="1" outlineLevel="1" x14ac:dyDescent="0.25">
      <c r="A135" s="230" t="s">
        <v>1422</v>
      </c>
      <c r="B135" s="343" t="str">
        <f>"01.0507"</f>
        <v>01.0507</v>
      </c>
      <c r="C135" s="75" t="s">
        <v>1487</v>
      </c>
      <c r="D135" s="127" t="s">
        <v>1488</v>
      </c>
      <c r="E135" s="232"/>
    </row>
    <row r="136" spans="1:5" ht="14.55" customHeight="1" outlineLevel="1" x14ac:dyDescent="0.25">
      <c r="A136" s="230" t="s">
        <v>1422</v>
      </c>
      <c r="B136" s="343" t="str">
        <f>"01.0508"</f>
        <v>01.0508</v>
      </c>
      <c r="C136" s="75" t="s">
        <v>1489</v>
      </c>
      <c r="D136" s="127" t="s">
        <v>1490</v>
      </c>
      <c r="E136" s="232"/>
    </row>
    <row r="137" spans="1:5" ht="14.55" customHeight="1" outlineLevel="1" x14ac:dyDescent="0.25">
      <c r="A137" s="230" t="s">
        <v>1422</v>
      </c>
      <c r="B137" s="343" t="str">
        <f>"01.0509"</f>
        <v>01.0509</v>
      </c>
      <c r="C137" s="75" t="s">
        <v>1491</v>
      </c>
      <c r="D137" s="127" t="s">
        <v>1492</v>
      </c>
      <c r="E137" s="232"/>
    </row>
    <row r="138" spans="1:5" ht="14.55" customHeight="1" outlineLevel="1" x14ac:dyDescent="0.25">
      <c r="A138" s="230" t="s">
        <v>1422</v>
      </c>
      <c r="B138" s="343" t="str">
        <f>"01.0599"</f>
        <v>01.0599</v>
      </c>
      <c r="C138" s="75" t="s">
        <v>1493</v>
      </c>
      <c r="D138" s="127" t="s">
        <v>1494</v>
      </c>
      <c r="E138" s="232"/>
    </row>
    <row r="139" spans="1:5" ht="14.55" customHeight="1" outlineLevel="1" x14ac:dyDescent="0.25">
      <c r="A139" s="230" t="s">
        <v>1422</v>
      </c>
      <c r="B139" s="343" t="str">
        <f>"01.06"</f>
        <v>01.06</v>
      </c>
      <c r="C139" s="75" t="s">
        <v>1495</v>
      </c>
      <c r="D139" s="127" t="s">
        <v>1496</v>
      </c>
      <c r="E139" s="232"/>
    </row>
    <row r="140" spans="1:5" ht="14.55" customHeight="1" outlineLevel="1" x14ac:dyDescent="0.25">
      <c r="A140" s="230" t="s">
        <v>1422</v>
      </c>
      <c r="B140" s="343" t="str">
        <f>"01.0601"</f>
        <v>01.0601</v>
      </c>
      <c r="C140" s="75" t="s">
        <v>1497</v>
      </c>
      <c r="D140" s="127" t="s">
        <v>1498</v>
      </c>
      <c r="E140" s="232"/>
    </row>
    <row r="141" spans="1:5" ht="14.55" customHeight="1" outlineLevel="1" x14ac:dyDescent="0.25">
      <c r="A141" s="230" t="s">
        <v>1422</v>
      </c>
      <c r="B141" s="343" t="str">
        <f>"01.0603"</f>
        <v>01.0603</v>
      </c>
      <c r="C141" s="75" t="s">
        <v>1499</v>
      </c>
      <c r="D141" s="127" t="s">
        <v>1500</v>
      </c>
      <c r="E141" s="232"/>
    </row>
    <row r="142" spans="1:5" ht="14.55" customHeight="1" outlineLevel="1" x14ac:dyDescent="0.25">
      <c r="A142" s="230" t="s">
        <v>1422</v>
      </c>
      <c r="B142" s="343" t="str">
        <f>"01.0604"</f>
        <v>01.0604</v>
      </c>
      <c r="C142" s="75" t="s">
        <v>1501</v>
      </c>
      <c r="D142" s="127" t="s">
        <v>1502</v>
      </c>
      <c r="E142" s="232"/>
    </row>
    <row r="143" spans="1:5" ht="14.55" customHeight="1" outlineLevel="1" x14ac:dyDescent="0.25">
      <c r="A143" s="230" t="s">
        <v>1422</v>
      </c>
      <c r="B143" s="343" t="str">
        <f>"01.0605"</f>
        <v>01.0605</v>
      </c>
      <c r="C143" s="75" t="s">
        <v>1503</v>
      </c>
      <c r="D143" s="127" t="s">
        <v>1504</v>
      </c>
      <c r="E143" s="232"/>
    </row>
    <row r="144" spans="1:5" ht="14.55" customHeight="1" outlineLevel="1" x14ac:dyDescent="0.25">
      <c r="A144" s="230" t="s">
        <v>1422</v>
      </c>
      <c r="B144" s="343" t="str">
        <f>"01.0606"</f>
        <v>01.0606</v>
      </c>
      <c r="C144" s="75" t="s">
        <v>1505</v>
      </c>
      <c r="D144" s="127" t="s">
        <v>1506</v>
      </c>
      <c r="E144" s="232"/>
    </row>
    <row r="145" spans="1:5" ht="14.55" customHeight="1" outlineLevel="1" x14ac:dyDescent="0.25">
      <c r="A145" s="230" t="s">
        <v>1422</v>
      </c>
      <c r="B145" s="343" t="str">
        <f>"01.0607"</f>
        <v>01.0607</v>
      </c>
      <c r="C145" s="75" t="s">
        <v>1507</v>
      </c>
      <c r="D145" s="127" t="s">
        <v>1508</v>
      </c>
      <c r="E145" s="232"/>
    </row>
    <row r="146" spans="1:5" ht="14.55" customHeight="1" outlineLevel="1" x14ac:dyDescent="0.25">
      <c r="A146" s="230" t="s">
        <v>1422</v>
      </c>
      <c r="B146" s="343" t="str">
        <f>"01.0608"</f>
        <v>01.0608</v>
      </c>
      <c r="C146" s="75" t="s">
        <v>1509</v>
      </c>
      <c r="D146" s="127" t="s">
        <v>1510</v>
      </c>
      <c r="E146" s="232"/>
    </row>
    <row r="147" spans="1:5" ht="14.55" customHeight="1" outlineLevel="1" x14ac:dyDescent="0.25">
      <c r="A147" s="230" t="s">
        <v>1422</v>
      </c>
      <c r="B147" s="343" t="str">
        <f>"01.0609"</f>
        <v>01.0609</v>
      </c>
      <c r="C147" s="75" t="s">
        <v>1511</v>
      </c>
      <c r="D147" s="127" t="s">
        <v>1512</v>
      </c>
      <c r="E147" s="232"/>
    </row>
    <row r="148" spans="1:5" ht="14.55" customHeight="1" outlineLevel="1" x14ac:dyDescent="0.25">
      <c r="A148" s="230" t="s">
        <v>1422</v>
      </c>
      <c r="B148" s="343" t="str">
        <f>"01.0610"</f>
        <v>01.0610</v>
      </c>
      <c r="C148" s="75" t="s">
        <v>1513</v>
      </c>
      <c r="D148" s="127" t="s">
        <v>1514</v>
      </c>
      <c r="E148" s="232"/>
    </row>
    <row r="149" spans="1:5" ht="14.55" customHeight="1" outlineLevel="1" x14ac:dyDescent="0.25">
      <c r="A149" s="230" t="s">
        <v>1422</v>
      </c>
      <c r="B149" s="343" t="str">
        <f>"01.0680"</f>
        <v>01.0680</v>
      </c>
      <c r="C149" s="75" t="s">
        <v>1479</v>
      </c>
      <c r="D149" s="127" t="s">
        <v>1480</v>
      </c>
      <c r="E149" s="232"/>
    </row>
    <row r="150" spans="1:5" ht="14.55" customHeight="1" outlineLevel="1" x14ac:dyDescent="0.25">
      <c r="A150" s="230" t="s">
        <v>1422</v>
      </c>
      <c r="B150" s="343" t="str">
        <f>"01.0699"</f>
        <v>01.0699</v>
      </c>
      <c r="C150" s="75" t="s">
        <v>1515</v>
      </c>
      <c r="D150" s="127" t="s">
        <v>1516</v>
      </c>
      <c r="E150" s="232"/>
    </row>
    <row r="151" spans="1:5" ht="14.55" customHeight="1" outlineLevel="1" x14ac:dyDescent="0.25">
      <c r="A151" s="230" t="s">
        <v>1422</v>
      </c>
      <c r="B151" s="343" t="str">
        <f>"01.07"</f>
        <v>01.07</v>
      </c>
      <c r="C151" s="75" t="s">
        <v>1517</v>
      </c>
      <c r="D151" s="127" t="s">
        <v>1518</v>
      </c>
      <c r="E151" s="232"/>
    </row>
    <row r="152" spans="1:5" ht="14.55" customHeight="1" outlineLevel="1" x14ac:dyDescent="0.25">
      <c r="A152" s="230" t="s">
        <v>1422</v>
      </c>
      <c r="B152" s="343" t="str">
        <f>"01.0701"</f>
        <v>01.0701</v>
      </c>
      <c r="C152" s="75" t="s">
        <v>1517</v>
      </c>
      <c r="D152" s="127" t="s">
        <v>1519</v>
      </c>
      <c r="E152" s="232"/>
    </row>
    <row r="153" spans="1:5" ht="14.55" customHeight="1" outlineLevel="1" x14ac:dyDescent="0.25">
      <c r="A153" s="230" t="s">
        <v>1422</v>
      </c>
      <c r="B153" s="343" t="str">
        <f>"01.08"</f>
        <v>01.08</v>
      </c>
      <c r="C153" s="75" t="s">
        <v>1520</v>
      </c>
      <c r="D153" s="127" t="s">
        <v>1521</v>
      </c>
      <c r="E153" s="232"/>
    </row>
    <row r="154" spans="1:5" ht="14.55" customHeight="1" outlineLevel="1" x14ac:dyDescent="0.25">
      <c r="A154" s="230" t="s">
        <v>1422</v>
      </c>
      <c r="B154" s="343" t="str">
        <f>"01.0801"</f>
        <v>01.0801</v>
      </c>
      <c r="C154" s="75" t="s">
        <v>1522</v>
      </c>
      <c r="D154" s="127" t="s">
        <v>1523</v>
      </c>
      <c r="E154" s="232"/>
    </row>
    <row r="155" spans="1:5" ht="14.55" customHeight="1" outlineLevel="1" x14ac:dyDescent="0.25">
      <c r="A155" s="230" t="s">
        <v>1422</v>
      </c>
      <c r="B155" s="343" t="str">
        <f>"01.0802"</f>
        <v>01.0802</v>
      </c>
      <c r="C155" s="75" t="s">
        <v>1524</v>
      </c>
      <c r="D155" s="127" t="s">
        <v>1525</v>
      </c>
      <c r="E155" s="232"/>
    </row>
    <row r="156" spans="1:5" ht="14.55" customHeight="1" outlineLevel="1" x14ac:dyDescent="0.25">
      <c r="A156" s="230" t="s">
        <v>1422</v>
      </c>
      <c r="B156" s="343" t="str">
        <f>"01.0899"</f>
        <v>01.0899</v>
      </c>
      <c r="C156" s="75" t="s">
        <v>1526</v>
      </c>
      <c r="D156" s="127" t="s">
        <v>1527</v>
      </c>
      <c r="E156" s="232"/>
    </row>
    <row r="157" spans="1:5" ht="14.55" customHeight="1" outlineLevel="1" x14ac:dyDescent="0.25">
      <c r="A157" s="230" t="s">
        <v>1422</v>
      </c>
      <c r="B157" s="343" t="str">
        <f>"01.09"</f>
        <v>01.09</v>
      </c>
      <c r="C157" s="75" t="s">
        <v>1528</v>
      </c>
      <c r="D157" s="127" t="s">
        <v>1529</v>
      </c>
      <c r="E157" s="232"/>
    </row>
    <row r="158" spans="1:5" ht="14.55" customHeight="1" outlineLevel="1" x14ac:dyDescent="0.25">
      <c r="A158" s="230" t="s">
        <v>1422</v>
      </c>
      <c r="B158" s="343" t="str">
        <f>"01.0901"</f>
        <v>01.0901</v>
      </c>
      <c r="C158" s="75" t="s">
        <v>1530</v>
      </c>
      <c r="D158" s="127" t="s">
        <v>1531</v>
      </c>
      <c r="E158" s="232"/>
    </row>
    <row r="159" spans="1:5" ht="14.55" customHeight="1" outlineLevel="1" x14ac:dyDescent="0.25">
      <c r="A159" s="230" t="s">
        <v>1422</v>
      </c>
      <c r="B159" s="343" t="str">
        <f>"01.0902"</f>
        <v>01.0902</v>
      </c>
      <c r="C159" s="75" t="s">
        <v>1532</v>
      </c>
      <c r="D159" s="127" t="s">
        <v>1533</v>
      </c>
      <c r="E159" s="232"/>
    </row>
    <row r="160" spans="1:5" ht="14.55" customHeight="1" outlineLevel="1" x14ac:dyDescent="0.25">
      <c r="A160" s="230" t="s">
        <v>1422</v>
      </c>
      <c r="B160" s="343" t="str">
        <f>"01.0903"</f>
        <v>01.0903</v>
      </c>
      <c r="C160" s="75" t="s">
        <v>1534</v>
      </c>
      <c r="D160" s="127" t="s">
        <v>1535</v>
      </c>
      <c r="E160" s="232"/>
    </row>
    <row r="161" spans="1:5" ht="14.55" customHeight="1" outlineLevel="1" x14ac:dyDescent="0.25">
      <c r="A161" s="230" t="s">
        <v>1422</v>
      </c>
      <c r="B161" s="343" t="str">
        <f>"01.0904"</f>
        <v>01.0904</v>
      </c>
      <c r="C161" s="75" t="s">
        <v>1536</v>
      </c>
      <c r="D161" s="127" t="s">
        <v>1537</v>
      </c>
      <c r="E161" s="232"/>
    </row>
    <row r="162" spans="1:5" ht="14.55" customHeight="1" outlineLevel="1" x14ac:dyDescent="0.25">
      <c r="A162" s="230" t="s">
        <v>1422</v>
      </c>
      <c r="B162" s="343" t="str">
        <f>"01.0905"</f>
        <v>01.0905</v>
      </c>
      <c r="C162" s="75" t="s">
        <v>1538</v>
      </c>
      <c r="D162" s="127" t="s">
        <v>1539</v>
      </c>
      <c r="E162" s="232"/>
    </row>
    <row r="163" spans="1:5" ht="14.55" customHeight="1" outlineLevel="1" x14ac:dyDescent="0.25">
      <c r="A163" s="230" t="s">
        <v>1422</v>
      </c>
      <c r="B163" s="343" t="str">
        <f>"01.0906"</f>
        <v>01.0906</v>
      </c>
      <c r="C163" s="75" t="s">
        <v>1540</v>
      </c>
      <c r="D163" s="127" t="s">
        <v>1541</v>
      </c>
      <c r="E163" s="232"/>
    </row>
    <row r="164" spans="1:5" ht="14.55" customHeight="1" outlineLevel="1" x14ac:dyDescent="0.25">
      <c r="A164" s="230" t="s">
        <v>1422</v>
      </c>
      <c r="B164" s="343" t="str">
        <f>"01.0907"</f>
        <v>01.0907</v>
      </c>
      <c r="C164" s="75" t="s">
        <v>1542</v>
      </c>
      <c r="D164" s="127" t="s">
        <v>1543</v>
      </c>
      <c r="E164" s="232"/>
    </row>
    <row r="165" spans="1:5" ht="14.55" customHeight="1" outlineLevel="1" x14ac:dyDescent="0.25">
      <c r="A165" s="230" t="s">
        <v>1422</v>
      </c>
      <c r="B165" s="343" t="str">
        <f>"01.0999"</f>
        <v>01.0999</v>
      </c>
      <c r="C165" s="75" t="s">
        <v>1544</v>
      </c>
      <c r="D165" s="127" t="s">
        <v>1545</v>
      </c>
      <c r="E165" s="232"/>
    </row>
    <row r="166" spans="1:5" ht="14.55" customHeight="1" outlineLevel="1" x14ac:dyDescent="0.25">
      <c r="A166" s="230" t="s">
        <v>1422</v>
      </c>
      <c r="B166" s="343" t="str">
        <f>"01.10"</f>
        <v>01.10</v>
      </c>
      <c r="C166" s="75" t="s">
        <v>1546</v>
      </c>
      <c r="D166" s="127" t="s">
        <v>1547</v>
      </c>
      <c r="E166" s="232"/>
    </row>
    <row r="167" spans="1:5" ht="14.55" customHeight="1" outlineLevel="1" x14ac:dyDescent="0.25">
      <c r="A167" s="230" t="s">
        <v>1422</v>
      </c>
      <c r="B167" s="343" t="str">
        <f>"01.1001"</f>
        <v>01.1001</v>
      </c>
      <c r="C167" s="75" t="s">
        <v>1548</v>
      </c>
      <c r="D167" s="127" t="s">
        <v>1549</v>
      </c>
      <c r="E167" s="232"/>
    </row>
    <row r="168" spans="1:5" ht="14.55" customHeight="1" outlineLevel="1" x14ac:dyDescent="0.25">
      <c r="A168" s="230" t="s">
        <v>1422</v>
      </c>
      <c r="B168" s="343" t="str">
        <f>"01.1002"</f>
        <v>01.1002</v>
      </c>
      <c r="C168" s="75" t="s">
        <v>1550</v>
      </c>
      <c r="D168" s="127" t="s">
        <v>1551</v>
      </c>
      <c r="E168" s="232"/>
    </row>
    <row r="169" spans="1:5" ht="14.55" customHeight="1" outlineLevel="1" x14ac:dyDescent="0.25">
      <c r="A169" s="230" t="s">
        <v>1422</v>
      </c>
      <c r="B169" s="343" t="str">
        <f>"01.1003"</f>
        <v>01.1003</v>
      </c>
      <c r="C169" s="75" t="s">
        <v>1552</v>
      </c>
      <c r="D169" s="127" t="s">
        <v>1553</v>
      </c>
      <c r="E169" s="232"/>
    </row>
    <row r="170" spans="1:5" ht="14.55" customHeight="1" outlineLevel="1" x14ac:dyDescent="0.25">
      <c r="A170" s="230" t="s">
        <v>1422</v>
      </c>
      <c r="B170" s="343" t="str">
        <f>"01.1004"</f>
        <v>01.1004</v>
      </c>
      <c r="C170" s="75" t="s">
        <v>1554</v>
      </c>
      <c r="D170" s="127" t="s">
        <v>1555</v>
      </c>
      <c r="E170" s="232"/>
    </row>
    <row r="171" spans="1:5" ht="14.55" customHeight="1" outlineLevel="1" x14ac:dyDescent="0.25">
      <c r="A171" s="230" t="s">
        <v>1422</v>
      </c>
      <c r="B171" s="343" t="str">
        <f>"01.1005"</f>
        <v>01.1005</v>
      </c>
      <c r="C171" s="75" t="s">
        <v>1556</v>
      </c>
      <c r="D171" s="127" t="s">
        <v>1557</v>
      </c>
      <c r="E171" s="232"/>
    </row>
    <row r="172" spans="1:5" ht="14.55" customHeight="1" outlineLevel="1" x14ac:dyDescent="0.25">
      <c r="A172" s="230" t="s">
        <v>1422</v>
      </c>
      <c r="B172" s="343" t="str">
        <f>"01.1099"</f>
        <v>01.1099</v>
      </c>
      <c r="C172" s="75" t="s">
        <v>1558</v>
      </c>
      <c r="D172" s="127" t="s">
        <v>1559</v>
      </c>
      <c r="E172" s="232"/>
    </row>
    <row r="173" spans="1:5" ht="14.55" customHeight="1" outlineLevel="1" x14ac:dyDescent="0.25">
      <c r="A173" s="230" t="s">
        <v>1422</v>
      </c>
      <c r="B173" s="343" t="str">
        <f>"01.11"</f>
        <v>01.11</v>
      </c>
      <c r="C173" s="75" t="s">
        <v>1560</v>
      </c>
      <c r="D173" s="127" t="s">
        <v>1561</v>
      </c>
      <c r="E173" s="232"/>
    </row>
    <row r="174" spans="1:5" ht="14.55" customHeight="1" outlineLevel="1" x14ac:dyDescent="0.25">
      <c r="A174" s="230" t="s">
        <v>1422</v>
      </c>
      <c r="B174" s="343" t="str">
        <f>"01.1101"</f>
        <v>01.1101</v>
      </c>
      <c r="C174" s="75" t="s">
        <v>1562</v>
      </c>
      <c r="D174" s="127" t="s">
        <v>1563</v>
      </c>
      <c r="E174" s="232"/>
    </row>
    <row r="175" spans="1:5" ht="14.55" customHeight="1" outlineLevel="1" x14ac:dyDescent="0.25">
      <c r="A175" s="230" t="s">
        <v>1422</v>
      </c>
      <c r="B175" s="343" t="str">
        <f>"01.1102"</f>
        <v>01.1102</v>
      </c>
      <c r="C175" s="75" t="s">
        <v>1564</v>
      </c>
      <c r="D175" s="127" t="s">
        <v>1565</v>
      </c>
      <c r="E175" s="232"/>
    </row>
    <row r="176" spans="1:5" ht="14.55" customHeight="1" outlineLevel="1" x14ac:dyDescent="0.25">
      <c r="A176" s="230" t="s">
        <v>1422</v>
      </c>
      <c r="B176" s="343" t="str">
        <f>"01.1103"</f>
        <v>01.1103</v>
      </c>
      <c r="C176" s="75" t="s">
        <v>1566</v>
      </c>
      <c r="D176" s="127" t="s">
        <v>1567</v>
      </c>
      <c r="E176" s="232"/>
    </row>
    <row r="177" spans="1:5" ht="14.55" customHeight="1" outlineLevel="1" x14ac:dyDescent="0.25">
      <c r="A177" s="230" t="s">
        <v>1422</v>
      </c>
      <c r="B177" s="343" t="str">
        <f>"01.1104"</f>
        <v>01.1104</v>
      </c>
      <c r="C177" s="75" t="s">
        <v>1568</v>
      </c>
      <c r="D177" s="127" t="s">
        <v>1569</v>
      </c>
      <c r="E177" s="232"/>
    </row>
    <row r="178" spans="1:5" ht="14.55" customHeight="1" outlineLevel="1" x14ac:dyDescent="0.25">
      <c r="A178" s="230" t="s">
        <v>1422</v>
      </c>
      <c r="B178" s="343" t="str">
        <f>"01.1105"</f>
        <v>01.1105</v>
      </c>
      <c r="C178" s="75" t="s">
        <v>1570</v>
      </c>
      <c r="D178" s="127" t="s">
        <v>1571</v>
      </c>
      <c r="E178" s="232"/>
    </row>
    <row r="179" spans="1:5" ht="14.55" customHeight="1" outlineLevel="1" x14ac:dyDescent="0.25">
      <c r="A179" s="230" t="s">
        <v>1422</v>
      </c>
      <c r="B179" s="343" t="str">
        <f>"01.1106"</f>
        <v>01.1106</v>
      </c>
      <c r="C179" s="75" t="s">
        <v>1572</v>
      </c>
      <c r="D179" s="127" t="s">
        <v>1573</v>
      </c>
      <c r="E179" s="232"/>
    </row>
    <row r="180" spans="1:5" ht="14.55" customHeight="1" outlineLevel="1" x14ac:dyDescent="0.25">
      <c r="A180" s="230" t="s">
        <v>1422</v>
      </c>
      <c r="B180" s="343" t="str">
        <f>"01.1180"</f>
        <v>01.1180</v>
      </c>
      <c r="C180" s="75" t="s">
        <v>1479</v>
      </c>
      <c r="D180" s="127" t="s">
        <v>1480</v>
      </c>
      <c r="E180" s="232"/>
    </row>
    <row r="181" spans="1:5" ht="14.55" customHeight="1" outlineLevel="1" x14ac:dyDescent="0.25">
      <c r="A181" s="230" t="s">
        <v>1422</v>
      </c>
      <c r="B181" s="343" t="str">
        <f>"01.1199"</f>
        <v>01.1199</v>
      </c>
      <c r="C181" s="75" t="s">
        <v>1574</v>
      </c>
      <c r="D181" s="127" t="s">
        <v>1575</v>
      </c>
      <c r="E181" s="232"/>
    </row>
    <row r="182" spans="1:5" ht="14.55" customHeight="1" outlineLevel="1" x14ac:dyDescent="0.25">
      <c r="A182" s="230" t="s">
        <v>1422</v>
      </c>
      <c r="B182" s="343" t="str">
        <f>"01.12"</f>
        <v>01.12</v>
      </c>
      <c r="C182" s="75" t="s">
        <v>1576</v>
      </c>
      <c r="D182" s="127" t="s">
        <v>1577</v>
      </c>
      <c r="E182" s="232"/>
    </row>
    <row r="183" spans="1:5" ht="14.55" customHeight="1" outlineLevel="1" x14ac:dyDescent="0.25">
      <c r="A183" s="230" t="s">
        <v>1422</v>
      </c>
      <c r="B183" s="343" t="str">
        <f>"01.1201"</f>
        <v>01.1201</v>
      </c>
      <c r="C183" s="75" t="s">
        <v>1578</v>
      </c>
      <c r="D183" s="127" t="s">
        <v>1579</v>
      </c>
      <c r="E183" s="232"/>
    </row>
    <row r="184" spans="1:5" ht="14.55" customHeight="1" outlineLevel="1" x14ac:dyDescent="0.25">
      <c r="A184" s="230" t="s">
        <v>1422</v>
      </c>
      <c r="B184" s="343" t="str">
        <f>"01.1202"</f>
        <v>01.1202</v>
      </c>
      <c r="C184" s="75" t="s">
        <v>1580</v>
      </c>
      <c r="D184" s="127" t="s">
        <v>1581</v>
      </c>
      <c r="E184" s="232"/>
    </row>
    <row r="185" spans="1:5" ht="14.55" customHeight="1" outlineLevel="1" x14ac:dyDescent="0.25">
      <c r="A185" s="230" t="s">
        <v>1422</v>
      </c>
      <c r="B185" s="343" t="str">
        <f>"01.1203"</f>
        <v>01.1203</v>
      </c>
      <c r="C185" s="75" t="s">
        <v>1582</v>
      </c>
      <c r="D185" s="127" t="s">
        <v>1583</v>
      </c>
      <c r="E185" s="232"/>
    </row>
    <row r="186" spans="1:5" ht="14.55" customHeight="1" outlineLevel="1" x14ac:dyDescent="0.25">
      <c r="A186" s="230" t="s">
        <v>1422</v>
      </c>
      <c r="B186" s="343" t="str">
        <f>"01.1299"</f>
        <v>01.1299</v>
      </c>
      <c r="C186" s="75" t="s">
        <v>1584</v>
      </c>
      <c r="D186" s="127" t="s">
        <v>1585</v>
      </c>
      <c r="E186" s="232"/>
    </row>
    <row r="187" spans="1:5" ht="14.55" customHeight="1" outlineLevel="1" x14ac:dyDescent="0.25">
      <c r="A187" s="230" t="s">
        <v>1422</v>
      </c>
      <c r="B187" s="343" t="str">
        <f>"01.13"</f>
        <v>01.13</v>
      </c>
      <c r="C187" s="75" t="s">
        <v>1586</v>
      </c>
      <c r="D187" s="127" t="s">
        <v>1587</v>
      </c>
      <c r="E187" s="232"/>
    </row>
    <row r="188" spans="1:5" ht="14.55" customHeight="1" outlineLevel="1" x14ac:dyDescent="0.25">
      <c r="A188" s="230" t="s">
        <v>1422</v>
      </c>
      <c r="B188" s="343" t="str">
        <f>"01.1302"</f>
        <v>01.1302</v>
      </c>
      <c r="C188" s="75" t="s">
        <v>1588</v>
      </c>
      <c r="D188" s="127" t="s">
        <v>1589</v>
      </c>
      <c r="E188" s="232"/>
    </row>
    <row r="189" spans="1:5" ht="14.55" customHeight="1" outlineLevel="1" x14ac:dyDescent="0.25">
      <c r="A189" s="230" t="s">
        <v>1422</v>
      </c>
      <c r="B189" s="343" t="str">
        <f>"01.1399"</f>
        <v>01.1399</v>
      </c>
      <c r="C189" s="75" t="s">
        <v>1590</v>
      </c>
      <c r="D189" s="127" t="s">
        <v>1591</v>
      </c>
      <c r="E189" s="232"/>
    </row>
    <row r="190" spans="1:5" ht="14.55" customHeight="1" outlineLevel="1" x14ac:dyDescent="0.25">
      <c r="A190" s="230" t="s">
        <v>1422</v>
      </c>
      <c r="B190" s="343" t="str">
        <f>"01.80"</f>
        <v>01.80</v>
      </c>
      <c r="C190" s="75" t="s">
        <v>1592</v>
      </c>
      <c r="D190" s="127" t="s">
        <v>1593</v>
      </c>
      <c r="E190" s="232"/>
    </row>
    <row r="191" spans="1:5" ht="14.55" customHeight="1" outlineLevel="1" x14ac:dyDescent="0.25">
      <c r="A191" s="230" t="s">
        <v>1422</v>
      </c>
      <c r="B191" s="343" t="str">
        <f>"01.8001"</f>
        <v>01.8001</v>
      </c>
      <c r="C191" s="75" t="s">
        <v>1592</v>
      </c>
      <c r="D191" s="127" t="s">
        <v>1594</v>
      </c>
      <c r="E191" s="232"/>
    </row>
    <row r="192" spans="1:5" ht="14.55" customHeight="1" outlineLevel="1" x14ac:dyDescent="0.25">
      <c r="A192" s="230" t="s">
        <v>1422</v>
      </c>
      <c r="B192" s="343" t="str">
        <f>"01.81"</f>
        <v>01.81</v>
      </c>
      <c r="C192" s="75" t="s">
        <v>1595</v>
      </c>
      <c r="D192" s="127" t="s">
        <v>1596</v>
      </c>
      <c r="E192" s="232"/>
    </row>
    <row r="193" spans="1:5" ht="14.55" customHeight="1" outlineLevel="1" x14ac:dyDescent="0.25">
      <c r="A193" s="230" t="s">
        <v>1422</v>
      </c>
      <c r="B193" s="343" t="str">
        <f>"01.8101"</f>
        <v>01.8101</v>
      </c>
      <c r="C193" s="75" t="s">
        <v>1597</v>
      </c>
      <c r="D193" s="127" t="s">
        <v>1598</v>
      </c>
      <c r="E193" s="232"/>
    </row>
    <row r="194" spans="1:5" ht="14.55" customHeight="1" outlineLevel="1" x14ac:dyDescent="0.25">
      <c r="A194" s="230" t="s">
        <v>1422</v>
      </c>
      <c r="B194" s="343" t="str">
        <f>"01.8102"</f>
        <v>01.8102</v>
      </c>
      <c r="C194" s="75" t="s">
        <v>1599</v>
      </c>
      <c r="D194" s="127" t="s">
        <v>1600</v>
      </c>
      <c r="E194" s="232"/>
    </row>
    <row r="195" spans="1:5" ht="14.55" customHeight="1" outlineLevel="1" x14ac:dyDescent="0.25">
      <c r="A195" s="230" t="s">
        <v>1422</v>
      </c>
      <c r="B195" s="343" t="str">
        <f>"01.8103"</f>
        <v>01.8103</v>
      </c>
      <c r="C195" s="75" t="s">
        <v>1601</v>
      </c>
      <c r="D195" s="127" t="s">
        <v>1602</v>
      </c>
      <c r="E195" s="232"/>
    </row>
    <row r="196" spans="1:5" ht="14.55" customHeight="1" outlineLevel="1" x14ac:dyDescent="0.25">
      <c r="A196" s="230" t="s">
        <v>1422</v>
      </c>
      <c r="B196" s="343" t="str">
        <f>"01.8104"</f>
        <v>01.8104</v>
      </c>
      <c r="C196" s="75" t="s">
        <v>1603</v>
      </c>
      <c r="D196" s="127" t="s">
        <v>1604</v>
      </c>
      <c r="E196" s="232"/>
    </row>
    <row r="197" spans="1:5" ht="14.55" customHeight="1" outlineLevel="1" x14ac:dyDescent="0.25">
      <c r="A197" s="230" t="s">
        <v>1422</v>
      </c>
      <c r="B197" s="343" t="str">
        <f>"01.8105"</f>
        <v>01.8105</v>
      </c>
      <c r="C197" s="75" t="s">
        <v>1605</v>
      </c>
      <c r="D197" s="127" t="s">
        <v>1606</v>
      </c>
      <c r="E197" s="232"/>
    </row>
    <row r="198" spans="1:5" ht="14.55" customHeight="1" outlineLevel="1" x14ac:dyDescent="0.25">
      <c r="A198" s="230" t="s">
        <v>1422</v>
      </c>
      <c r="B198" s="343" t="str">
        <f>"01.8106"</f>
        <v>01.8106</v>
      </c>
      <c r="C198" s="75" t="s">
        <v>1607</v>
      </c>
      <c r="D198" s="127" t="s">
        <v>1608</v>
      </c>
      <c r="E198" s="232"/>
    </row>
    <row r="199" spans="1:5" ht="14.55" customHeight="1" outlineLevel="1" x14ac:dyDescent="0.25">
      <c r="A199" s="230" t="s">
        <v>1422</v>
      </c>
      <c r="B199" s="343" t="str">
        <f>"01.8107"</f>
        <v>01.8107</v>
      </c>
      <c r="C199" s="75" t="s">
        <v>1609</v>
      </c>
      <c r="D199" s="127" t="s">
        <v>1610</v>
      </c>
      <c r="E199" s="232"/>
    </row>
    <row r="200" spans="1:5" ht="14.55" customHeight="1" outlineLevel="1" x14ac:dyDescent="0.25">
      <c r="A200" s="230" t="s">
        <v>1422</v>
      </c>
      <c r="B200" s="343" t="str">
        <f>"01.8108"</f>
        <v>01.8108</v>
      </c>
      <c r="C200" s="75" t="s">
        <v>1611</v>
      </c>
      <c r="D200" s="127" t="s">
        <v>1612</v>
      </c>
      <c r="E200" s="232"/>
    </row>
    <row r="201" spans="1:5" ht="14.55" customHeight="1" outlineLevel="1" x14ac:dyDescent="0.25">
      <c r="A201" s="230" t="s">
        <v>1422</v>
      </c>
      <c r="B201" s="343" t="str">
        <f>"01.8109"</f>
        <v>01.8109</v>
      </c>
      <c r="C201" s="75" t="s">
        <v>1613</v>
      </c>
      <c r="D201" s="127" t="s">
        <v>1614</v>
      </c>
      <c r="E201" s="232"/>
    </row>
    <row r="202" spans="1:5" ht="14.55" customHeight="1" outlineLevel="1" x14ac:dyDescent="0.25">
      <c r="A202" s="230" t="s">
        <v>1422</v>
      </c>
      <c r="B202" s="343" t="str">
        <f>"01.8110"</f>
        <v>01.8110</v>
      </c>
      <c r="C202" s="75" t="s">
        <v>1615</v>
      </c>
      <c r="D202" s="127" t="s">
        <v>1616</v>
      </c>
      <c r="E202" s="232"/>
    </row>
    <row r="203" spans="1:5" ht="14.55" customHeight="1" outlineLevel="1" x14ac:dyDescent="0.25">
      <c r="A203" s="230" t="s">
        <v>1422</v>
      </c>
      <c r="B203" s="343" t="str">
        <f>"01.8111"</f>
        <v>01.8111</v>
      </c>
      <c r="C203" s="75" t="s">
        <v>1617</v>
      </c>
      <c r="D203" s="127" t="s">
        <v>1618</v>
      </c>
      <c r="E203" s="232"/>
    </row>
    <row r="204" spans="1:5" ht="14.55" customHeight="1" outlineLevel="1" x14ac:dyDescent="0.25">
      <c r="A204" s="230" t="s">
        <v>1422</v>
      </c>
      <c r="B204" s="343" t="str">
        <f>"01.8199"</f>
        <v>01.8199</v>
      </c>
      <c r="C204" s="75" t="s">
        <v>1619</v>
      </c>
      <c r="D204" s="127" t="s">
        <v>1620</v>
      </c>
      <c r="E204" s="232"/>
    </row>
    <row r="205" spans="1:5" ht="14.55" customHeight="1" outlineLevel="1" x14ac:dyDescent="0.25">
      <c r="A205" s="230" t="s">
        <v>1422</v>
      </c>
      <c r="B205" s="343" t="str">
        <f>"01.82"</f>
        <v>01.82</v>
      </c>
      <c r="C205" s="75" t="s">
        <v>1621</v>
      </c>
      <c r="D205" s="127" t="s">
        <v>1622</v>
      </c>
      <c r="E205" s="232"/>
    </row>
    <row r="206" spans="1:5" ht="14.55" customHeight="1" outlineLevel="1" x14ac:dyDescent="0.25">
      <c r="A206" s="230" t="s">
        <v>1422</v>
      </c>
      <c r="B206" s="343" t="str">
        <f>"01.8201"</f>
        <v>01.8201</v>
      </c>
      <c r="C206" s="75" t="s">
        <v>1623</v>
      </c>
      <c r="D206" s="127" t="s">
        <v>1624</v>
      </c>
      <c r="E206" s="232"/>
    </row>
    <row r="207" spans="1:5" ht="14.55" customHeight="1" outlineLevel="1" x14ac:dyDescent="0.25">
      <c r="A207" s="230" t="s">
        <v>1422</v>
      </c>
      <c r="B207" s="343" t="str">
        <f>"01.8202"</f>
        <v>01.8202</v>
      </c>
      <c r="C207" s="75" t="s">
        <v>1625</v>
      </c>
      <c r="D207" s="127" t="s">
        <v>1626</v>
      </c>
      <c r="E207" s="232"/>
    </row>
    <row r="208" spans="1:5" ht="14.55" customHeight="1" outlineLevel="1" x14ac:dyDescent="0.25">
      <c r="A208" s="230" t="s">
        <v>1422</v>
      </c>
      <c r="B208" s="343" t="str">
        <f>"01.8203"</f>
        <v>01.8203</v>
      </c>
      <c r="C208" s="75" t="s">
        <v>1627</v>
      </c>
      <c r="D208" s="127" t="s">
        <v>1628</v>
      </c>
      <c r="E208" s="232"/>
    </row>
    <row r="209" spans="1:5" ht="14.55" customHeight="1" outlineLevel="1" x14ac:dyDescent="0.25">
      <c r="A209" s="230" t="s">
        <v>1422</v>
      </c>
      <c r="B209" s="343" t="str">
        <f>"01.8204"</f>
        <v>01.8204</v>
      </c>
      <c r="C209" s="75" t="s">
        <v>1629</v>
      </c>
      <c r="D209" s="127" t="s">
        <v>1630</v>
      </c>
      <c r="E209" s="232"/>
    </row>
    <row r="210" spans="1:5" ht="14.55" customHeight="1" outlineLevel="1" x14ac:dyDescent="0.25">
      <c r="A210" s="230" t="s">
        <v>1422</v>
      </c>
      <c r="B210" s="343" t="str">
        <f>"01.8299"</f>
        <v>01.8299</v>
      </c>
      <c r="C210" s="75" t="s">
        <v>1631</v>
      </c>
      <c r="D210" s="127" t="s">
        <v>1632</v>
      </c>
      <c r="E210" s="232"/>
    </row>
    <row r="211" spans="1:5" ht="14.55" customHeight="1" outlineLevel="1" x14ac:dyDescent="0.25">
      <c r="A211" s="230" t="s">
        <v>1422</v>
      </c>
      <c r="B211" s="343" t="str">
        <f>"01.83"</f>
        <v>01.83</v>
      </c>
      <c r="C211" s="75" t="s">
        <v>1633</v>
      </c>
      <c r="D211" s="127" t="s">
        <v>1634</v>
      </c>
      <c r="E211" s="232"/>
    </row>
    <row r="212" spans="1:5" ht="14.55" customHeight="1" outlineLevel="1" x14ac:dyDescent="0.25">
      <c r="A212" s="230" t="s">
        <v>1422</v>
      </c>
      <c r="B212" s="343" t="str">
        <f>"01.8301"</f>
        <v>01.8301</v>
      </c>
      <c r="C212" s="75" t="s">
        <v>1635</v>
      </c>
      <c r="D212" s="127" t="s">
        <v>1636</v>
      </c>
      <c r="E212" s="232"/>
    </row>
    <row r="213" spans="1:5" ht="14.55" customHeight="1" outlineLevel="1" x14ac:dyDescent="0.25">
      <c r="A213" s="230" t="s">
        <v>1422</v>
      </c>
      <c r="B213" s="343" t="str">
        <f>"01.8399"</f>
        <v>01.8399</v>
      </c>
      <c r="C213" s="75" t="s">
        <v>1637</v>
      </c>
      <c r="D213" s="127" t="s">
        <v>1638</v>
      </c>
      <c r="E213" s="232"/>
    </row>
    <row r="214" spans="1:5" ht="14.55" customHeight="1" outlineLevel="1" x14ac:dyDescent="0.25">
      <c r="A214" s="230" t="s">
        <v>1422</v>
      </c>
      <c r="B214" s="343" t="str">
        <f>"01.99"</f>
        <v>01.99</v>
      </c>
      <c r="C214" s="75" t="s">
        <v>1639</v>
      </c>
      <c r="D214" s="127" t="s">
        <v>1640</v>
      </c>
      <c r="E214" s="232"/>
    </row>
    <row r="215" spans="1:5" ht="14.55" customHeight="1" outlineLevel="1" x14ac:dyDescent="0.25">
      <c r="A215" s="230" t="s">
        <v>1422</v>
      </c>
      <c r="B215" s="343" t="str">
        <f>"01.9999"</f>
        <v>01.9999</v>
      </c>
      <c r="C215" s="75" t="s">
        <v>1639</v>
      </c>
      <c r="D215" s="127" t="s">
        <v>1641</v>
      </c>
      <c r="E215" s="232"/>
    </row>
    <row r="216" spans="1:5" ht="14.55" customHeight="1" outlineLevel="1" x14ac:dyDescent="0.25">
      <c r="A216" s="230" t="s">
        <v>1422</v>
      </c>
      <c r="B216" s="343" t="str">
        <f>"03"</f>
        <v>03</v>
      </c>
      <c r="C216" s="75" t="s">
        <v>1642</v>
      </c>
      <c r="D216" s="127" t="s">
        <v>1643</v>
      </c>
      <c r="E216" s="232"/>
    </row>
    <row r="217" spans="1:5" ht="14.55" customHeight="1" outlineLevel="1" x14ac:dyDescent="0.25">
      <c r="A217" s="230" t="s">
        <v>1422</v>
      </c>
      <c r="B217" s="343" t="str">
        <f>"03.01"</f>
        <v>03.01</v>
      </c>
      <c r="C217" s="75" t="s">
        <v>1644</v>
      </c>
      <c r="D217" s="127" t="s">
        <v>1645</v>
      </c>
      <c r="E217" s="232"/>
    </row>
    <row r="218" spans="1:5" ht="14.55" customHeight="1" outlineLevel="1" x14ac:dyDescent="0.25">
      <c r="A218" s="230" t="s">
        <v>1422</v>
      </c>
      <c r="B218" s="343" t="str">
        <f>"03.0101"</f>
        <v>03.0101</v>
      </c>
      <c r="C218" s="75" t="s">
        <v>1646</v>
      </c>
      <c r="D218" s="127" t="s">
        <v>1647</v>
      </c>
      <c r="E218" s="232"/>
    </row>
    <row r="219" spans="1:5" ht="14.55" customHeight="1" outlineLevel="1" x14ac:dyDescent="0.25">
      <c r="A219" s="230" t="s">
        <v>1422</v>
      </c>
      <c r="B219" s="343" t="str">
        <f>"03.0103"</f>
        <v>03.0103</v>
      </c>
      <c r="C219" s="75" t="s">
        <v>1648</v>
      </c>
      <c r="D219" s="127" t="s">
        <v>1649</v>
      </c>
      <c r="E219" s="232"/>
    </row>
    <row r="220" spans="1:5" ht="14.55" customHeight="1" outlineLevel="1" x14ac:dyDescent="0.25">
      <c r="A220" s="230" t="s">
        <v>1422</v>
      </c>
      <c r="B220" s="343" t="str">
        <f>"03.0104"</f>
        <v>03.0104</v>
      </c>
      <c r="C220" s="75" t="s">
        <v>1650</v>
      </c>
      <c r="D220" s="127" t="s">
        <v>1651</v>
      </c>
      <c r="E220" s="232"/>
    </row>
    <row r="221" spans="1:5" ht="14.55" customHeight="1" outlineLevel="1" x14ac:dyDescent="0.25">
      <c r="A221" s="230" t="s">
        <v>1422</v>
      </c>
      <c r="B221" s="343" t="str">
        <f>"03.0199"</f>
        <v>03.0199</v>
      </c>
      <c r="C221" s="75" t="s">
        <v>1652</v>
      </c>
      <c r="D221" s="127" t="s">
        <v>1653</v>
      </c>
      <c r="E221" s="232"/>
    </row>
    <row r="222" spans="1:5" ht="14.55" customHeight="1" outlineLevel="1" x14ac:dyDescent="0.25">
      <c r="A222" s="230" t="s">
        <v>1422</v>
      </c>
      <c r="B222" s="343" t="str">
        <f>"03.02"</f>
        <v>03.02</v>
      </c>
      <c r="C222" s="75" t="s">
        <v>1654</v>
      </c>
      <c r="D222" s="127" t="s">
        <v>1655</v>
      </c>
      <c r="E222" s="232"/>
    </row>
    <row r="223" spans="1:5" ht="14.55" customHeight="1" outlineLevel="1" x14ac:dyDescent="0.25">
      <c r="A223" s="230" t="s">
        <v>1422</v>
      </c>
      <c r="B223" s="343" t="str">
        <f>"03.0201"</f>
        <v>03.0201</v>
      </c>
      <c r="C223" s="75" t="s">
        <v>1656</v>
      </c>
      <c r="D223" s="127" t="s">
        <v>1657</v>
      </c>
      <c r="E223" s="232"/>
    </row>
    <row r="224" spans="1:5" ht="14.55" customHeight="1" outlineLevel="1" x14ac:dyDescent="0.25">
      <c r="A224" s="230" t="s">
        <v>1422</v>
      </c>
      <c r="B224" s="343" t="str">
        <f>"03.0204"</f>
        <v>03.0204</v>
      </c>
      <c r="C224" s="75" t="s">
        <v>1658</v>
      </c>
      <c r="D224" s="127" t="s">
        <v>1659</v>
      </c>
      <c r="E224" s="232"/>
    </row>
    <row r="225" spans="1:5" ht="14.55" customHeight="1" outlineLevel="1" x14ac:dyDescent="0.25">
      <c r="A225" s="230" t="s">
        <v>1422</v>
      </c>
      <c r="B225" s="343" t="str">
        <f>"03.0205"</f>
        <v>03.0205</v>
      </c>
      <c r="C225" s="75" t="s">
        <v>1660</v>
      </c>
      <c r="D225" s="127" t="s">
        <v>1661</v>
      </c>
      <c r="E225" s="232"/>
    </row>
    <row r="226" spans="1:5" ht="14.55" customHeight="1" outlineLevel="1" x14ac:dyDescent="0.25">
      <c r="A226" s="230" t="s">
        <v>1422</v>
      </c>
      <c r="B226" s="343" t="str">
        <f>"03.0206"</f>
        <v>03.0206</v>
      </c>
      <c r="C226" s="75" t="s">
        <v>1662</v>
      </c>
      <c r="D226" s="127" t="s">
        <v>1663</v>
      </c>
      <c r="E226" s="232"/>
    </row>
    <row r="227" spans="1:5" ht="14.55" customHeight="1" outlineLevel="1" x14ac:dyDescent="0.25">
      <c r="A227" s="230" t="s">
        <v>1422</v>
      </c>
      <c r="B227" s="343" t="str">
        <f>"03.0207"</f>
        <v>03.0207</v>
      </c>
      <c r="C227" s="75" t="s">
        <v>1664</v>
      </c>
      <c r="D227" s="127" t="s">
        <v>1665</v>
      </c>
      <c r="E227" s="232"/>
    </row>
    <row r="228" spans="1:5" ht="14.55" customHeight="1" outlineLevel="1" x14ac:dyDescent="0.25">
      <c r="A228" s="230" t="s">
        <v>1422</v>
      </c>
      <c r="B228" s="343" t="str">
        <f>"03.0208"</f>
        <v>03.0208</v>
      </c>
      <c r="C228" s="75" t="s">
        <v>1666</v>
      </c>
      <c r="D228" s="127" t="s">
        <v>1667</v>
      </c>
      <c r="E228" s="232"/>
    </row>
    <row r="229" spans="1:5" ht="14.55" customHeight="1" outlineLevel="1" x14ac:dyDescent="0.25">
      <c r="A229" s="230" t="s">
        <v>1422</v>
      </c>
      <c r="B229" s="343" t="str">
        <f>"03.0209"</f>
        <v>03.0209</v>
      </c>
      <c r="C229" s="75" t="s">
        <v>1668</v>
      </c>
      <c r="D229" s="127" t="s">
        <v>1669</v>
      </c>
      <c r="E229" s="232"/>
    </row>
    <row r="230" spans="1:5" ht="14.55" customHeight="1" outlineLevel="1" x14ac:dyDescent="0.25">
      <c r="A230" s="230" t="s">
        <v>1422</v>
      </c>
      <c r="B230" s="343" t="str">
        <f>"03.0210"</f>
        <v>03.0210</v>
      </c>
      <c r="C230" s="75" t="s">
        <v>1670</v>
      </c>
      <c r="D230" s="127" t="s">
        <v>1671</v>
      </c>
      <c r="E230" s="232"/>
    </row>
    <row r="231" spans="1:5" ht="14.55" customHeight="1" outlineLevel="1" x14ac:dyDescent="0.25">
      <c r="A231" s="230" t="s">
        <v>1422</v>
      </c>
      <c r="B231" s="343" t="str">
        <f>"03.0299"</f>
        <v>03.0299</v>
      </c>
      <c r="C231" s="75" t="s">
        <v>1672</v>
      </c>
      <c r="D231" s="127" t="s">
        <v>1673</v>
      </c>
      <c r="E231" s="232"/>
    </row>
    <row r="232" spans="1:5" ht="14.55" customHeight="1" outlineLevel="1" x14ac:dyDescent="0.25">
      <c r="A232" s="230" t="s">
        <v>1422</v>
      </c>
      <c r="B232" s="343" t="str">
        <f>"03.03"</f>
        <v>03.03</v>
      </c>
      <c r="C232" s="75" t="s">
        <v>1674</v>
      </c>
      <c r="D232" s="127" t="s">
        <v>1675</v>
      </c>
      <c r="E232" s="232"/>
    </row>
    <row r="233" spans="1:5" ht="14.55" customHeight="1" outlineLevel="1" x14ac:dyDescent="0.25">
      <c r="A233" s="230" t="s">
        <v>1422</v>
      </c>
      <c r="B233" s="343" t="str">
        <f>"03.0301"</f>
        <v>03.0301</v>
      </c>
      <c r="C233" s="75" t="s">
        <v>1674</v>
      </c>
      <c r="D233" s="127" t="s">
        <v>1676</v>
      </c>
      <c r="E233" s="232"/>
    </row>
    <row r="234" spans="1:5" ht="14.55" customHeight="1" outlineLevel="1" x14ac:dyDescent="0.25">
      <c r="A234" s="230" t="s">
        <v>1422</v>
      </c>
      <c r="B234" s="343" t="str">
        <f>"03.05"</f>
        <v>03.05</v>
      </c>
      <c r="C234" s="75" t="s">
        <v>1677</v>
      </c>
      <c r="D234" s="127" t="s">
        <v>1678</v>
      </c>
      <c r="E234" s="232"/>
    </row>
    <row r="235" spans="1:5" ht="14.55" customHeight="1" outlineLevel="1" x14ac:dyDescent="0.25">
      <c r="A235" s="230" t="s">
        <v>1422</v>
      </c>
      <c r="B235" s="343" t="str">
        <f>"03.0501"</f>
        <v>03.0501</v>
      </c>
      <c r="C235" s="75" t="s">
        <v>1679</v>
      </c>
      <c r="D235" s="127" t="s">
        <v>1680</v>
      </c>
      <c r="E235" s="232"/>
    </row>
    <row r="236" spans="1:5" ht="14.55" customHeight="1" outlineLevel="1" x14ac:dyDescent="0.25">
      <c r="A236" s="230" t="s">
        <v>1422</v>
      </c>
      <c r="B236" s="343" t="str">
        <f>"03.0502"</f>
        <v>03.0502</v>
      </c>
      <c r="C236" s="75" t="s">
        <v>1681</v>
      </c>
      <c r="D236" s="127" t="s">
        <v>1682</v>
      </c>
      <c r="E236" s="232"/>
    </row>
    <row r="237" spans="1:5" ht="14.55" customHeight="1" outlineLevel="1" x14ac:dyDescent="0.25">
      <c r="A237" s="230" t="s">
        <v>1422</v>
      </c>
      <c r="B237" s="343" t="str">
        <f>"03.0506"</f>
        <v>03.0506</v>
      </c>
      <c r="C237" s="75" t="s">
        <v>1683</v>
      </c>
      <c r="D237" s="127" t="s">
        <v>1684</v>
      </c>
      <c r="E237" s="232"/>
    </row>
    <row r="238" spans="1:5" ht="14.55" customHeight="1" outlineLevel="1" x14ac:dyDescent="0.25">
      <c r="A238" s="230" t="s">
        <v>1422</v>
      </c>
      <c r="B238" s="343" t="str">
        <f>"03.0508"</f>
        <v>03.0508</v>
      </c>
      <c r="C238" s="75" t="s">
        <v>1685</v>
      </c>
      <c r="D238" s="127" t="s">
        <v>1686</v>
      </c>
      <c r="E238" s="232"/>
    </row>
    <row r="239" spans="1:5" ht="14.55" customHeight="1" outlineLevel="1" x14ac:dyDescent="0.25">
      <c r="A239" s="230" t="s">
        <v>1422</v>
      </c>
      <c r="B239" s="343" t="str">
        <f>"03.0509"</f>
        <v>03.0509</v>
      </c>
      <c r="C239" s="75" t="s">
        <v>1687</v>
      </c>
      <c r="D239" s="127" t="s">
        <v>1688</v>
      </c>
      <c r="E239" s="232"/>
    </row>
    <row r="240" spans="1:5" ht="14.55" customHeight="1" outlineLevel="1" x14ac:dyDescent="0.25">
      <c r="A240" s="230" t="s">
        <v>1422</v>
      </c>
      <c r="B240" s="343" t="str">
        <f>"03.0510"</f>
        <v>03.0510</v>
      </c>
      <c r="C240" s="75" t="s">
        <v>1689</v>
      </c>
      <c r="D240" s="127" t="s">
        <v>1690</v>
      </c>
      <c r="E240" s="232"/>
    </row>
    <row r="241" spans="1:5" ht="14.55" customHeight="1" outlineLevel="1" x14ac:dyDescent="0.25">
      <c r="A241" s="230" t="s">
        <v>1422</v>
      </c>
      <c r="B241" s="343" t="str">
        <f>"03.0511"</f>
        <v>03.0511</v>
      </c>
      <c r="C241" s="75" t="s">
        <v>1691</v>
      </c>
      <c r="D241" s="127" t="s">
        <v>1692</v>
      </c>
      <c r="E241" s="232"/>
    </row>
    <row r="242" spans="1:5" ht="14.55" customHeight="1" outlineLevel="1" x14ac:dyDescent="0.25">
      <c r="A242" s="230" t="s">
        <v>1422</v>
      </c>
      <c r="B242" s="343" t="str">
        <f>"03.0599"</f>
        <v>03.0599</v>
      </c>
      <c r="C242" s="75" t="s">
        <v>1693</v>
      </c>
      <c r="D242" s="127" t="s">
        <v>1694</v>
      </c>
      <c r="E242" s="232"/>
    </row>
    <row r="243" spans="1:5" ht="14.55" customHeight="1" outlineLevel="1" x14ac:dyDescent="0.25">
      <c r="A243" s="230" t="s">
        <v>1422</v>
      </c>
      <c r="B243" s="343" t="str">
        <f>"03.06"</f>
        <v>03.06</v>
      </c>
      <c r="C243" s="75" t="s">
        <v>1695</v>
      </c>
      <c r="D243" s="127" t="s">
        <v>1696</v>
      </c>
      <c r="E243" s="232"/>
    </row>
    <row r="244" spans="1:5" ht="14.55" customHeight="1" outlineLevel="1" x14ac:dyDescent="0.25">
      <c r="A244" s="230" t="s">
        <v>1422</v>
      </c>
      <c r="B244" s="343" t="str">
        <f>"03.0601"</f>
        <v>03.0601</v>
      </c>
      <c r="C244" s="75" t="s">
        <v>1697</v>
      </c>
      <c r="D244" s="127" t="s">
        <v>1698</v>
      </c>
      <c r="E244" s="232"/>
    </row>
    <row r="245" spans="1:5" ht="14.55" customHeight="1" outlineLevel="1" x14ac:dyDescent="0.25">
      <c r="A245" s="230" t="s">
        <v>1422</v>
      </c>
      <c r="B245" s="343" t="str">
        <f>"03.99"</f>
        <v>03.99</v>
      </c>
      <c r="C245" s="75" t="s">
        <v>1699</v>
      </c>
      <c r="D245" s="127" t="s">
        <v>1700</v>
      </c>
      <c r="E245" s="232"/>
    </row>
    <row r="246" spans="1:5" ht="14.55" customHeight="1" outlineLevel="1" x14ac:dyDescent="0.25">
      <c r="A246" s="230" t="s">
        <v>1422</v>
      </c>
      <c r="B246" s="343" t="str">
        <f>"03.9999"</f>
        <v>03.9999</v>
      </c>
      <c r="C246" s="75" t="s">
        <v>1699</v>
      </c>
      <c r="D246" s="127" t="s">
        <v>1701</v>
      </c>
      <c r="E246" s="232"/>
    </row>
    <row r="247" spans="1:5" ht="14.55" customHeight="1" outlineLevel="1" x14ac:dyDescent="0.25">
      <c r="A247" s="230" t="s">
        <v>1422</v>
      </c>
      <c r="B247" s="343" t="str">
        <f>"04"</f>
        <v>04</v>
      </c>
      <c r="C247" s="75" t="s">
        <v>1702</v>
      </c>
      <c r="D247" s="127" t="s">
        <v>1703</v>
      </c>
      <c r="E247" s="232"/>
    </row>
    <row r="248" spans="1:5" ht="14.55" customHeight="1" outlineLevel="1" x14ac:dyDescent="0.25">
      <c r="A248" s="230" t="s">
        <v>1422</v>
      </c>
      <c r="B248" s="343" t="str">
        <f>"04.02"</f>
        <v>04.02</v>
      </c>
      <c r="C248" s="75" t="s">
        <v>1704</v>
      </c>
      <c r="D248" s="127" t="s">
        <v>1705</v>
      </c>
      <c r="E248" s="232"/>
    </row>
    <row r="249" spans="1:5" ht="14.55" customHeight="1" outlineLevel="1" x14ac:dyDescent="0.25">
      <c r="A249" s="230" t="s">
        <v>1422</v>
      </c>
      <c r="B249" s="343" t="str">
        <f>"04.0200"</f>
        <v>04.0200</v>
      </c>
      <c r="C249" s="75" t="s">
        <v>1706</v>
      </c>
      <c r="D249" s="127" t="s">
        <v>1707</v>
      </c>
      <c r="E249" s="232"/>
    </row>
    <row r="250" spans="1:5" ht="14.55" customHeight="1" outlineLevel="1" x14ac:dyDescent="0.25">
      <c r="A250" s="230" t="s">
        <v>1422</v>
      </c>
      <c r="B250" s="343" t="str">
        <f>"04.0201"</f>
        <v>04.0201</v>
      </c>
      <c r="C250" s="75" t="s">
        <v>1704</v>
      </c>
      <c r="D250" s="127" t="s">
        <v>1708</v>
      </c>
      <c r="E250" s="232"/>
    </row>
    <row r="251" spans="1:5" ht="14.55" customHeight="1" outlineLevel="1" x14ac:dyDescent="0.25">
      <c r="A251" s="230" t="s">
        <v>1422</v>
      </c>
      <c r="B251" s="343" t="str">
        <f>"04.0202"</f>
        <v>04.0202</v>
      </c>
      <c r="C251" s="75" t="s">
        <v>1709</v>
      </c>
      <c r="D251" s="127" t="s">
        <v>1710</v>
      </c>
      <c r="E251" s="232"/>
    </row>
    <row r="252" spans="1:5" ht="14.55" customHeight="1" outlineLevel="1" x14ac:dyDescent="0.25">
      <c r="A252" s="230" t="s">
        <v>1422</v>
      </c>
      <c r="B252" s="343" t="str">
        <f>"04.0299"</f>
        <v>04.0299</v>
      </c>
      <c r="C252" s="75" t="s">
        <v>1711</v>
      </c>
      <c r="D252" s="127" t="s">
        <v>1712</v>
      </c>
      <c r="E252" s="232"/>
    </row>
    <row r="253" spans="1:5" ht="14.55" customHeight="1" outlineLevel="1" x14ac:dyDescent="0.25">
      <c r="A253" s="230" t="s">
        <v>1422</v>
      </c>
      <c r="B253" s="343" t="str">
        <f>"04.03"</f>
        <v>04.03</v>
      </c>
      <c r="C253" s="75" t="s">
        <v>1713</v>
      </c>
      <c r="D253" s="127" t="s">
        <v>1714</v>
      </c>
      <c r="E253" s="232"/>
    </row>
    <row r="254" spans="1:5" ht="14.55" customHeight="1" outlineLevel="1" x14ac:dyDescent="0.25">
      <c r="A254" s="230" t="s">
        <v>1422</v>
      </c>
      <c r="B254" s="343" t="str">
        <f>"04.0301"</f>
        <v>04.0301</v>
      </c>
      <c r="C254" s="75" t="s">
        <v>1713</v>
      </c>
      <c r="D254" s="127" t="s">
        <v>1715</v>
      </c>
      <c r="E254" s="232"/>
    </row>
    <row r="255" spans="1:5" ht="14.55" customHeight="1" outlineLevel="1" x14ac:dyDescent="0.25">
      <c r="A255" s="230" t="s">
        <v>1422</v>
      </c>
      <c r="B255" s="343" t="str">
        <f>"04.04"</f>
        <v>04.04</v>
      </c>
      <c r="C255" s="75" t="s">
        <v>1716</v>
      </c>
      <c r="D255" s="127" t="s">
        <v>1717</v>
      </c>
      <c r="E255" s="232"/>
    </row>
    <row r="256" spans="1:5" ht="14.55" customHeight="1" outlineLevel="1" x14ac:dyDescent="0.25">
      <c r="A256" s="230" t="s">
        <v>1422</v>
      </c>
      <c r="B256" s="343" t="str">
        <f>"04.0401"</f>
        <v>04.0401</v>
      </c>
      <c r="C256" s="75" t="s">
        <v>1718</v>
      </c>
      <c r="D256" s="127" t="s">
        <v>1719</v>
      </c>
      <c r="E256" s="232"/>
    </row>
    <row r="257" spans="1:5" ht="14.55" customHeight="1" outlineLevel="1" x14ac:dyDescent="0.25">
      <c r="A257" s="230" t="s">
        <v>1422</v>
      </c>
      <c r="B257" s="343" t="str">
        <f>"04.0402"</f>
        <v>04.0402</v>
      </c>
      <c r="C257" s="75" t="s">
        <v>1720</v>
      </c>
      <c r="D257" s="127" t="s">
        <v>1721</v>
      </c>
      <c r="E257" s="232"/>
    </row>
    <row r="258" spans="1:5" ht="14.55" customHeight="1" outlineLevel="1" x14ac:dyDescent="0.25">
      <c r="A258" s="230" t="s">
        <v>1422</v>
      </c>
      <c r="B258" s="343" t="str">
        <f>"04.0403"</f>
        <v>04.0403</v>
      </c>
      <c r="C258" s="75" t="s">
        <v>1722</v>
      </c>
      <c r="D258" s="127" t="s">
        <v>1723</v>
      </c>
      <c r="E258" s="232"/>
    </row>
    <row r="259" spans="1:5" ht="14.55" customHeight="1" outlineLevel="1" x14ac:dyDescent="0.25">
      <c r="A259" s="230" t="s">
        <v>1422</v>
      </c>
      <c r="B259" s="343" t="str">
        <f>"04.0499"</f>
        <v>04.0499</v>
      </c>
      <c r="C259" s="75" t="s">
        <v>1724</v>
      </c>
      <c r="D259" s="127" t="s">
        <v>1725</v>
      </c>
      <c r="E259" s="232"/>
    </row>
    <row r="260" spans="1:5" ht="14.55" customHeight="1" outlineLevel="1" x14ac:dyDescent="0.25">
      <c r="A260" s="230" t="s">
        <v>1422</v>
      </c>
      <c r="B260" s="343" t="str">
        <f>"04.05"</f>
        <v>04.05</v>
      </c>
      <c r="C260" s="75" t="s">
        <v>1726</v>
      </c>
      <c r="D260" s="127" t="s">
        <v>1727</v>
      </c>
      <c r="E260" s="232"/>
    </row>
    <row r="261" spans="1:5" ht="14.55" customHeight="1" outlineLevel="1" x14ac:dyDescent="0.25">
      <c r="A261" s="230" t="s">
        <v>1422</v>
      </c>
      <c r="B261" s="343" t="str">
        <f>"04.0501"</f>
        <v>04.0501</v>
      </c>
      <c r="C261" s="75" t="s">
        <v>1726</v>
      </c>
      <c r="D261" s="127" t="s">
        <v>1728</v>
      </c>
      <c r="E261" s="232"/>
    </row>
    <row r="262" spans="1:5" ht="14.55" customHeight="1" outlineLevel="1" x14ac:dyDescent="0.25">
      <c r="A262" s="230" t="s">
        <v>1422</v>
      </c>
      <c r="B262" s="343" t="str">
        <f>"04.06"</f>
        <v>04.06</v>
      </c>
      <c r="C262" s="75" t="s">
        <v>1729</v>
      </c>
      <c r="D262" s="127" t="s">
        <v>1730</v>
      </c>
      <c r="E262" s="232"/>
    </row>
    <row r="263" spans="1:5" ht="14.55" customHeight="1" outlineLevel="1" x14ac:dyDescent="0.25">
      <c r="A263" s="230" t="s">
        <v>1422</v>
      </c>
      <c r="B263" s="343" t="str">
        <f>"04.0601"</f>
        <v>04.0601</v>
      </c>
      <c r="C263" s="75" t="s">
        <v>1729</v>
      </c>
      <c r="D263" s="127" t="s">
        <v>1731</v>
      </c>
      <c r="E263" s="232"/>
    </row>
    <row r="264" spans="1:5" ht="14.55" customHeight="1" outlineLevel="1" x14ac:dyDescent="0.25">
      <c r="A264" s="230" t="s">
        <v>1422</v>
      </c>
      <c r="B264" s="343" t="str">
        <f>"04.08"</f>
        <v>04.08</v>
      </c>
      <c r="C264" s="75" t="s">
        <v>1732</v>
      </c>
      <c r="D264" s="127" t="s">
        <v>1733</v>
      </c>
      <c r="E264" s="232"/>
    </row>
    <row r="265" spans="1:5" ht="14.55" customHeight="1" outlineLevel="1" x14ac:dyDescent="0.25">
      <c r="A265" s="230" t="s">
        <v>1422</v>
      </c>
      <c r="B265" s="343" t="str">
        <f>"04.0801"</f>
        <v>04.0801</v>
      </c>
      <c r="C265" s="75" t="s">
        <v>1734</v>
      </c>
      <c r="D265" s="127" t="s">
        <v>1735</v>
      </c>
      <c r="E265" s="232"/>
    </row>
    <row r="266" spans="1:5" ht="14.55" customHeight="1" outlineLevel="1" x14ac:dyDescent="0.25">
      <c r="A266" s="230" t="s">
        <v>1422</v>
      </c>
      <c r="B266" s="343" t="str">
        <f>"04.0802"</f>
        <v>04.0802</v>
      </c>
      <c r="C266" s="75" t="s">
        <v>1736</v>
      </c>
      <c r="D266" s="127" t="s">
        <v>1737</v>
      </c>
      <c r="E266" s="232"/>
    </row>
    <row r="267" spans="1:5" ht="14.55" customHeight="1" outlineLevel="1" x14ac:dyDescent="0.25">
      <c r="A267" s="230" t="s">
        <v>1422</v>
      </c>
      <c r="B267" s="343" t="str">
        <f>"04.0803"</f>
        <v>04.0803</v>
      </c>
      <c r="C267" s="75" t="s">
        <v>1738</v>
      </c>
      <c r="D267" s="127" t="s">
        <v>1739</v>
      </c>
      <c r="E267" s="232"/>
    </row>
    <row r="268" spans="1:5" ht="14.55" customHeight="1" outlineLevel="1" x14ac:dyDescent="0.25">
      <c r="A268" s="230" t="s">
        <v>1422</v>
      </c>
      <c r="B268" s="343" t="str">
        <f>"04.0899"</f>
        <v>04.0899</v>
      </c>
      <c r="C268" s="75" t="s">
        <v>1740</v>
      </c>
      <c r="D268" s="127" t="s">
        <v>1741</v>
      </c>
      <c r="E268" s="232"/>
    </row>
    <row r="269" spans="1:5" ht="14.55" customHeight="1" outlineLevel="1" x14ac:dyDescent="0.25">
      <c r="A269" s="230" t="s">
        <v>1422</v>
      </c>
      <c r="B269" s="343" t="str">
        <f>"04.09"</f>
        <v>04.09</v>
      </c>
      <c r="C269" s="75" t="s">
        <v>1742</v>
      </c>
      <c r="D269" s="127" t="s">
        <v>1743</v>
      </c>
      <c r="E269" s="232"/>
    </row>
    <row r="270" spans="1:5" ht="14.55" customHeight="1" outlineLevel="1" x14ac:dyDescent="0.25">
      <c r="A270" s="230" t="s">
        <v>1422</v>
      </c>
      <c r="B270" s="343" t="str">
        <f>"04.0901"</f>
        <v>04.0901</v>
      </c>
      <c r="C270" s="75" t="s">
        <v>1744</v>
      </c>
      <c r="D270" s="127" t="s">
        <v>1745</v>
      </c>
      <c r="E270" s="232"/>
    </row>
    <row r="271" spans="1:5" ht="14.55" customHeight="1" outlineLevel="1" x14ac:dyDescent="0.25">
      <c r="A271" s="230" t="s">
        <v>1422</v>
      </c>
      <c r="B271" s="343" t="str">
        <f>"04.0902"</f>
        <v>04.0902</v>
      </c>
      <c r="C271" s="75" t="s">
        <v>1746</v>
      </c>
      <c r="D271" s="127" t="s">
        <v>1747</v>
      </c>
      <c r="E271" s="232"/>
    </row>
    <row r="272" spans="1:5" ht="14.55" customHeight="1" outlineLevel="1" x14ac:dyDescent="0.25">
      <c r="A272" s="230" t="s">
        <v>1422</v>
      </c>
      <c r="B272" s="343" t="str">
        <f>"04.0999"</f>
        <v>04.0999</v>
      </c>
      <c r="C272" s="75" t="s">
        <v>1748</v>
      </c>
      <c r="D272" s="127" t="s">
        <v>1749</v>
      </c>
      <c r="E272" s="232"/>
    </row>
    <row r="273" spans="1:5" ht="14.55" customHeight="1" outlineLevel="1" x14ac:dyDescent="0.25">
      <c r="A273" s="230" t="s">
        <v>1422</v>
      </c>
      <c r="B273" s="343" t="str">
        <f>"04.10"</f>
        <v>04.10</v>
      </c>
      <c r="C273" s="75" t="s">
        <v>1750</v>
      </c>
      <c r="D273" s="127" t="s">
        <v>1751</v>
      </c>
      <c r="E273" s="232"/>
    </row>
    <row r="274" spans="1:5" ht="14.55" customHeight="1" outlineLevel="1" x14ac:dyDescent="0.25">
      <c r="A274" s="230" t="s">
        <v>1422</v>
      </c>
      <c r="B274" s="343" t="str">
        <f>"04.1001"</f>
        <v>04.1001</v>
      </c>
      <c r="C274" s="75" t="s">
        <v>1750</v>
      </c>
      <c r="D274" s="127" t="s">
        <v>1752</v>
      </c>
      <c r="E274" s="232"/>
    </row>
    <row r="275" spans="1:5" ht="14.55" customHeight="1" outlineLevel="1" x14ac:dyDescent="0.25">
      <c r="A275" s="230" t="s">
        <v>1422</v>
      </c>
      <c r="B275" s="343" t="str">
        <f>"04.99"</f>
        <v>04.99</v>
      </c>
      <c r="C275" s="75" t="s">
        <v>1753</v>
      </c>
      <c r="D275" s="127" t="s">
        <v>1754</v>
      </c>
      <c r="E275" s="232"/>
    </row>
    <row r="276" spans="1:5" ht="14.55" customHeight="1" outlineLevel="1" x14ac:dyDescent="0.25">
      <c r="A276" s="230" t="s">
        <v>1422</v>
      </c>
      <c r="B276" s="343" t="str">
        <f>"04.9999"</f>
        <v>04.9999</v>
      </c>
      <c r="C276" s="75" t="s">
        <v>1753</v>
      </c>
      <c r="D276" s="127" t="s">
        <v>1755</v>
      </c>
      <c r="E276" s="232"/>
    </row>
    <row r="277" spans="1:5" ht="14.55" customHeight="1" outlineLevel="1" x14ac:dyDescent="0.25">
      <c r="A277" s="230" t="s">
        <v>1422</v>
      </c>
      <c r="B277" s="343" t="str">
        <f>"05"</f>
        <v>05</v>
      </c>
      <c r="C277" s="75" t="s">
        <v>1756</v>
      </c>
      <c r="D277" s="127" t="s">
        <v>1757</v>
      </c>
      <c r="E277" s="232"/>
    </row>
    <row r="278" spans="1:5" ht="14.55" customHeight="1" outlineLevel="1" x14ac:dyDescent="0.25">
      <c r="A278" s="230" t="s">
        <v>1422</v>
      </c>
      <c r="B278" s="343" t="str">
        <f>"05.01"</f>
        <v>05.01</v>
      </c>
      <c r="C278" s="75" t="s">
        <v>1758</v>
      </c>
      <c r="D278" s="127" t="s">
        <v>1759</v>
      </c>
      <c r="E278" s="232"/>
    </row>
    <row r="279" spans="1:5" ht="14.55" customHeight="1" outlineLevel="1" x14ac:dyDescent="0.25">
      <c r="A279" s="230" t="s">
        <v>1422</v>
      </c>
      <c r="B279" s="343" t="str">
        <f>"05.0101"</f>
        <v>05.0101</v>
      </c>
      <c r="C279" s="75" t="s">
        <v>1760</v>
      </c>
      <c r="D279" s="127" t="s">
        <v>1761</v>
      </c>
      <c r="E279" s="232"/>
    </row>
    <row r="280" spans="1:5" ht="14.55" customHeight="1" outlineLevel="1" x14ac:dyDescent="0.25">
      <c r="A280" s="230" t="s">
        <v>1422</v>
      </c>
      <c r="B280" s="343" t="str">
        <f>"05.0102"</f>
        <v>05.0102</v>
      </c>
      <c r="C280" s="75" t="s">
        <v>1762</v>
      </c>
      <c r="D280" s="127" t="s">
        <v>1763</v>
      </c>
      <c r="E280" s="232"/>
    </row>
    <row r="281" spans="1:5" ht="14.55" customHeight="1" outlineLevel="1" x14ac:dyDescent="0.25">
      <c r="A281" s="230" t="s">
        <v>1422</v>
      </c>
      <c r="B281" s="343" t="str">
        <f>"05.0103"</f>
        <v>05.0103</v>
      </c>
      <c r="C281" s="75" t="s">
        <v>1764</v>
      </c>
      <c r="D281" s="127" t="s">
        <v>1765</v>
      </c>
      <c r="E281" s="232"/>
    </row>
    <row r="282" spans="1:5" ht="14.55" customHeight="1" outlineLevel="1" x14ac:dyDescent="0.25">
      <c r="A282" s="230" t="s">
        <v>1422</v>
      </c>
      <c r="B282" s="343" t="str">
        <f>"05.0104"</f>
        <v>05.0104</v>
      </c>
      <c r="C282" s="75" t="s">
        <v>1766</v>
      </c>
      <c r="D282" s="127" t="s">
        <v>1767</v>
      </c>
      <c r="E282" s="232"/>
    </row>
    <row r="283" spans="1:5" ht="14.55" customHeight="1" outlineLevel="1" x14ac:dyDescent="0.25">
      <c r="A283" s="230" t="s">
        <v>1422</v>
      </c>
      <c r="B283" s="343" t="str">
        <f>"05.0105"</f>
        <v>05.0105</v>
      </c>
      <c r="C283" s="75" t="s">
        <v>1768</v>
      </c>
      <c r="D283" s="127" t="s">
        <v>1769</v>
      </c>
      <c r="E283" s="232"/>
    </row>
    <row r="284" spans="1:5" ht="14.55" customHeight="1" outlineLevel="1" x14ac:dyDescent="0.25">
      <c r="A284" s="230" t="s">
        <v>1422</v>
      </c>
      <c r="B284" s="343" t="str">
        <f>"05.0106"</f>
        <v>05.0106</v>
      </c>
      <c r="C284" s="75" t="s">
        <v>1770</v>
      </c>
      <c r="D284" s="127" t="s">
        <v>1771</v>
      </c>
      <c r="E284" s="232"/>
    </row>
    <row r="285" spans="1:5" ht="14.55" customHeight="1" outlineLevel="1" x14ac:dyDescent="0.25">
      <c r="A285" s="230" t="s">
        <v>1422</v>
      </c>
      <c r="B285" s="343" t="str">
        <f>"05.0107"</f>
        <v>05.0107</v>
      </c>
      <c r="C285" s="75" t="s">
        <v>1772</v>
      </c>
      <c r="D285" s="127" t="s">
        <v>1773</v>
      </c>
      <c r="E285" s="232"/>
    </row>
    <row r="286" spans="1:5" ht="14.55" customHeight="1" outlineLevel="1" x14ac:dyDescent="0.25">
      <c r="A286" s="230" t="s">
        <v>1422</v>
      </c>
      <c r="B286" s="343" t="str">
        <f>"05.0108"</f>
        <v>05.0108</v>
      </c>
      <c r="C286" s="75" t="s">
        <v>1774</v>
      </c>
      <c r="D286" s="127" t="s">
        <v>1775</v>
      </c>
      <c r="E286" s="232"/>
    </row>
    <row r="287" spans="1:5" ht="14.55" customHeight="1" outlineLevel="1" x14ac:dyDescent="0.25">
      <c r="A287" s="230" t="s">
        <v>1422</v>
      </c>
      <c r="B287" s="343" t="str">
        <f>"05.0109"</f>
        <v>05.0109</v>
      </c>
      <c r="C287" s="75" t="s">
        <v>1776</v>
      </c>
      <c r="D287" s="127" t="s">
        <v>1777</v>
      </c>
      <c r="E287" s="232"/>
    </row>
    <row r="288" spans="1:5" ht="14.55" customHeight="1" outlineLevel="1" x14ac:dyDescent="0.25">
      <c r="A288" s="230" t="s">
        <v>1422</v>
      </c>
      <c r="B288" s="343" t="str">
        <f>"05.0110"</f>
        <v>05.0110</v>
      </c>
      <c r="C288" s="75" t="s">
        <v>1778</v>
      </c>
      <c r="D288" s="127" t="s">
        <v>1779</v>
      </c>
      <c r="E288" s="232"/>
    </row>
    <row r="289" spans="1:5" ht="14.55" customHeight="1" outlineLevel="1" x14ac:dyDescent="0.25">
      <c r="A289" s="230" t="s">
        <v>1422</v>
      </c>
      <c r="B289" s="343" t="str">
        <f>"05.0111"</f>
        <v>05.0111</v>
      </c>
      <c r="C289" s="75" t="s">
        <v>1780</v>
      </c>
      <c r="D289" s="127" t="s">
        <v>1781</v>
      </c>
      <c r="E289" s="232"/>
    </row>
    <row r="290" spans="1:5" ht="14.55" customHeight="1" outlineLevel="1" x14ac:dyDescent="0.25">
      <c r="A290" s="230" t="s">
        <v>1422</v>
      </c>
      <c r="B290" s="343" t="str">
        <f>"05.0112"</f>
        <v>05.0112</v>
      </c>
      <c r="C290" s="75" t="s">
        <v>1782</v>
      </c>
      <c r="D290" s="127" t="s">
        <v>1783</v>
      </c>
      <c r="E290" s="232"/>
    </row>
    <row r="291" spans="1:5" ht="14.55" customHeight="1" outlineLevel="1" x14ac:dyDescent="0.25">
      <c r="A291" s="230" t="s">
        <v>1422</v>
      </c>
      <c r="B291" s="343" t="str">
        <f>"05.0113"</f>
        <v>05.0113</v>
      </c>
      <c r="C291" s="75" t="s">
        <v>1784</v>
      </c>
      <c r="D291" s="127" t="s">
        <v>1785</v>
      </c>
      <c r="E291" s="232"/>
    </row>
    <row r="292" spans="1:5" ht="14.55" customHeight="1" outlineLevel="1" x14ac:dyDescent="0.25">
      <c r="A292" s="230" t="s">
        <v>1422</v>
      </c>
      <c r="B292" s="343" t="str">
        <f>"05.0114"</f>
        <v>05.0114</v>
      </c>
      <c r="C292" s="75" t="s">
        <v>1786</v>
      </c>
      <c r="D292" s="127" t="s">
        <v>1787</v>
      </c>
      <c r="E292" s="232"/>
    </row>
    <row r="293" spans="1:5" ht="14.55" customHeight="1" outlineLevel="1" x14ac:dyDescent="0.25">
      <c r="A293" s="230" t="s">
        <v>1422</v>
      </c>
      <c r="B293" s="343" t="str">
        <f>"05.0115"</f>
        <v>05.0115</v>
      </c>
      <c r="C293" s="75" t="s">
        <v>1788</v>
      </c>
      <c r="D293" s="127" t="s">
        <v>1789</v>
      </c>
      <c r="E293" s="232"/>
    </row>
    <row r="294" spans="1:5" ht="14.55" customHeight="1" outlineLevel="1" x14ac:dyDescent="0.25">
      <c r="A294" s="230" t="s">
        <v>1422</v>
      </c>
      <c r="B294" s="343" t="str">
        <f>"05.0116"</f>
        <v>05.0116</v>
      </c>
      <c r="C294" s="75" t="s">
        <v>1790</v>
      </c>
      <c r="D294" s="127" t="s">
        <v>1791</v>
      </c>
      <c r="E294" s="232"/>
    </row>
    <row r="295" spans="1:5" ht="14.55" customHeight="1" outlineLevel="1" x14ac:dyDescent="0.25">
      <c r="A295" s="230" t="s">
        <v>1422</v>
      </c>
      <c r="B295" s="343" t="str">
        <f>"05.0117"</f>
        <v>05.0117</v>
      </c>
      <c r="C295" s="75" t="s">
        <v>1792</v>
      </c>
      <c r="D295" s="127" t="s">
        <v>1793</v>
      </c>
      <c r="E295" s="232"/>
    </row>
    <row r="296" spans="1:5" ht="14.55" customHeight="1" outlineLevel="1" x14ac:dyDescent="0.25">
      <c r="A296" s="230" t="s">
        <v>1422</v>
      </c>
      <c r="B296" s="343" t="str">
        <f>"05.0118"</f>
        <v>05.0118</v>
      </c>
      <c r="C296" s="75" t="s">
        <v>1794</v>
      </c>
      <c r="D296" s="127" t="s">
        <v>1795</v>
      </c>
      <c r="E296" s="232"/>
    </row>
    <row r="297" spans="1:5" ht="14.55" customHeight="1" outlineLevel="1" x14ac:dyDescent="0.25">
      <c r="A297" s="230" t="s">
        <v>1422</v>
      </c>
      <c r="B297" s="343" t="str">
        <f>"05.0119"</f>
        <v>05.0119</v>
      </c>
      <c r="C297" s="75" t="s">
        <v>1796</v>
      </c>
      <c r="D297" s="127" t="s">
        <v>1797</v>
      </c>
      <c r="E297" s="232"/>
    </row>
    <row r="298" spans="1:5" ht="14.55" customHeight="1" outlineLevel="1" x14ac:dyDescent="0.25">
      <c r="A298" s="230" t="s">
        <v>1422</v>
      </c>
      <c r="B298" s="343" t="str">
        <f>"05.0120"</f>
        <v>05.0120</v>
      </c>
      <c r="C298" s="75" t="s">
        <v>1798</v>
      </c>
      <c r="D298" s="127" t="s">
        <v>1799</v>
      </c>
      <c r="E298" s="232"/>
    </row>
    <row r="299" spans="1:5" ht="14.55" customHeight="1" outlineLevel="1" x14ac:dyDescent="0.25">
      <c r="A299" s="230" t="s">
        <v>1422</v>
      </c>
      <c r="B299" s="343" t="str">
        <f>"05.0121"</f>
        <v>05.0121</v>
      </c>
      <c r="C299" s="75" t="s">
        <v>1800</v>
      </c>
      <c r="D299" s="127" t="s">
        <v>1801</v>
      </c>
      <c r="E299" s="232"/>
    </row>
    <row r="300" spans="1:5" ht="14.55" customHeight="1" outlineLevel="1" x14ac:dyDescent="0.25">
      <c r="A300" s="230" t="s">
        <v>1422</v>
      </c>
      <c r="B300" s="343" t="str">
        <f>"05.0122"</f>
        <v>05.0122</v>
      </c>
      <c r="C300" s="75" t="s">
        <v>1802</v>
      </c>
      <c r="D300" s="127" t="s">
        <v>1803</v>
      </c>
      <c r="E300" s="232"/>
    </row>
    <row r="301" spans="1:5" s="206" customFormat="1" ht="14.55" customHeight="1" outlineLevel="1" x14ac:dyDescent="0.25">
      <c r="A301" s="230" t="s">
        <v>1422</v>
      </c>
      <c r="B301" s="343" t="str">
        <f>"05.0123"</f>
        <v>05.0123</v>
      </c>
      <c r="C301" s="75" t="s">
        <v>1804</v>
      </c>
      <c r="D301" s="127" t="s">
        <v>1805</v>
      </c>
      <c r="E301" s="232"/>
    </row>
    <row r="302" spans="1:5" s="206" customFormat="1" ht="14.55" customHeight="1" outlineLevel="1" x14ac:dyDescent="0.25">
      <c r="A302" s="230" t="s">
        <v>1422</v>
      </c>
      <c r="B302" s="343" t="str">
        <f>"05.0124"</f>
        <v>05.0124</v>
      </c>
      <c r="C302" s="75" t="s">
        <v>1806</v>
      </c>
      <c r="D302" s="127" t="s">
        <v>1807</v>
      </c>
      <c r="E302" s="232"/>
    </row>
    <row r="303" spans="1:5" ht="14.55" customHeight="1" outlineLevel="1" x14ac:dyDescent="0.25">
      <c r="A303" s="230" t="s">
        <v>1422</v>
      </c>
      <c r="B303" s="343" t="str">
        <f>"05.0125"</f>
        <v>05.0125</v>
      </c>
      <c r="C303" s="75" t="s">
        <v>1808</v>
      </c>
      <c r="D303" s="127" t="s">
        <v>1809</v>
      </c>
      <c r="E303" s="232"/>
    </row>
    <row r="304" spans="1:5" ht="14.55" customHeight="1" outlineLevel="1" x14ac:dyDescent="0.25">
      <c r="A304" s="230" t="s">
        <v>1422</v>
      </c>
      <c r="B304" s="343" t="str">
        <f>"05.0126"</f>
        <v>05.0126</v>
      </c>
      <c r="C304" s="75" t="s">
        <v>1810</v>
      </c>
      <c r="D304" s="127" t="s">
        <v>1811</v>
      </c>
      <c r="E304" s="232"/>
    </row>
    <row r="305" spans="1:5" ht="14.55" customHeight="1" outlineLevel="1" x14ac:dyDescent="0.25">
      <c r="A305" s="230" t="s">
        <v>1422</v>
      </c>
      <c r="B305" s="343" t="str">
        <f>"05.0127"</f>
        <v>05.0127</v>
      </c>
      <c r="C305" s="75" t="s">
        <v>1812</v>
      </c>
      <c r="D305" s="127" t="s">
        <v>1813</v>
      </c>
      <c r="E305" s="232"/>
    </row>
    <row r="306" spans="1:5" ht="14.55" customHeight="1" outlineLevel="1" x14ac:dyDescent="0.25">
      <c r="A306" s="230" t="s">
        <v>1422</v>
      </c>
      <c r="B306" s="343" t="str">
        <f>"05.0128"</f>
        <v>05.0128</v>
      </c>
      <c r="C306" s="75" t="s">
        <v>1814</v>
      </c>
      <c r="D306" s="127" t="s">
        <v>1815</v>
      </c>
      <c r="E306" s="232"/>
    </row>
    <row r="307" spans="1:5" ht="14.55" customHeight="1" outlineLevel="1" x14ac:dyDescent="0.25">
      <c r="A307" s="230" t="s">
        <v>1422</v>
      </c>
      <c r="B307" s="343" t="str">
        <f>"05.0129"</f>
        <v>05.0129</v>
      </c>
      <c r="C307" s="75" t="s">
        <v>1816</v>
      </c>
      <c r="D307" s="127" t="s">
        <v>1817</v>
      </c>
      <c r="E307" s="232"/>
    </row>
    <row r="308" spans="1:5" ht="14.55" customHeight="1" outlineLevel="1" x14ac:dyDescent="0.25">
      <c r="A308" s="230" t="s">
        <v>1422</v>
      </c>
      <c r="B308" s="343" t="str">
        <f>"05.0130"</f>
        <v>05.0130</v>
      </c>
      <c r="C308" s="75" t="s">
        <v>1818</v>
      </c>
      <c r="D308" s="127" t="s">
        <v>1819</v>
      </c>
      <c r="E308" s="232"/>
    </row>
    <row r="309" spans="1:5" ht="14.55" customHeight="1" outlineLevel="1" x14ac:dyDescent="0.25">
      <c r="A309" s="230" t="s">
        <v>1422</v>
      </c>
      <c r="B309" s="343" t="str">
        <f>"05.0131"</f>
        <v>05.0131</v>
      </c>
      <c r="C309" s="75" t="s">
        <v>1820</v>
      </c>
      <c r="D309" s="127" t="s">
        <v>1821</v>
      </c>
      <c r="E309" s="232"/>
    </row>
    <row r="310" spans="1:5" ht="14.55" customHeight="1" outlineLevel="1" x14ac:dyDescent="0.25">
      <c r="A310" s="230" t="s">
        <v>1422</v>
      </c>
      <c r="B310" s="343" t="str">
        <f>"05.0132"</f>
        <v>05.0132</v>
      </c>
      <c r="C310" s="75" t="s">
        <v>1822</v>
      </c>
      <c r="D310" s="127" t="s">
        <v>1823</v>
      </c>
      <c r="E310" s="232"/>
    </row>
    <row r="311" spans="1:5" ht="14.55" customHeight="1" outlineLevel="1" x14ac:dyDescent="0.25">
      <c r="A311" s="230" t="s">
        <v>1422</v>
      </c>
      <c r="B311" s="343" t="str">
        <f>"05.0133"</f>
        <v>05.0133</v>
      </c>
      <c r="C311" s="75" t="s">
        <v>1824</v>
      </c>
      <c r="D311" s="127" t="s">
        <v>1825</v>
      </c>
      <c r="E311" s="232"/>
    </row>
    <row r="312" spans="1:5" ht="14.55" customHeight="1" outlineLevel="1" x14ac:dyDescent="0.25">
      <c r="A312" s="230" t="s">
        <v>1422</v>
      </c>
      <c r="B312" s="343" t="str">
        <f>"05.0134"</f>
        <v>05.0134</v>
      </c>
      <c r="C312" s="75" t="s">
        <v>1826</v>
      </c>
      <c r="D312" s="127" t="s">
        <v>1827</v>
      </c>
      <c r="E312" s="232"/>
    </row>
    <row r="313" spans="1:5" ht="14.55" customHeight="1" outlineLevel="1" x14ac:dyDescent="0.25">
      <c r="A313" s="230" t="s">
        <v>1422</v>
      </c>
      <c r="B313" s="343" t="str">
        <f>"05.0135"</f>
        <v>05.0135</v>
      </c>
      <c r="C313" s="75" t="s">
        <v>1828</v>
      </c>
      <c r="D313" s="127" t="s">
        <v>1829</v>
      </c>
      <c r="E313" s="232"/>
    </row>
    <row r="314" spans="1:5" ht="14.55" customHeight="1" outlineLevel="1" x14ac:dyDescent="0.25">
      <c r="A314" s="230" t="s">
        <v>1422</v>
      </c>
      <c r="B314" s="343" t="str">
        <f>"05.0136"</f>
        <v>05.0136</v>
      </c>
      <c r="C314" s="75" t="s">
        <v>1830</v>
      </c>
      <c r="D314" s="127" t="s">
        <v>1831</v>
      </c>
      <c r="E314" s="232"/>
    </row>
    <row r="315" spans="1:5" ht="14.55" customHeight="1" outlineLevel="1" x14ac:dyDescent="0.25">
      <c r="A315" s="230" t="s">
        <v>1422</v>
      </c>
      <c r="B315" s="343" t="str">
        <f>"05.0199"</f>
        <v>05.0199</v>
      </c>
      <c r="C315" s="75" t="s">
        <v>1832</v>
      </c>
      <c r="D315" s="127" t="s">
        <v>1833</v>
      </c>
      <c r="E315" s="232"/>
    </row>
    <row r="316" spans="1:5" ht="14.55" customHeight="1" outlineLevel="1" x14ac:dyDescent="0.25">
      <c r="A316" s="230" t="s">
        <v>1422</v>
      </c>
      <c r="B316" s="343" t="str">
        <f>"05.02"</f>
        <v>05.02</v>
      </c>
      <c r="C316" s="75" t="s">
        <v>1834</v>
      </c>
      <c r="D316" s="127" t="s">
        <v>1835</v>
      </c>
      <c r="E316" s="232"/>
    </row>
    <row r="317" spans="1:5" ht="14.55" customHeight="1" outlineLevel="1" x14ac:dyDescent="0.25">
      <c r="A317" s="230" t="s">
        <v>1422</v>
      </c>
      <c r="B317" s="343" t="str">
        <f>"05.0200"</f>
        <v>05.0200</v>
      </c>
      <c r="C317" s="75" t="s">
        <v>1836</v>
      </c>
      <c r="D317" s="127" t="s">
        <v>1837</v>
      </c>
      <c r="E317" s="232"/>
    </row>
    <row r="318" spans="1:5" ht="14.55" customHeight="1" outlineLevel="1" x14ac:dyDescent="0.25">
      <c r="A318" s="230" t="s">
        <v>1422</v>
      </c>
      <c r="B318" s="343" t="str">
        <f>"05.0201"</f>
        <v>05.0201</v>
      </c>
      <c r="C318" s="75" t="s">
        <v>1838</v>
      </c>
      <c r="D318" s="127" t="s">
        <v>1839</v>
      </c>
      <c r="E318" s="232"/>
    </row>
    <row r="319" spans="1:5" ht="14.55" customHeight="1" outlineLevel="1" x14ac:dyDescent="0.25">
      <c r="A319" s="230" t="s">
        <v>1422</v>
      </c>
      <c r="B319" s="343" t="str">
        <f>"05.0202"</f>
        <v>05.0202</v>
      </c>
      <c r="C319" s="75" t="s">
        <v>1840</v>
      </c>
      <c r="D319" s="127" t="s">
        <v>1841</v>
      </c>
      <c r="E319" s="232"/>
    </row>
    <row r="320" spans="1:5" ht="14.55" customHeight="1" outlineLevel="1" x14ac:dyDescent="0.25">
      <c r="A320" s="230" t="s">
        <v>1422</v>
      </c>
      <c r="B320" s="343" t="str">
        <f>"05.0203"</f>
        <v>05.0203</v>
      </c>
      <c r="C320" s="75" t="s">
        <v>1842</v>
      </c>
      <c r="D320" s="127" t="s">
        <v>1843</v>
      </c>
      <c r="E320" s="232"/>
    </row>
    <row r="321" spans="1:1003" s="233" customFormat="1" ht="14.55" customHeight="1" outlineLevel="1" x14ac:dyDescent="0.25">
      <c r="A321" s="230" t="s">
        <v>1422</v>
      </c>
      <c r="B321" s="343" t="str">
        <f>"05.0206"</f>
        <v>05.0206</v>
      </c>
      <c r="C321" s="75" t="s">
        <v>1844</v>
      </c>
      <c r="D321" s="127" t="s">
        <v>1845</v>
      </c>
      <c r="E321" s="232"/>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75"/>
      <c r="DZ321" s="75"/>
      <c r="EA321" s="75"/>
      <c r="EB321" s="75"/>
      <c r="EC321" s="75"/>
      <c r="ED321" s="75"/>
      <c r="EE321" s="75"/>
      <c r="EF321" s="75"/>
      <c r="EG321" s="75"/>
      <c r="EH321" s="75"/>
      <c r="EI321" s="75"/>
      <c r="EJ321" s="75"/>
      <c r="EK321" s="75"/>
      <c r="EL321" s="75"/>
      <c r="EM321" s="75"/>
      <c r="EN321" s="75"/>
      <c r="EO321" s="75"/>
      <c r="EP321" s="75"/>
      <c r="EQ321" s="75"/>
      <c r="ER321" s="75"/>
      <c r="ES321" s="75"/>
      <c r="ET321" s="75"/>
      <c r="EU321" s="75"/>
      <c r="EV321" s="75"/>
      <c r="EW321" s="75"/>
      <c r="EX321" s="75"/>
      <c r="EY321" s="75"/>
      <c r="EZ321" s="75"/>
      <c r="FA321" s="75"/>
      <c r="FB321" s="75"/>
      <c r="FC321" s="75"/>
      <c r="FD321" s="75"/>
      <c r="FE321" s="75"/>
      <c r="FF321" s="75"/>
      <c r="FG321" s="75"/>
      <c r="FH321" s="75"/>
      <c r="FI321" s="75"/>
      <c r="FJ321" s="75"/>
      <c r="FK321" s="75"/>
      <c r="FL321" s="75"/>
      <c r="FM321" s="75"/>
      <c r="FN321" s="75"/>
      <c r="FO321" s="75"/>
      <c r="FP321" s="75"/>
      <c r="FQ321" s="75"/>
      <c r="FR321" s="75"/>
      <c r="FS321" s="75"/>
      <c r="FT321" s="75"/>
      <c r="FU321" s="75"/>
      <c r="FV321" s="75"/>
      <c r="FW321" s="75"/>
      <c r="FX321" s="75"/>
      <c r="FY321" s="75"/>
      <c r="FZ321" s="75"/>
      <c r="GA321" s="75"/>
      <c r="GB321" s="75"/>
      <c r="GC321" s="75"/>
      <c r="GD321" s="75"/>
      <c r="GE321" s="75"/>
      <c r="GF321" s="75"/>
      <c r="GG321" s="75"/>
      <c r="GH321" s="75"/>
      <c r="GI321" s="75"/>
      <c r="GJ321" s="75"/>
      <c r="GK321" s="75"/>
      <c r="GL321" s="75"/>
      <c r="GM321" s="75"/>
      <c r="GN321" s="75"/>
      <c r="GO321" s="75"/>
      <c r="GP321" s="75"/>
      <c r="GQ321" s="75"/>
      <c r="GR321" s="75"/>
      <c r="GS321" s="75"/>
      <c r="GT321" s="75"/>
      <c r="GU321" s="75"/>
      <c r="GV321" s="75"/>
      <c r="GW321" s="75"/>
      <c r="GX321" s="75"/>
      <c r="GY321" s="75"/>
      <c r="GZ321" s="75"/>
      <c r="HA321" s="75"/>
      <c r="HB321" s="75"/>
      <c r="HC321" s="75"/>
      <c r="HD321" s="75"/>
      <c r="HE321" s="75"/>
      <c r="HF321" s="75"/>
      <c r="HG321" s="75"/>
      <c r="HH321" s="75"/>
      <c r="HI321" s="75"/>
      <c r="HJ321" s="75"/>
      <c r="HK321" s="75"/>
      <c r="HL321" s="75"/>
      <c r="HM321" s="75"/>
      <c r="HN321" s="75"/>
      <c r="HO321" s="75"/>
      <c r="HP321" s="75"/>
      <c r="HQ321" s="75"/>
      <c r="HR321" s="75"/>
      <c r="HS321" s="75"/>
      <c r="HT321" s="75"/>
      <c r="HU321" s="75"/>
      <c r="HV321" s="75"/>
      <c r="HW321" s="75"/>
      <c r="HX321" s="75"/>
      <c r="HY321" s="75"/>
      <c r="HZ321" s="75"/>
      <c r="IA321" s="75"/>
      <c r="IB321" s="75"/>
      <c r="IC321" s="75"/>
      <c r="ID321" s="75"/>
      <c r="IE321" s="75"/>
      <c r="IF321" s="75"/>
      <c r="IG321" s="75"/>
      <c r="IH321" s="75"/>
      <c r="II321" s="75"/>
      <c r="IJ321" s="75"/>
      <c r="IK321" s="75"/>
      <c r="IL321" s="75"/>
      <c r="IM321" s="75"/>
      <c r="IN321" s="75"/>
      <c r="IO321" s="75"/>
      <c r="IP321" s="75"/>
      <c r="IQ321" s="75"/>
      <c r="IR321" s="75"/>
      <c r="IS321" s="75"/>
      <c r="IT321" s="75"/>
      <c r="IU321" s="75"/>
      <c r="IV321" s="75"/>
      <c r="IW321" s="75"/>
      <c r="IX321" s="75"/>
      <c r="IY321" s="75"/>
      <c r="IZ321" s="75"/>
      <c r="JA321" s="75"/>
      <c r="JB321" s="75"/>
      <c r="JC321" s="75"/>
      <c r="JD321" s="75"/>
      <c r="JE321" s="75"/>
      <c r="JF321" s="75"/>
      <c r="JG321" s="75"/>
      <c r="JH321" s="75"/>
      <c r="JI321" s="75"/>
      <c r="JJ321" s="75"/>
      <c r="JK321" s="75"/>
      <c r="JL321" s="75"/>
      <c r="JM321" s="75"/>
      <c r="JN321" s="75"/>
      <c r="JO321" s="75"/>
      <c r="JP321" s="75"/>
      <c r="JQ321" s="75"/>
      <c r="JR321" s="75"/>
      <c r="JS321" s="75"/>
      <c r="JT321" s="75"/>
      <c r="JU321" s="75"/>
      <c r="JV321" s="75"/>
      <c r="JW321" s="75"/>
      <c r="JX321" s="75"/>
      <c r="JY321" s="75"/>
      <c r="JZ321" s="75"/>
      <c r="KA321" s="75"/>
      <c r="KB321" s="75"/>
      <c r="KC321" s="75"/>
      <c r="KD321" s="75"/>
      <c r="KE321" s="75"/>
      <c r="KF321" s="75"/>
      <c r="KG321" s="75"/>
      <c r="KH321" s="75"/>
      <c r="KI321" s="75"/>
      <c r="KJ321" s="75"/>
      <c r="KK321" s="75"/>
      <c r="KL321" s="75"/>
      <c r="KM321" s="75"/>
      <c r="KN321" s="75"/>
      <c r="KO321" s="75"/>
      <c r="KP321" s="75"/>
      <c r="KQ321" s="75"/>
      <c r="KR321" s="75"/>
      <c r="KS321" s="75"/>
      <c r="KT321" s="75"/>
      <c r="KU321" s="75"/>
      <c r="KV321" s="75"/>
      <c r="KW321" s="75"/>
      <c r="KX321" s="75"/>
      <c r="KY321" s="75"/>
      <c r="KZ321" s="75"/>
      <c r="LA321" s="75"/>
      <c r="LB321" s="75"/>
      <c r="LC321" s="75"/>
      <c r="LD321" s="75"/>
      <c r="LE321" s="75"/>
      <c r="LF321" s="75"/>
      <c r="LG321" s="75"/>
      <c r="LH321" s="75"/>
      <c r="LI321" s="75"/>
      <c r="LJ321" s="75"/>
      <c r="LK321" s="75"/>
      <c r="LL321" s="75"/>
      <c r="LM321" s="75"/>
      <c r="LN321" s="75"/>
      <c r="LO321" s="75"/>
      <c r="LP321" s="75"/>
      <c r="LQ321" s="75"/>
      <c r="LR321" s="75"/>
      <c r="LS321" s="75"/>
      <c r="LT321" s="75"/>
      <c r="LU321" s="75"/>
      <c r="LV321" s="75"/>
      <c r="LW321" s="75"/>
      <c r="LX321" s="75"/>
      <c r="LY321" s="75"/>
      <c r="LZ321" s="75"/>
      <c r="MA321" s="75"/>
      <c r="MB321" s="75"/>
      <c r="MC321" s="75"/>
      <c r="MD321" s="75"/>
      <c r="ME321" s="75"/>
      <c r="MF321" s="75"/>
      <c r="MG321" s="75"/>
      <c r="MH321" s="75"/>
      <c r="MI321" s="75"/>
      <c r="MJ321" s="75"/>
      <c r="MK321" s="75"/>
      <c r="ML321" s="75"/>
      <c r="MM321" s="75"/>
      <c r="MN321" s="75"/>
      <c r="MO321" s="75"/>
      <c r="MP321" s="75"/>
      <c r="MQ321" s="75"/>
      <c r="MR321" s="75"/>
      <c r="MS321" s="75"/>
      <c r="MT321" s="75"/>
      <c r="MU321" s="75"/>
      <c r="MV321" s="75"/>
      <c r="MW321" s="75"/>
      <c r="MX321" s="75"/>
      <c r="MY321" s="75"/>
      <c r="MZ321" s="75"/>
      <c r="NA321" s="75"/>
      <c r="NB321" s="75"/>
      <c r="NC321" s="75"/>
      <c r="ND321" s="75"/>
      <c r="NE321" s="75"/>
      <c r="NF321" s="75"/>
      <c r="NG321" s="75"/>
      <c r="NH321" s="75"/>
      <c r="NI321" s="75"/>
      <c r="NJ321" s="75"/>
      <c r="NK321" s="75"/>
      <c r="NL321" s="75"/>
      <c r="NM321" s="75"/>
      <c r="NN321" s="75"/>
      <c r="NO321" s="75"/>
      <c r="NP321" s="75"/>
      <c r="NQ321" s="75"/>
      <c r="NR321" s="75"/>
      <c r="NS321" s="75"/>
      <c r="NT321" s="75"/>
      <c r="NU321" s="75"/>
      <c r="NV321" s="75"/>
      <c r="NW321" s="75"/>
      <c r="NX321" s="75"/>
      <c r="NY321" s="75"/>
      <c r="NZ321" s="75"/>
      <c r="OA321" s="75"/>
      <c r="OB321" s="75"/>
      <c r="OC321" s="75"/>
      <c r="OD321" s="75"/>
      <c r="OE321" s="75"/>
      <c r="OF321" s="75"/>
      <c r="OG321" s="75"/>
      <c r="OH321" s="75"/>
      <c r="OI321" s="75"/>
      <c r="OJ321" s="75"/>
      <c r="OK321" s="75"/>
      <c r="OL321" s="75"/>
      <c r="OM321" s="75"/>
      <c r="ON321" s="75"/>
      <c r="OO321" s="75"/>
      <c r="OP321" s="75"/>
      <c r="OQ321" s="75"/>
      <c r="OR321" s="75"/>
      <c r="OS321" s="75"/>
      <c r="OT321" s="75"/>
      <c r="OU321" s="75"/>
      <c r="OV321" s="75"/>
      <c r="OW321" s="75"/>
      <c r="OX321" s="75"/>
      <c r="OY321" s="75"/>
      <c r="OZ321" s="75"/>
      <c r="PA321" s="75"/>
      <c r="PB321" s="75"/>
      <c r="PC321" s="75"/>
      <c r="PD321" s="75"/>
      <c r="PE321" s="75"/>
      <c r="PF321" s="75"/>
      <c r="PG321" s="75"/>
      <c r="PH321" s="75"/>
      <c r="PI321" s="75"/>
      <c r="PJ321" s="75"/>
      <c r="PK321" s="75"/>
      <c r="PL321" s="75"/>
      <c r="PM321" s="75"/>
      <c r="PN321" s="75"/>
      <c r="PO321" s="75"/>
      <c r="PP321" s="75"/>
      <c r="PQ321" s="75"/>
      <c r="PR321" s="75"/>
      <c r="PS321" s="75"/>
      <c r="PT321" s="75"/>
      <c r="PU321" s="75"/>
      <c r="PV321" s="75"/>
      <c r="PW321" s="75"/>
      <c r="PX321" s="75"/>
      <c r="PY321" s="75"/>
      <c r="PZ321" s="75"/>
      <c r="QA321" s="75"/>
      <c r="QB321" s="75"/>
      <c r="QC321" s="75"/>
      <c r="QD321" s="75"/>
      <c r="QE321" s="75"/>
      <c r="QF321" s="75"/>
      <c r="QG321" s="75"/>
      <c r="QH321" s="75"/>
      <c r="QI321" s="75"/>
      <c r="QJ321" s="75"/>
      <c r="QK321" s="75"/>
      <c r="QL321" s="75"/>
      <c r="QM321" s="75"/>
      <c r="QN321" s="75"/>
      <c r="QO321" s="75"/>
      <c r="QP321" s="75"/>
      <c r="QQ321" s="75"/>
      <c r="QR321" s="75"/>
      <c r="QS321" s="75"/>
      <c r="QT321" s="75"/>
      <c r="QU321" s="75"/>
      <c r="QV321" s="75"/>
      <c r="QW321" s="75"/>
      <c r="QX321" s="75"/>
      <c r="QY321" s="75"/>
      <c r="QZ321" s="75"/>
      <c r="RA321" s="75"/>
      <c r="RB321" s="75"/>
      <c r="RC321" s="75"/>
      <c r="RD321" s="75"/>
      <c r="RE321" s="75"/>
      <c r="RF321" s="75"/>
      <c r="RG321" s="75"/>
      <c r="RH321" s="75"/>
      <c r="RI321" s="75"/>
      <c r="RJ321" s="75"/>
      <c r="RK321" s="75"/>
      <c r="RL321" s="75"/>
      <c r="RM321" s="75"/>
      <c r="RN321" s="75"/>
      <c r="RO321" s="75"/>
      <c r="RP321" s="75"/>
      <c r="RQ321" s="75"/>
      <c r="RR321" s="75"/>
      <c r="RS321" s="75"/>
      <c r="RT321" s="75"/>
      <c r="RU321" s="75"/>
      <c r="RV321" s="75"/>
      <c r="RW321" s="75"/>
      <c r="RX321" s="75"/>
      <c r="RY321" s="75"/>
      <c r="RZ321" s="75"/>
      <c r="SA321" s="75"/>
      <c r="SB321" s="75"/>
      <c r="SC321" s="75"/>
      <c r="SD321" s="75"/>
      <c r="SE321" s="75"/>
      <c r="SF321" s="75"/>
      <c r="SG321" s="75"/>
      <c r="SH321" s="75"/>
      <c r="SI321" s="75"/>
      <c r="SJ321" s="75"/>
      <c r="SK321" s="75"/>
      <c r="SL321" s="75"/>
      <c r="SM321" s="75"/>
      <c r="SN321" s="75"/>
      <c r="SO321" s="75"/>
      <c r="SP321" s="75"/>
      <c r="SQ321" s="75"/>
      <c r="SR321" s="75"/>
      <c r="SS321" s="75"/>
      <c r="ST321" s="75"/>
      <c r="SU321" s="75"/>
      <c r="SV321" s="75"/>
      <c r="SW321" s="75"/>
      <c r="SX321" s="75"/>
      <c r="SY321" s="75"/>
      <c r="SZ321" s="75"/>
      <c r="TA321" s="75"/>
      <c r="TB321" s="75"/>
      <c r="TC321" s="75"/>
      <c r="TD321" s="75"/>
      <c r="TE321" s="75"/>
      <c r="TF321" s="75"/>
      <c r="TG321" s="75"/>
      <c r="TH321" s="75"/>
      <c r="TI321" s="75"/>
      <c r="TJ321" s="75"/>
      <c r="TK321" s="75"/>
      <c r="TL321" s="75"/>
      <c r="TM321" s="75"/>
      <c r="TN321" s="75"/>
      <c r="TO321" s="75"/>
      <c r="TP321" s="75"/>
      <c r="TQ321" s="75"/>
      <c r="TR321" s="75"/>
      <c r="TS321" s="75"/>
      <c r="TT321" s="75"/>
      <c r="TU321" s="75"/>
      <c r="TV321" s="75"/>
      <c r="TW321" s="75"/>
      <c r="TX321" s="75"/>
      <c r="TY321" s="75"/>
      <c r="TZ321" s="75"/>
      <c r="UA321" s="75"/>
      <c r="UB321" s="75"/>
      <c r="UC321" s="75"/>
      <c r="UD321" s="75"/>
      <c r="UE321" s="75"/>
      <c r="UF321" s="75"/>
      <c r="UG321" s="75"/>
      <c r="UH321" s="75"/>
      <c r="UI321" s="75"/>
      <c r="UJ321" s="75"/>
      <c r="UK321" s="75"/>
      <c r="UL321" s="75"/>
      <c r="UM321" s="75"/>
      <c r="UN321" s="75"/>
      <c r="UO321" s="75"/>
      <c r="UP321" s="75"/>
      <c r="UQ321" s="75"/>
      <c r="UR321" s="75"/>
      <c r="US321" s="75"/>
      <c r="UT321" s="75"/>
      <c r="UU321" s="75"/>
      <c r="UV321" s="75"/>
      <c r="UW321" s="75"/>
      <c r="UX321" s="75"/>
      <c r="UY321" s="75"/>
      <c r="UZ321" s="75"/>
      <c r="VA321" s="75"/>
      <c r="VB321" s="75"/>
      <c r="VC321" s="75"/>
      <c r="VD321" s="75"/>
      <c r="VE321" s="75"/>
      <c r="VF321" s="75"/>
      <c r="VG321" s="75"/>
      <c r="VH321" s="75"/>
      <c r="VI321" s="75"/>
      <c r="VJ321" s="75"/>
      <c r="VK321" s="75"/>
      <c r="VL321" s="75"/>
      <c r="VM321" s="75"/>
      <c r="VN321" s="75"/>
      <c r="VO321" s="75"/>
      <c r="VP321" s="75"/>
      <c r="VQ321" s="75"/>
      <c r="VR321" s="75"/>
      <c r="VS321" s="75"/>
      <c r="VT321" s="75"/>
      <c r="VU321" s="75"/>
      <c r="VV321" s="75"/>
      <c r="VW321" s="75"/>
      <c r="VX321" s="75"/>
      <c r="VY321" s="75"/>
      <c r="VZ321" s="75"/>
      <c r="WA321" s="75"/>
      <c r="WB321" s="75"/>
      <c r="WC321" s="75"/>
      <c r="WD321" s="75"/>
      <c r="WE321" s="75"/>
      <c r="WF321" s="75"/>
      <c r="WG321" s="75"/>
      <c r="WH321" s="75"/>
      <c r="WI321" s="75"/>
      <c r="WJ321" s="75"/>
      <c r="WK321" s="75"/>
      <c r="WL321" s="75"/>
      <c r="WM321" s="75"/>
      <c r="WN321" s="75"/>
      <c r="WO321" s="75"/>
      <c r="WP321" s="75"/>
      <c r="WQ321" s="75"/>
      <c r="WR321" s="75"/>
      <c r="WS321" s="75"/>
      <c r="WT321" s="75"/>
      <c r="WU321" s="75"/>
      <c r="WV321" s="75"/>
      <c r="WW321" s="75"/>
      <c r="WX321" s="75"/>
      <c r="WY321" s="75"/>
      <c r="WZ321" s="75"/>
      <c r="XA321" s="75"/>
      <c r="XB321" s="75"/>
      <c r="XC321" s="75"/>
      <c r="XD321" s="75"/>
      <c r="XE321" s="75"/>
      <c r="XF321" s="75"/>
      <c r="XG321" s="75"/>
      <c r="XH321" s="75"/>
      <c r="XI321" s="75"/>
      <c r="XJ321" s="75"/>
      <c r="XK321" s="75"/>
      <c r="XL321" s="75"/>
      <c r="XM321" s="75"/>
      <c r="XN321" s="75"/>
      <c r="XO321" s="75"/>
      <c r="XP321" s="75"/>
      <c r="XQ321" s="75"/>
      <c r="XR321" s="75"/>
      <c r="XS321" s="75"/>
      <c r="XT321" s="75"/>
      <c r="XU321" s="75"/>
      <c r="XV321" s="75"/>
      <c r="XW321" s="75"/>
      <c r="XX321" s="75"/>
      <c r="XY321" s="75"/>
      <c r="XZ321" s="75"/>
      <c r="YA321" s="75"/>
      <c r="YB321" s="75"/>
      <c r="YC321" s="75"/>
      <c r="YD321" s="75"/>
      <c r="YE321" s="75"/>
      <c r="YF321" s="75"/>
      <c r="YG321" s="75"/>
      <c r="YH321" s="75"/>
      <c r="YI321" s="75"/>
      <c r="YJ321" s="75"/>
      <c r="YK321" s="75"/>
      <c r="YL321" s="75"/>
      <c r="YM321" s="75"/>
      <c r="YN321" s="75"/>
      <c r="YO321" s="75"/>
      <c r="YP321" s="75"/>
      <c r="YQ321" s="75"/>
      <c r="YR321" s="75"/>
      <c r="YS321" s="75"/>
      <c r="YT321" s="75"/>
      <c r="YU321" s="75"/>
      <c r="YV321" s="75"/>
      <c r="YW321" s="75"/>
      <c r="YX321" s="75"/>
      <c r="YY321" s="75"/>
      <c r="YZ321" s="75"/>
      <c r="ZA321" s="75"/>
      <c r="ZB321" s="75"/>
      <c r="ZC321" s="75"/>
      <c r="ZD321" s="75"/>
      <c r="ZE321" s="75"/>
      <c r="ZF321" s="75"/>
      <c r="ZG321" s="75"/>
      <c r="ZH321" s="75"/>
      <c r="ZI321" s="75"/>
      <c r="ZJ321" s="75"/>
      <c r="ZK321" s="75"/>
      <c r="ZL321" s="75"/>
      <c r="ZM321" s="75"/>
      <c r="ZN321" s="75"/>
      <c r="ZO321" s="75"/>
      <c r="ZP321" s="75"/>
      <c r="ZQ321" s="75"/>
      <c r="ZR321" s="75"/>
      <c r="ZS321" s="75"/>
      <c r="ZT321" s="75"/>
      <c r="ZU321" s="75"/>
      <c r="ZV321" s="75"/>
      <c r="ZW321" s="75"/>
      <c r="ZX321" s="75"/>
      <c r="ZY321" s="75"/>
      <c r="ZZ321" s="75"/>
      <c r="AAA321" s="75"/>
      <c r="AAB321" s="75"/>
      <c r="AAC321" s="75"/>
      <c r="AAD321" s="75"/>
      <c r="AAE321" s="75"/>
      <c r="AAF321" s="75"/>
      <c r="AAG321" s="75"/>
      <c r="AAH321" s="75"/>
      <c r="AAI321" s="75"/>
      <c r="AAJ321" s="75"/>
      <c r="AAK321" s="75"/>
      <c r="AAL321" s="75"/>
      <c r="AAM321" s="75"/>
      <c r="AAN321" s="75"/>
      <c r="AAO321" s="75"/>
      <c r="AAP321" s="75"/>
      <c r="AAQ321" s="75"/>
      <c r="AAR321" s="75"/>
      <c r="AAS321" s="75"/>
      <c r="AAT321" s="75"/>
      <c r="AAU321" s="75"/>
      <c r="AAV321" s="75"/>
      <c r="AAW321" s="75"/>
      <c r="AAX321" s="75"/>
      <c r="AAY321" s="75"/>
      <c r="AAZ321" s="75"/>
      <c r="ABA321" s="75"/>
      <c r="ABB321" s="75"/>
      <c r="ABC321" s="75"/>
      <c r="ABD321" s="75"/>
      <c r="ABE321" s="75"/>
      <c r="ABF321" s="75"/>
      <c r="ABG321" s="75"/>
      <c r="ABH321" s="75"/>
      <c r="ABI321" s="75"/>
      <c r="ABJ321" s="75"/>
      <c r="ABK321" s="75"/>
      <c r="ABL321" s="75"/>
      <c r="ABM321" s="75"/>
      <c r="ABN321" s="75"/>
      <c r="ABO321" s="75"/>
      <c r="ABP321" s="75"/>
      <c r="ABQ321" s="75"/>
      <c r="ABR321" s="75"/>
      <c r="ABS321" s="75"/>
      <c r="ABT321" s="75"/>
      <c r="ABU321" s="75"/>
      <c r="ABV321" s="75"/>
      <c r="ABW321" s="75"/>
      <c r="ABX321" s="75"/>
      <c r="ABY321" s="75"/>
      <c r="ABZ321" s="75"/>
      <c r="ACA321" s="75"/>
      <c r="ACB321" s="75"/>
      <c r="ACC321" s="75"/>
      <c r="ACD321" s="75"/>
      <c r="ACE321" s="75"/>
      <c r="ACF321" s="75"/>
      <c r="ACG321" s="75"/>
      <c r="ACH321" s="75"/>
      <c r="ACI321" s="75"/>
      <c r="ACJ321" s="75"/>
      <c r="ACK321" s="75"/>
      <c r="ACL321" s="75"/>
      <c r="ACM321" s="75"/>
      <c r="ACN321" s="75"/>
      <c r="ACO321" s="75"/>
      <c r="ACP321" s="75"/>
      <c r="ACQ321" s="75"/>
      <c r="ACR321" s="75"/>
      <c r="ACS321" s="75"/>
      <c r="ACT321" s="75"/>
      <c r="ACU321" s="75"/>
      <c r="ACV321" s="75"/>
      <c r="ACW321" s="75"/>
      <c r="ACX321" s="75"/>
      <c r="ACY321" s="75"/>
      <c r="ACZ321" s="75"/>
      <c r="ADA321" s="75"/>
      <c r="ADB321" s="75"/>
      <c r="ADC321" s="75"/>
      <c r="ADD321" s="75"/>
      <c r="ADE321" s="75"/>
      <c r="ADF321" s="75"/>
      <c r="ADG321" s="75"/>
      <c r="ADH321" s="75"/>
      <c r="ADI321" s="75"/>
      <c r="ADJ321" s="75"/>
      <c r="ADK321" s="75"/>
      <c r="ADL321" s="75"/>
      <c r="ADM321" s="75"/>
      <c r="ADN321" s="75"/>
      <c r="ADO321" s="75"/>
      <c r="ADP321" s="75"/>
      <c r="ADQ321" s="75"/>
      <c r="ADR321" s="75"/>
      <c r="ADS321" s="75"/>
      <c r="ADT321" s="75"/>
      <c r="ADU321" s="75"/>
      <c r="ADV321" s="75"/>
      <c r="ADW321" s="75"/>
      <c r="ADX321" s="75"/>
      <c r="ADY321" s="75"/>
      <c r="ADZ321" s="75"/>
      <c r="AEA321" s="75"/>
      <c r="AEB321" s="75"/>
      <c r="AEC321" s="75"/>
      <c r="AED321" s="75"/>
      <c r="AEE321" s="75"/>
      <c r="AEF321" s="75"/>
      <c r="AEG321" s="75"/>
      <c r="AEH321" s="75"/>
      <c r="AEI321" s="75"/>
      <c r="AEJ321" s="75"/>
      <c r="AEK321" s="75"/>
      <c r="AEL321" s="75"/>
      <c r="AEM321" s="75"/>
      <c r="AEN321" s="75"/>
      <c r="AEO321" s="75"/>
      <c r="AEP321" s="75"/>
      <c r="AEQ321" s="75"/>
      <c r="AER321" s="75"/>
      <c r="AES321" s="75"/>
      <c r="AET321" s="75"/>
      <c r="AEU321" s="75"/>
      <c r="AEV321" s="75"/>
      <c r="AEW321" s="75"/>
      <c r="AEX321" s="75"/>
      <c r="AEY321" s="75"/>
      <c r="AEZ321" s="75"/>
      <c r="AFA321" s="75"/>
      <c r="AFB321" s="75"/>
      <c r="AFC321" s="75"/>
      <c r="AFD321" s="75"/>
      <c r="AFE321" s="75"/>
      <c r="AFF321" s="75"/>
      <c r="AFG321" s="75"/>
      <c r="AFH321" s="75"/>
      <c r="AFI321" s="75"/>
      <c r="AFJ321" s="75"/>
      <c r="AFK321" s="75"/>
      <c r="AFL321" s="75"/>
      <c r="AFM321" s="75"/>
      <c r="AFN321" s="75"/>
      <c r="AFO321" s="75"/>
      <c r="AFP321" s="75"/>
      <c r="AFQ321" s="75"/>
      <c r="AFR321" s="75"/>
      <c r="AFS321" s="75"/>
      <c r="AFT321" s="75"/>
      <c r="AFU321" s="75"/>
      <c r="AFV321" s="75"/>
      <c r="AFW321" s="75"/>
      <c r="AFX321" s="75"/>
      <c r="AFY321" s="75"/>
      <c r="AFZ321" s="75"/>
      <c r="AGA321" s="75"/>
      <c r="AGB321" s="75"/>
      <c r="AGC321" s="75"/>
      <c r="AGD321" s="75"/>
      <c r="AGE321" s="75"/>
      <c r="AGF321" s="75"/>
      <c r="AGG321" s="75"/>
      <c r="AGH321" s="75"/>
      <c r="AGI321" s="75"/>
      <c r="AGJ321" s="75"/>
      <c r="AGK321" s="75"/>
      <c r="AGL321" s="75"/>
      <c r="AGM321" s="75"/>
      <c r="AGN321" s="75"/>
      <c r="AGO321" s="75"/>
      <c r="AGP321" s="75"/>
      <c r="AGQ321" s="75"/>
      <c r="AGR321" s="75"/>
      <c r="AGS321" s="75"/>
      <c r="AGT321" s="75"/>
      <c r="AGU321" s="75"/>
      <c r="AGV321" s="75"/>
      <c r="AGW321" s="75"/>
      <c r="AGX321" s="75"/>
      <c r="AGY321" s="75"/>
      <c r="AGZ321" s="75"/>
      <c r="AHA321" s="75"/>
      <c r="AHB321" s="75"/>
      <c r="AHC321" s="75"/>
      <c r="AHD321" s="75"/>
      <c r="AHE321" s="75"/>
      <c r="AHF321" s="75"/>
      <c r="AHG321" s="75"/>
      <c r="AHH321" s="75"/>
      <c r="AHI321" s="75"/>
      <c r="AHJ321" s="75"/>
      <c r="AHK321" s="75"/>
      <c r="AHL321" s="75"/>
      <c r="AHM321" s="75"/>
      <c r="AHN321" s="75"/>
      <c r="AHO321" s="75"/>
      <c r="AHP321" s="75"/>
      <c r="AHQ321" s="75"/>
      <c r="AHR321" s="75"/>
      <c r="AHS321" s="75"/>
      <c r="AHT321" s="75"/>
      <c r="AHU321" s="75"/>
      <c r="AHV321" s="75"/>
      <c r="AHW321" s="75"/>
      <c r="AHX321" s="75"/>
      <c r="AHY321" s="75"/>
      <c r="AHZ321" s="75"/>
      <c r="AIA321" s="75"/>
      <c r="AIB321" s="75"/>
      <c r="AIC321" s="75"/>
      <c r="AID321" s="75"/>
      <c r="AIE321" s="75"/>
      <c r="AIF321" s="75"/>
      <c r="AIG321" s="75"/>
      <c r="AIH321" s="75"/>
      <c r="AII321" s="75"/>
      <c r="AIJ321" s="75"/>
      <c r="AIK321" s="75"/>
      <c r="AIL321" s="75"/>
      <c r="AIM321" s="75"/>
      <c r="AIN321" s="75"/>
      <c r="AIO321" s="75"/>
      <c r="AIP321" s="75"/>
      <c r="AIQ321" s="75"/>
      <c r="AIR321" s="75"/>
      <c r="AIS321" s="75"/>
      <c r="AIT321" s="75"/>
      <c r="AIU321" s="75"/>
      <c r="AIV321" s="75"/>
      <c r="AIW321" s="75"/>
      <c r="AIX321" s="75"/>
      <c r="AIY321" s="75"/>
      <c r="AIZ321" s="75"/>
      <c r="AJA321" s="75"/>
      <c r="AJB321" s="75"/>
      <c r="AJC321" s="75"/>
      <c r="AJD321" s="75"/>
      <c r="AJE321" s="75"/>
      <c r="AJF321" s="75"/>
      <c r="AJG321" s="75"/>
      <c r="AJH321" s="75"/>
      <c r="AJI321" s="75"/>
      <c r="AJJ321" s="75"/>
      <c r="AJK321" s="75"/>
      <c r="AJL321" s="75"/>
      <c r="AJM321" s="75"/>
      <c r="AJN321" s="75"/>
      <c r="AJO321" s="75"/>
      <c r="AJP321" s="75"/>
      <c r="AJQ321" s="75"/>
      <c r="AJR321" s="75"/>
      <c r="AJS321" s="75"/>
      <c r="AJT321" s="75"/>
      <c r="AJU321" s="75"/>
      <c r="AJV321" s="75"/>
      <c r="AJW321" s="75"/>
      <c r="AJX321" s="75"/>
      <c r="AJY321" s="75"/>
      <c r="AJZ321" s="75"/>
      <c r="AKA321" s="75"/>
      <c r="AKB321" s="75"/>
      <c r="AKC321" s="75"/>
      <c r="AKD321" s="75"/>
      <c r="AKE321" s="75"/>
      <c r="AKF321" s="75"/>
      <c r="AKG321" s="75"/>
      <c r="AKH321" s="75"/>
      <c r="AKI321" s="75"/>
      <c r="AKJ321" s="75"/>
      <c r="AKK321" s="75"/>
      <c r="AKL321" s="75"/>
      <c r="AKM321" s="75"/>
      <c r="AKN321" s="75"/>
      <c r="AKO321" s="75"/>
      <c r="AKP321" s="75"/>
      <c r="AKQ321" s="75"/>
      <c r="AKR321" s="75"/>
      <c r="AKS321" s="75"/>
      <c r="AKT321" s="75"/>
      <c r="AKU321" s="75"/>
      <c r="AKV321" s="75"/>
      <c r="AKW321" s="75"/>
      <c r="AKX321" s="75"/>
      <c r="AKY321" s="75"/>
      <c r="AKZ321" s="75"/>
      <c r="ALA321" s="75"/>
      <c r="ALB321" s="75"/>
      <c r="ALC321" s="75"/>
      <c r="ALD321" s="75"/>
      <c r="ALE321" s="75"/>
      <c r="ALF321" s="75"/>
      <c r="ALG321" s="75"/>
      <c r="ALH321" s="75"/>
      <c r="ALI321" s="75"/>
      <c r="ALJ321" s="75"/>
      <c r="ALK321" s="75"/>
      <c r="ALL321" s="75"/>
      <c r="ALM321" s="75"/>
      <c r="ALN321" s="75"/>
      <c r="ALO321" s="75"/>
    </row>
    <row r="322" spans="1:1003" s="233" customFormat="1" ht="14.55" customHeight="1" outlineLevel="1" x14ac:dyDescent="0.25">
      <c r="A322" s="230" t="s">
        <v>1422</v>
      </c>
      <c r="B322" s="343" t="str">
        <f>"05.0207"</f>
        <v>05.0207</v>
      </c>
      <c r="C322" s="75" t="s">
        <v>1846</v>
      </c>
      <c r="D322" s="127" t="s">
        <v>1847</v>
      </c>
      <c r="E322" s="232"/>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c r="CK322" s="75"/>
      <c r="CL322" s="75"/>
      <c r="CM322" s="75"/>
      <c r="CN322" s="75"/>
      <c r="CO322" s="75"/>
      <c r="CP322" s="75"/>
      <c r="CQ322" s="75"/>
      <c r="CR322" s="75"/>
      <c r="CS322" s="75"/>
      <c r="CT322" s="75"/>
      <c r="CU322" s="75"/>
      <c r="CV322" s="75"/>
      <c r="CW322" s="75"/>
      <c r="CX322" s="75"/>
      <c r="CY322" s="75"/>
      <c r="CZ322" s="75"/>
      <c r="DA322" s="75"/>
      <c r="DB322" s="75"/>
      <c r="DC322" s="75"/>
      <c r="DD322" s="75"/>
      <c r="DE322" s="75"/>
      <c r="DF322" s="75"/>
      <c r="DG322" s="75"/>
      <c r="DH322" s="75"/>
      <c r="DI322" s="75"/>
      <c r="DJ322" s="75"/>
      <c r="DK322" s="75"/>
      <c r="DL322" s="75"/>
      <c r="DM322" s="75"/>
      <c r="DN322" s="75"/>
      <c r="DO322" s="75"/>
      <c r="DP322" s="75"/>
      <c r="DQ322" s="75"/>
      <c r="DR322" s="75"/>
      <c r="DS322" s="75"/>
      <c r="DT322" s="75"/>
      <c r="DU322" s="75"/>
      <c r="DV322" s="75"/>
      <c r="DW322" s="75"/>
      <c r="DX322" s="75"/>
      <c r="DY322" s="75"/>
      <c r="DZ322" s="75"/>
      <c r="EA322" s="75"/>
      <c r="EB322" s="75"/>
      <c r="EC322" s="75"/>
      <c r="ED322" s="75"/>
      <c r="EE322" s="75"/>
      <c r="EF322" s="75"/>
      <c r="EG322" s="75"/>
      <c r="EH322" s="75"/>
      <c r="EI322" s="75"/>
      <c r="EJ322" s="75"/>
      <c r="EK322" s="75"/>
      <c r="EL322" s="75"/>
      <c r="EM322" s="75"/>
      <c r="EN322" s="75"/>
      <c r="EO322" s="75"/>
      <c r="EP322" s="75"/>
      <c r="EQ322" s="75"/>
      <c r="ER322" s="75"/>
      <c r="ES322" s="75"/>
      <c r="ET322" s="75"/>
      <c r="EU322" s="75"/>
      <c r="EV322" s="75"/>
      <c r="EW322" s="75"/>
      <c r="EX322" s="75"/>
      <c r="EY322" s="75"/>
      <c r="EZ322" s="75"/>
      <c r="FA322" s="75"/>
      <c r="FB322" s="75"/>
      <c r="FC322" s="75"/>
      <c r="FD322" s="75"/>
      <c r="FE322" s="75"/>
      <c r="FF322" s="75"/>
      <c r="FG322" s="75"/>
      <c r="FH322" s="75"/>
      <c r="FI322" s="75"/>
      <c r="FJ322" s="75"/>
      <c r="FK322" s="75"/>
      <c r="FL322" s="75"/>
      <c r="FM322" s="75"/>
      <c r="FN322" s="75"/>
      <c r="FO322" s="75"/>
      <c r="FP322" s="75"/>
      <c r="FQ322" s="75"/>
      <c r="FR322" s="75"/>
      <c r="FS322" s="75"/>
      <c r="FT322" s="75"/>
      <c r="FU322" s="75"/>
      <c r="FV322" s="75"/>
      <c r="FW322" s="75"/>
      <c r="FX322" s="75"/>
      <c r="FY322" s="75"/>
      <c r="FZ322" s="75"/>
      <c r="GA322" s="75"/>
      <c r="GB322" s="75"/>
      <c r="GC322" s="75"/>
      <c r="GD322" s="75"/>
      <c r="GE322" s="75"/>
      <c r="GF322" s="75"/>
      <c r="GG322" s="75"/>
      <c r="GH322" s="75"/>
      <c r="GI322" s="75"/>
      <c r="GJ322" s="75"/>
      <c r="GK322" s="75"/>
      <c r="GL322" s="75"/>
      <c r="GM322" s="75"/>
      <c r="GN322" s="75"/>
      <c r="GO322" s="75"/>
      <c r="GP322" s="75"/>
      <c r="GQ322" s="75"/>
      <c r="GR322" s="75"/>
      <c r="GS322" s="75"/>
      <c r="GT322" s="75"/>
      <c r="GU322" s="75"/>
      <c r="GV322" s="75"/>
      <c r="GW322" s="75"/>
      <c r="GX322" s="75"/>
      <c r="GY322" s="75"/>
      <c r="GZ322" s="75"/>
      <c r="HA322" s="75"/>
      <c r="HB322" s="75"/>
      <c r="HC322" s="75"/>
      <c r="HD322" s="75"/>
      <c r="HE322" s="75"/>
      <c r="HF322" s="75"/>
      <c r="HG322" s="75"/>
      <c r="HH322" s="75"/>
      <c r="HI322" s="75"/>
      <c r="HJ322" s="75"/>
      <c r="HK322" s="75"/>
      <c r="HL322" s="75"/>
      <c r="HM322" s="75"/>
      <c r="HN322" s="75"/>
      <c r="HO322" s="75"/>
      <c r="HP322" s="75"/>
      <c r="HQ322" s="75"/>
      <c r="HR322" s="75"/>
      <c r="HS322" s="75"/>
      <c r="HT322" s="75"/>
      <c r="HU322" s="75"/>
      <c r="HV322" s="75"/>
      <c r="HW322" s="75"/>
      <c r="HX322" s="75"/>
      <c r="HY322" s="75"/>
      <c r="HZ322" s="75"/>
      <c r="IA322" s="75"/>
      <c r="IB322" s="75"/>
      <c r="IC322" s="75"/>
      <c r="ID322" s="75"/>
      <c r="IE322" s="75"/>
      <c r="IF322" s="75"/>
      <c r="IG322" s="75"/>
      <c r="IH322" s="75"/>
      <c r="II322" s="75"/>
      <c r="IJ322" s="75"/>
      <c r="IK322" s="75"/>
      <c r="IL322" s="75"/>
      <c r="IM322" s="75"/>
      <c r="IN322" s="75"/>
      <c r="IO322" s="75"/>
      <c r="IP322" s="75"/>
      <c r="IQ322" s="75"/>
      <c r="IR322" s="75"/>
      <c r="IS322" s="75"/>
      <c r="IT322" s="75"/>
      <c r="IU322" s="75"/>
      <c r="IV322" s="75"/>
      <c r="IW322" s="75"/>
      <c r="IX322" s="75"/>
      <c r="IY322" s="75"/>
      <c r="IZ322" s="75"/>
      <c r="JA322" s="75"/>
      <c r="JB322" s="75"/>
      <c r="JC322" s="75"/>
      <c r="JD322" s="75"/>
      <c r="JE322" s="75"/>
      <c r="JF322" s="75"/>
      <c r="JG322" s="75"/>
      <c r="JH322" s="75"/>
      <c r="JI322" s="75"/>
      <c r="JJ322" s="75"/>
      <c r="JK322" s="75"/>
      <c r="JL322" s="75"/>
      <c r="JM322" s="75"/>
      <c r="JN322" s="75"/>
      <c r="JO322" s="75"/>
      <c r="JP322" s="75"/>
      <c r="JQ322" s="75"/>
      <c r="JR322" s="75"/>
      <c r="JS322" s="75"/>
      <c r="JT322" s="75"/>
      <c r="JU322" s="75"/>
      <c r="JV322" s="75"/>
      <c r="JW322" s="75"/>
      <c r="JX322" s="75"/>
      <c r="JY322" s="75"/>
      <c r="JZ322" s="75"/>
      <c r="KA322" s="75"/>
      <c r="KB322" s="75"/>
      <c r="KC322" s="75"/>
      <c r="KD322" s="75"/>
      <c r="KE322" s="75"/>
      <c r="KF322" s="75"/>
      <c r="KG322" s="75"/>
      <c r="KH322" s="75"/>
      <c r="KI322" s="75"/>
      <c r="KJ322" s="75"/>
      <c r="KK322" s="75"/>
      <c r="KL322" s="75"/>
      <c r="KM322" s="75"/>
      <c r="KN322" s="75"/>
      <c r="KO322" s="75"/>
      <c r="KP322" s="75"/>
      <c r="KQ322" s="75"/>
      <c r="KR322" s="75"/>
      <c r="KS322" s="75"/>
      <c r="KT322" s="75"/>
      <c r="KU322" s="75"/>
      <c r="KV322" s="75"/>
      <c r="KW322" s="75"/>
      <c r="KX322" s="75"/>
      <c r="KY322" s="75"/>
      <c r="KZ322" s="75"/>
      <c r="LA322" s="75"/>
      <c r="LB322" s="75"/>
      <c r="LC322" s="75"/>
      <c r="LD322" s="75"/>
      <c r="LE322" s="75"/>
      <c r="LF322" s="75"/>
      <c r="LG322" s="75"/>
      <c r="LH322" s="75"/>
      <c r="LI322" s="75"/>
      <c r="LJ322" s="75"/>
      <c r="LK322" s="75"/>
      <c r="LL322" s="75"/>
      <c r="LM322" s="75"/>
      <c r="LN322" s="75"/>
      <c r="LO322" s="75"/>
      <c r="LP322" s="75"/>
      <c r="LQ322" s="75"/>
      <c r="LR322" s="75"/>
      <c r="LS322" s="75"/>
      <c r="LT322" s="75"/>
      <c r="LU322" s="75"/>
      <c r="LV322" s="75"/>
      <c r="LW322" s="75"/>
      <c r="LX322" s="75"/>
      <c r="LY322" s="75"/>
      <c r="LZ322" s="75"/>
      <c r="MA322" s="75"/>
      <c r="MB322" s="75"/>
      <c r="MC322" s="75"/>
      <c r="MD322" s="75"/>
      <c r="ME322" s="75"/>
      <c r="MF322" s="75"/>
      <c r="MG322" s="75"/>
      <c r="MH322" s="75"/>
      <c r="MI322" s="75"/>
      <c r="MJ322" s="75"/>
      <c r="MK322" s="75"/>
      <c r="ML322" s="75"/>
      <c r="MM322" s="75"/>
      <c r="MN322" s="75"/>
      <c r="MO322" s="75"/>
      <c r="MP322" s="75"/>
      <c r="MQ322" s="75"/>
      <c r="MR322" s="75"/>
      <c r="MS322" s="75"/>
      <c r="MT322" s="75"/>
      <c r="MU322" s="75"/>
      <c r="MV322" s="75"/>
      <c r="MW322" s="75"/>
      <c r="MX322" s="75"/>
      <c r="MY322" s="75"/>
      <c r="MZ322" s="75"/>
      <c r="NA322" s="75"/>
      <c r="NB322" s="75"/>
      <c r="NC322" s="75"/>
      <c r="ND322" s="75"/>
      <c r="NE322" s="75"/>
      <c r="NF322" s="75"/>
      <c r="NG322" s="75"/>
      <c r="NH322" s="75"/>
      <c r="NI322" s="75"/>
      <c r="NJ322" s="75"/>
      <c r="NK322" s="75"/>
      <c r="NL322" s="75"/>
      <c r="NM322" s="75"/>
      <c r="NN322" s="75"/>
      <c r="NO322" s="75"/>
      <c r="NP322" s="75"/>
      <c r="NQ322" s="75"/>
      <c r="NR322" s="75"/>
      <c r="NS322" s="75"/>
      <c r="NT322" s="75"/>
      <c r="NU322" s="75"/>
      <c r="NV322" s="75"/>
      <c r="NW322" s="75"/>
      <c r="NX322" s="75"/>
      <c r="NY322" s="75"/>
      <c r="NZ322" s="75"/>
      <c r="OA322" s="75"/>
      <c r="OB322" s="75"/>
      <c r="OC322" s="75"/>
      <c r="OD322" s="75"/>
      <c r="OE322" s="75"/>
      <c r="OF322" s="75"/>
      <c r="OG322" s="75"/>
      <c r="OH322" s="75"/>
      <c r="OI322" s="75"/>
      <c r="OJ322" s="75"/>
      <c r="OK322" s="75"/>
      <c r="OL322" s="75"/>
      <c r="OM322" s="75"/>
      <c r="ON322" s="75"/>
      <c r="OO322" s="75"/>
      <c r="OP322" s="75"/>
      <c r="OQ322" s="75"/>
      <c r="OR322" s="75"/>
      <c r="OS322" s="75"/>
      <c r="OT322" s="75"/>
      <c r="OU322" s="75"/>
      <c r="OV322" s="75"/>
      <c r="OW322" s="75"/>
      <c r="OX322" s="75"/>
      <c r="OY322" s="75"/>
      <c r="OZ322" s="75"/>
      <c r="PA322" s="75"/>
      <c r="PB322" s="75"/>
      <c r="PC322" s="75"/>
      <c r="PD322" s="75"/>
      <c r="PE322" s="75"/>
      <c r="PF322" s="75"/>
      <c r="PG322" s="75"/>
      <c r="PH322" s="75"/>
      <c r="PI322" s="75"/>
      <c r="PJ322" s="75"/>
      <c r="PK322" s="75"/>
      <c r="PL322" s="75"/>
      <c r="PM322" s="75"/>
      <c r="PN322" s="75"/>
      <c r="PO322" s="75"/>
      <c r="PP322" s="75"/>
      <c r="PQ322" s="75"/>
      <c r="PR322" s="75"/>
      <c r="PS322" s="75"/>
      <c r="PT322" s="75"/>
      <c r="PU322" s="75"/>
      <c r="PV322" s="75"/>
      <c r="PW322" s="75"/>
      <c r="PX322" s="75"/>
      <c r="PY322" s="75"/>
      <c r="PZ322" s="75"/>
      <c r="QA322" s="75"/>
      <c r="QB322" s="75"/>
      <c r="QC322" s="75"/>
      <c r="QD322" s="75"/>
      <c r="QE322" s="75"/>
      <c r="QF322" s="75"/>
      <c r="QG322" s="75"/>
      <c r="QH322" s="75"/>
      <c r="QI322" s="75"/>
      <c r="QJ322" s="75"/>
      <c r="QK322" s="75"/>
      <c r="QL322" s="75"/>
      <c r="QM322" s="75"/>
      <c r="QN322" s="75"/>
      <c r="QO322" s="75"/>
      <c r="QP322" s="75"/>
      <c r="QQ322" s="75"/>
      <c r="QR322" s="75"/>
      <c r="QS322" s="75"/>
      <c r="QT322" s="75"/>
      <c r="QU322" s="75"/>
      <c r="QV322" s="75"/>
      <c r="QW322" s="75"/>
      <c r="QX322" s="75"/>
      <c r="QY322" s="75"/>
      <c r="QZ322" s="75"/>
      <c r="RA322" s="75"/>
      <c r="RB322" s="75"/>
      <c r="RC322" s="75"/>
      <c r="RD322" s="75"/>
      <c r="RE322" s="75"/>
      <c r="RF322" s="75"/>
      <c r="RG322" s="75"/>
      <c r="RH322" s="75"/>
      <c r="RI322" s="75"/>
      <c r="RJ322" s="75"/>
      <c r="RK322" s="75"/>
      <c r="RL322" s="75"/>
      <c r="RM322" s="75"/>
      <c r="RN322" s="75"/>
      <c r="RO322" s="75"/>
      <c r="RP322" s="75"/>
      <c r="RQ322" s="75"/>
      <c r="RR322" s="75"/>
      <c r="RS322" s="75"/>
      <c r="RT322" s="75"/>
      <c r="RU322" s="75"/>
      <c r="RV322" s="75"/>
      <c r="RW322" s="75"/>
      <c r="RX322" s="75"/>
      <c r="RY322" s="75"/>
      <c r="RZ322" s="75"/>
      <c r="SA322" s="75"/>
      <c r="SB322" s="75"/>
      <c r="SC322" s="75"/>
      <c r="SD322" s="75"/>
      <c r="SE322" s="75"/>
      <c r="SF322" s="75"/>
      <c r="SG322" s="75"/>
      <c r="SH322" s="75"/>
      <c r="SI322" s="75"/>
      <c r="SJ322" s="75"/>
      <c r="SK322" s="75"/>
      <c r="SL322" s="75"/>
      <c r="SM322" s="75"/>
      <c r="SN322" s="75"/>
      <c r="SO322" s="75"/>
      <c r="SP322" s="75"/>
      <c r="SQ322" s="75"/>
      <c r="SR322" s="75"/>
      <c r="SS322" s="75"/>
      <c r="ST322" s="75"/>
      <c r="SU322" s="75"/>
      <c r="SV322" s="75"/>
      <c r="SW322" s="75"/>
      <c r="SX322" s="75"/>
      <c r="SY322" s="75"/>
      <c r="SZ322" s="75"/>
      <c r="TA322" s="75"/>
      <c r="TB322" s="75"/>
      <c r="TC322" s="75"/>
      <c r="TD322" s="75"/>
      <c r="TE322" s="75"/>
      <c r="TF322" s="75"/>
      <c r="TG322" s="75"/>
      <c r="TH322" s="75"/>
      <c r="TI322" s="75"/>
      <c r="TJ322" s="75"/>
      <c r="TK322" s="75"/>
      <c r="TL322" s="75"/>
      <c r="TM322" s="75"/>
      <c r="TN322" s="75"/>
      <c r="TO322" s="75"/>
      <c r="TP322" s="75"/>
      <c r="TQ322" s="75"/>
      <c r="TR322" s="75"/>
      <c r="TS322" s="75"/>
      <c r="TT322" s="75"/>
      <c r="TU322" s="75"/>
      <c r="TV322" s="75"/>
      <c r="TW322" s="75"/>
      <c r="TX322" s="75"/>
      <c r="TY322" s="75"/>
      <c r="TZ322" s="75"/>
      <c r="UA322" s="75"/>
      <c r="UB322" s="75"/>
      <c r="UC322" s="75"/>
      <c r="UD322" s="75"/>
      <c r="UE322" s="75"/>
      <c r="UF322" s="75"/>
      <c r="UG322" s="75"/>
      <c r="UH322" s="75"/>
      <c r="UI322" s="75"/>
      <c r="UJ322" s="75"/>
      <c r="UK322" s="75"/>
      <c r="UL322" s="75"/>
      <c r="UM322" s="75"/>
      <c r="UN322" s="75"/>
      <c r="UO322" s="75"/>
      <c r="UP322" s="75"/>
      <c r="UQ322" s="75"/>
      <c r="UR322" s="75"/>
      <c r="US322" s="75"/>
      <c r="UT322" s="75"/>
      <c r="UU322" s="75"/>
      <c r="UV322" s="75"/>
      <c r="UW322" s="75"/>
      <c r="UX322" s="75"/>
      <c r="UY322" s="75"/>
      <c r="UZ322" s="75"/>
      <c r="VA322" s="75"/>
      <c r="VB322" s="75"/>
      <c r="VC322" s="75"/>
      <c r="VD322" s="75"/>
      <c r="VE322" s="75"/>
      <c r="VF322" s="75"/>
      <c r="VG322" s="75"/>
      <c r="VH322" s="75"/>
      <c r="VI322" s="75"/>
      <c r="VJ322" s="75"/>
      <c r="VK322" s="75"/>
      <c r="VL322" s="75"/>
      <c r="VM322" s="75"/>
      <c r="VN322" s="75"/>
      <c r="VO322" s="75"/>
      <c r="VP322" s="75"/>
      <c r="VQ322" s="75"/>
      <c r="VR322" s="75"/>
      <c r="VS322" s="75"/>
      <c r="VT322" s="75"/>
      <c r="VU322" s="75"/>
      <c r="VV322" s="75"/>
      <c r="VW322" s="75"/>
      <c r="VX322" s="75"/>
      <c r="VY322" s="75"/>
      <c r="VZ322" s="75"/>
      <c r="WA322" s="75"/>
      <c r="WB322" s="75"/>
      <c r="WC322" s="75"/>
      <c r="WD322" s="75"/>
      <c r="WE322" s="75"/>
      <c r="WF322" s="75"/>
      <c r="WG322" s="75"/>
      <c r="WH322" s="75"/>
      <c r="WI322" s="75"/>
      <c r="WJ322" s="75"/>
      <c r="WK322" s="75"/>
      <c r="WL322" s="75"/>
      <c r="WM322" s="75"/>
      <c r="WN322" s="75"/>
      <c r="WO322" s="75"/>
      <c r="WP322" s="75"/>
      <c r="WQ322" s="75"/>
      <c r="WR322" s="75"/>
      <c r="WS322" s="75"/>
      <c r="WT322" s="75"/>
      <c r="WU322" s="75"/>
      <c r="WV322" s="75"/>
      <c r="WW322" s="75"/>
      <c r="WX322" s="75"/>
      <c r="WY322" s="75"/>
      <c r="WZ322" s="75"/>
      <c r="XA322" s="75"/>
      <c r="XB322" s="75"/>
      <c r="XC322" s="75"/>
      <c r="XD322" s="75"/>
      <c r="XE322" s="75"/>
      <c r="XF322" s="75"/>
      <c r="XG322" s="75"/>
      <c r="XH322" s="75"/>
      <c r="XI322" s="75"/>
      <c r="XJ322" s="75"/>
      <c r="XK322" s="75"/>
      <c r="XL322" s="75"/>
      <c r="XM322" s="75"/>
      <c r="XN322" s="75"/>
      <c r="XO322" s="75"/>
      <c r="XP322" s="75"/>
      <c r="XQ322" s="75"/>
      <c r="XR322" s="75"/>
      <c r="XS322" s="75"/>
      <c r="XT322" s="75"/>
      <c r="XU322" s="75"/>
      <c r="XV322" s="75"/>
      <c r="XW322" s="75"/>
      <c r="XX322" s="75"/>
      <c r="XY322" s="75"/>
      <c r="XZ322" s="75"/>
      <c r="YA322" s="75"/>
      <c r="YB322" s="75"/>
      <c r="YC322" s="75"/>
      <c r="YD322" s="75"/>
      <c r="YE322" s="75"/>
      <c r="YF322" s="75"/>
      <c r="YG322" s="75"/>
      <c r="YH322" s="75"/>
      <c r="YI322" s="75"/>
      <c r="YJ322" s="75"/>
      <c r="YK322" s="75"/>
      <c r="YL322" s="75"/>
      <c r="YM322" s="75"/>
      <c r="YN322" s="75"/>
      <c r="YO322" s="75"/>
      <c r="YP322" s="75"/>
      <c r="YQ322" s="75"/>
      <c r="YR322" s="75"/>
      <c r="YS322" s="75"/>
      <c r="YT322" s="75"/>
      <c r="YU322" s="75"/>
      <c r="YV322" s="75"/>
      <c r="YW322" s="75"/>
      <c r="YX322" s="75"/>
      <c r="YY322" s="75"/>
      <c r="YZ322" s="75"/>
      <c r="ZA322" s="75"/>
      <c r="ZB322" s="75"/>
      <c r="ZC322" s="75"/>
      <c r="ZD322" s="75"/>
      <c r="ZE322" s="75"/>
      <c r="ZF322" s="75"/>
      <c r="ZG322" s="75"/>
      <c r="ZH322" s="75"/>
      <c r="ZI322" s="75"/>
      <c r="ZJ322" s="75"/>
      <c r="ZK322" s="75"/>
      <c r="ZL322" s="75"/>
      <c r="ZM322" s="75"/>
      <c r="ZN322" s="75"/>
      <c r="ZO322" s="75"/>
      <c r="ZP322" s="75"/>
      <c r="ZQ322" s="75"/>
      <c r="ZR322" s="75"/>
      <c r="ZS322" s="75"/>
      <c r="ZT322" s="75"/>
      <c r="ZU322" s="75"/>
      <c r="ZV322" s="75"/>
      <c r="ZW322" s="75"/>
      <c r="ZX322" s="75"/>
      <c r="ZY322" s="75"/>
      <c r="ZZ322" s="75"/>
      <c r="AAA322" s="75"/>
      <c r="AAB322" s="75"/>
      <c r="AAC322" s="75"/>
      <c r="AAD322" s="75"/>
      <c r="AAE322" s="75"/>
      <c r="AAF322" s="75"/>
      <c r="AAG322" s="75"/>
      <c r="AAH322" s="75"/>
      <c r="AAI322" s="75"/>
      <c r="AAJ322" s="75"/>
      <c r="AAK322" s="75"/>
      <c r="AAL322" s="75"/>
      <c r="AAM322" s="75"/>
      <c r="AAN322" s="75"/>
      <c r="AAO322" s="75"/>
      <c r="AAP322" s="75"/>
      <c r="AAQ322" s="75"/>
      <c r="AAR322" s="75"/>
      <c r="AAS322" s="75"/>
      <c r="AAT322" s="75"/>
      <c r="AAU322" s="75"/>
      <c r="AAV322" s="75"/>
      <c r="AAW322" s="75"/>
      <c r="AAX322" s="75"/>
      <c r="AAY322" s="75"/>
      <c r="AAZ322" s="75"/>
      <c r="ABA322" s="75"/>
      <c r="ABB322" s="75"/>
      <c r="ABC322" s="75"/>
      <c r="ABD322" s="75"/>
      <c r="ABE322" s="75"/>
      <c r="ABF322" s="75"/>
      <c r="ABG322" s="75"/>
      <c r="ABH322" s="75"/>
      <c r="ABI322" s="75"/>
      <c r="ABJ322" s="75"/>
      <c r="ABK322" s="75"/>
      <c r="ABL322" s="75"/>
      <c r="ABM322" s="75"/>
      <c r="ABN322" s="75"/>
      <c r="ABO322" s="75"/>
      <c r="ABP322" s="75"/>
      <c r="ABQ322" s="75"/>
      <c r="ABR322" s="75"/>
      <c r="ABS322" s="75"/>
      <c r="ABT322" s="75"/>
      <c r="ABU322" s="75"/>
      <c r="ABV322" s="75"/>
      <c r="ABW322" s="75"/>
      <c r="ABX322" s="75"/>
      <c r="ABY322" s="75"/>
      <c r="ABZ322" s="75"/>
      <c r="ACA322" s="75"/>
      <c r="ACB322" s="75"/>
      <c r="ACC322" s="75"/>
      <c r="ACD322" s="75"/>
      <c r="ACE322" s="75"/>
      <c r="ACF322" s="75"/>
      <c r="ACG322" s="75"/>
      <c r="ACH322" s="75"/>
      <c r="ACI322" s="75"/>
      <c r="ACJ322" s="75"/>
      <c r="ACK322" s="75"/>
      <c r="ACL322" s="75"/>
      <c r="ACM322" s="75"/>
      <c r="ACN322" s="75"/>
      <c r="ACO322" s="75"/>
      <c r="ACP322" s="75"/>
      <c r="ACQ322" s="75"/>
      <c r="ACR322" s="75"/>
      <c r="ACS322" s="75"/>
      <c r="ACT322" s="75"/>
      <c r="ACU322" s="75"/>
      <c r="ACV322" s="75"/>
      <c r="ACW322" s="75"/>
      <c r="ACX322" s="75"/>
      <c r="ACY322" s="75"/>
      <c r="ACZ322" s="75"/>
      <c r="ADA322" s="75"/>
      <c r="ADB322" s="75"/>
      <c r="ADC322" s="75"/>
      <c r="ADD322" s="75"/>
      <c r="ADE322" s="75"/>
      <c r="ADF322" s="75"/>
      <c r="ADG322" s="75"/>
      <c r="ADH322" s="75"/>
      <c r="ADI322" s="75"/>
      <c r="ADJ322" s="75"/>
      <c r="ADK322" s="75"/>
      <c r="ADL322" s="75"/>
      <c r="ADM322" s="75"/>
      <c r="ADN322" s="75"/>
      <c r="ADO322" s="75"/>
      <c r="ADP322" s="75"/>
      <c r="ADQ322" s="75"/>
      <c r="ADR322" s="75"/>
      <c r="ADS322" s="75"/>
      <c r="ADT322" s="75"/>
      <c r="ADU322" s="75"/>
      <c r="ADV322" s="75"/>
      <c r="ADW322" s="75"/>
      <c r="ADX322" s="75"/>
      <c r="ADY322" s="75"/>
      <c r="ADZ322" s="75"/>
      <c r="AEA322" s="75"/>
      <c r="AEB322" s="75"/>
      <c r="AEC322" s="75"/>
      <c r="AED322" s="75"/>
      <c r="AEE322" s="75"/>
      <c r="AEF322" s="75"/>
      <c r="AEG322" s="75"/>
      <c r="AEH322" s="75"/>
      <c r="AEI322" s="75"/>
      <c r="AEJ322" s="75"/>
      <c r="AEK322" s="75"/>
      <c r="AEL322" s="75"/>
      <c r="AEM322" s="75"/>
      <c r="AEN322" s="75"/>
      <c r="AEO322" s="75"/>
      <c r="AEP322" s="75"/>
      <c r="AEQ322" s="75"/>
      <c r="AER322" s="75"/>
      <c r="AES322" s="75"/>
      <c r="AET322" s="75"/>
      <c r="AEU322" s="75"/>
      <c r="AEV322" s="75"/>
      <c r="AEW322" s="75"/>
      <c r="AEX322" s="75"/>
      <c r="AEY322" s="75"/>
      <c r="AEZ322" s="75"/>
      <c r="AFA322" s="75"/>
      <c r="AFB322" s="75"/>
      <c r="AFC322" s="75"/>
      <c r="AFD322" s="75"/>
      <c r="AFE322" s="75"/>
      <c r="AFF322" s="75"/>
      <c r="AFG322" s="75"/>
      <c r="AFH322" s="75"/>
      <c r="AFI322" s="75"/>
      <c r="AFJ322" s="75"/>
      <c r="AFK322" s="75"/>
      <c r="AFL322" s="75"/>
      <c r="AFM322" s="75"/>
      <c r="AFN322" s="75"/>
      <c r="AFO322" s="75"/>
      <c r="AFP322" s="75"/>
      <c r="AFQ322" s="75"/>
      <c r="AFR322" s="75"/>
      <c r="AFS322" s="75"/>
      <c r="AFT322" s="75"/>
      <c r="AFU322" s="75"/>
      <c r="AFV322" s="75"/>
      <c r="AFW322" s="75"/>
      <c r="AFX322" s="75"/>
      <c r="AFY322" s="75"/>
      <c r="AFZ322" s="75"/>
      <c r="AGA322" s="75"/>
      <c r="AGB322" s="75"/>
      <c r="AGC322" s="75"/>
      <c r="AGD322" s="75"/>
      <c r="AGE322" s="75"/>
      <c r="AGF322" s="75"/>
      <c r="AGG322" s="75"/>
      <c r="AGH322" s="75"/>
      <c r="AGI322" s="75"/>
      <c r="AGJ322" s="75"/>
      <c r="AGK322" s="75"/>
      <c r="AGL322" s="75"/>
      <c r="AGM322" s="75"/>
      <c r="AGN322" s="75"/>
      <c r="AGO322" s="75"/>
      <c r="AGP322" s="75"/>
      <c r="AGQ322" s="75"/>
      <c r="AGR322" s="75"/>
      <c r="AGS322" s="75"/>
      <c r="AGT322" s="75"/>
      <c r="AGU322" s="75"/>
      <c r="AGV322" s="75"/>
      <c r="AGW322" s="75"/>
      <c r="AGX322" s="75"/>
      <c r="AGY322" s="75"/>
      <c r="AGZ322" s="75"/>
      <c r="AHA322" s="75"/>
      <c r="AHB322" s="75"/>
      <c r="AHC322" s="75"/>
      <c r="AHD322" s="75"/>
      <c r="AHE322" s="75"/>
      <c r="AHF322" s="75"/>
      <c r="AHG322" s="75"/>
      <c r="AHH322" s="75"/>
      <c r="AHI322" s="75"/>
      <c r="AHJ322" s="75"/>
      <c r="AHK322" s="75"/>
      <c r="AHL322" s="75"/>
      <c r="AHM322" s="75"/>
      <c r="AHN322" s="75"/>
      <c r="AHO322" s="75"/>
      <c r="AHP322" s="75"/>
      <c r="AHQ322" s="75"/>
      <c r="AHR322" s="75"/>
      <c r="AHS322" s="75"/>
      <c r="AHT322" s="75"/>
      <c r="AHU322" s="75"/>
      <c r="AHV322" s="75"/>
      <c r="AHW322" s="75"/>
      <c r="AHX322" s="75"/>
      <c r="AHY322" s="75"/>
      <c r="AHZ322" s="75"/>
      <c r="AIA322" s="75"/>
      <c r="AIB322" s="75"/>
      <c r="AIC322" s="75"/>
      <c r="AID322" s="75"/>
      <c r="AIE322" s="75"/>
      <c r="AIF322" s="75"/>
      <c r="AIG322" s="75"/>
      <c r="AIH322" s="75"/>
      <c r="AII322" s="75"/>
      <c r="AIJ322" s="75"/>
      <c r="AIK322" s="75"/>
      <c r="AIL322" s="75"/>
      <c r="AIM322" s="75"/>
      <c r="AIN322" s="75"/>
      <c r="AIO322" s="75"/>
      <c r="AIP322" s="75"/>
      <c r="AIQ322" s="75"/>
      <c r="AIR322" s="75"/>
      <c r="AIS322" s="75"/>
      <c r="AIT322" s="75"/>
      <c r="AIU322" s="75"/>
      <c r="AIV322" s="75"/>
      <c r="AIW322" s="75"/>
      <c r="AIX322" s="75"/>
      <c r="AIY322" s="75"/>
      <c r="AIZ322" s="75"/>
      <c r="AJA322" s="75"/>
      <c r="AJB322" s="75"/>
      <c r="AJC322" s="75"/>
      <c r="AJD322" s="75"/>
      <c r="AJE322" s="75"/>
      <c r="AJF322" s="75"/>
      <c r="AJG322" s="75"/>
      <c r="AJH322" s="75"/>
      <c r="AJI322" s="75"/>
      <c r="AJJ322" s="75"/>
      <c r="AJK322" s="75"/>
      <c r="AJL322" s="75"/>
      <c r="AJM322" s="75"/>
      <c r="AJN322" s="75"/>
      <c r="AJO322" s="75"/>
      <c r="AJP322" s="75"/>
      <c r="AJQ322" s="75"/>
      <c r="AJR322" s="75"/>
      <c r="AJS322" s="75"/>
      <c r="AJT322" s="75"/>
      <c r="AJU322" s="75"/>
      <c r="AJV322" s="75"/>
      <c r="AJW322" s="75"/>
      <c r="AJX322" s="75"/>
      <c r="AJY322" s="75"/>
      <c r="AJZ322" s="75"/>
      <c r="AKA322" s="75"/>
      <c r="AKB322" s="75"/>
      <c r="AKC322" s="75"/>
      <c r="AKD322" s="75"/>
      <c r="AKE322" s="75"/>
      <c r="AKF322" s="75"/>
      <c r="AKG322" s="75"/>
      <c r="AKH322" s="75"/>
      <c r="AKI322" s="75"/>
      <c r="AKJ322" s="75"/>
      <c r="AKK322" s="75"/>
      <c r="AKL322" s="75"/>
      <c r="AKM322" s="75"/>
      <c r="AKN322" s="75"/>
      <c r="AKO322" s="75"/>
      <c r="AKP322" s="75"/>
      <c r="AKQ322" s="75"/>
      <c r="AKR322" s="75"/>
      <c r="AKS322" s="75"/>
      <c r="AKT322" s="75"/>
      <c r="AKU322" s="75"/>
      <c r="AKV322" s="75"/>
      <c r="AKW322" s="75"/>
      <c r="AKX322" s="75"/>
      <c r="AKY322" s="75"/>
      <c r="AKZ322" s="75"/>
      <c r="ALA322" s="75"/>
      <c r="ALB322" s="75"/>
      <c r="ALC322" s="75"/>
      <c r="ALD322" s="75"/>
      <c r="ALE322" s="75"/>
      <c r="ALF322" s="75"/>
      <c r="ALG322" s="75"/>
      <c r="ALH322" s="75"/>
      <c r="ALI322" s="75"/>
      <c r="ALJ322" s="75"/>
      <c r="ALK322" s="75"/>
      <c r="ALL322" s="75"/>
      <c r="ALM322" s="75"/>
      <c r="ALN322" s="75"/>
      <c r="ALO322" s="75"/>
    </row>
    <row r="323" spans="1:1003" ht="14.55" customHeight="1" outlineLevel="1" x14ac:dyDescent="0.25">
      <c r="A323" s="230" t="s">
        <v>1422</v>
      </c>
      <c r="B323" s="343" t="str">
        <f>"05.0208"</f>
        <v>05.0208</v>
      </c>
      <c r="C323" s="75" t="s">
        <v>1848</v>
      </c>
      <c r="D323" s="127" t="s">
        <v>1849</v>
      </c>
      <c r="E323" s="232"/>
    </row>
    <row r="324" spans="1:1003" ht="14.55" customHeight="1" outlineLevel="1" x14ac:dyDescent="0.25">
      <c r="A324" s="230" t="s">
        <v>1422</v>
      </c>
      <c r="B324" s="343" t="str">
        <f>"05.0209"</f>
        <v>05.0209</v>
      </c>
      <c r="C324" s="75" t="s">
        <v>1850</v>
      </c>
      <c r="D324" s="127" t="s">
        <v>1851</v>
      </c>
      <c r="E324" s="232"/>
    </row>
    <row r="325" spans="1:1003" ht="14.55" customHeight="1" outlineLevel="1" x14ac:dyDescent="0.25">
      <c r="A325" s="230" t="s">
        <v>1422</v>
      </c>
      <c r="B325" s="343" t="str">
        <f>"05.0210"</f>
        <v>05.0210</v>
      </c>
      <c r="C325" s="75" t="s">
        <v>1852</v>
      </c>
      <c r="D325" s="127" t="s">
        <v>1853</v>
      </c>
      <c r="E325" s="232"/>
    </row>
    <row r="326" spans="1:1003" ht="14.55" customHeight="1" outlineLevel="1" x14ac:dyDescent="0.25">
      <c r="A326" s="230" t="s">
        <v>1422</v>
      </c>
      <c r="B326" s="343" t="str">
        <f>"05.0211"</f>
        <v>05.0211</v>
      </c>
      <c r="C326" s="75" t="s">
        <v>1854</v>
      </c>
      <c r="D326" s="127" t="s">
        <v>1855</v>
      </c>
      <c r="E326" s="232"/>
    </row>
    <row r="327" spans="1:1003" ht="14.55" customHeight="1" outlineLevel="1" x14ac:dyDescent="0.25">
      <c r="A327" s="230" t="s">
        <v>1422</v>
      </c>
      <c r="B327" s="343" t="str">
        <f>"05.0212"</f>
        <v>05.0212</v>
      </c>
      <c r="C327" s="75" t="s">
        <v>1856</v>
      </c>
      <c r="D327" s="127" t="s">
        <v>1857</v>
      </c>
      <c r="E327" s="232"/>
    </row>
    <row r="328" spans="1:1003" ht="14.55" customHeight="1" outlineLevel="1" x14ac:dyDescent="0.25">
      <c r="A328" s="230" t="s">
        <v>1422</v>
      </c>
      <c r="B328" s="343" t="str">
        <f>"05.0299"</f>
        <v>05.0299</v>
      </c>
      <c r="C328" s="75" t="s">
        <v>1858</v>
      </c>
      <c r="D328" s="127" t="s">
        <v>1859</v>
      </c>
      <c r="E328" s="232"/>
    </row>
    <row r="329" spans="1:1003" ht="14.55" customHeight="1" outlineLevel="1" x14ac:dyDescent="0.25">
      <c r="A329" s="230" t="s">
        <v>1422</v>
      </c>
      <c r="B329" s="343" t="str">
        <f>"05.99"</f>
        <v>05.99</v>
      </c>
      <c r="C329" s="75" t="s">
        <v>1860</v>
      </c>
      <c r="D329" s="127" t="s">
        <v>1861</v>
      </c>
      <c r="E329" s="232"/>
    </row>
    <row r="330" spans="1:1003" ht="14.55" customHeight="1" outlineLevel="1" x14ac:dyDescent="0.25">
      <c r="A330" s="230" t="s">
        <v>1422</v>
      </c>
      <c r="B330" s="343" t="str">
        <f>"05.9999"</f>
        <v>05.9999</v>
      </c>
      <c r="C330" s="75" t="s">
        <v>1860</v>
      </c>
      <c r="D330" s="127" t="s">
        <v>1862</v>
      </c>
      <c r="E330" s="232"/>
    </row>
    <row r="331" spans="1:1003" ht="14.55" customHeight="1" outlineLevel="1" x14ac:dyDescent="0.25">
      <c r="A331" s="230" t="s">
        <v>1422</v>
      </c>
      <c r="B331" s="343" t="str">
        <f>"09"</f>
        <v>09</v>
      </c>
      <c r="C331" s="75" t="s">
        <v>1863</v>
      </c>
      <c r="D331" s="127" t="s">
        <v>1864</v>
      </c>
      <c r="E331" s="232"/>
    </row>
    <row r="332" spans="1:1003" ht="14.55" customHeight="1" outlineLevel="1" x14ac:dyDescent="0.25">
      <c r="A332" s="230" t="s">
        <v>1422</v>
      </c>
      <c r="B332" s="343" t="str">
        <f>"09.01"</f>
        <v>09.01</v>
      </c>
      <c r="C332" s="75" t="s">
        <v>1865</v>
      </c>
      <c r="D332" s="127" t="s">
        <v>1866</v>
      </c>
      <c r="E332" s="232"/>
    </row>
    <row r="333" spans="1:1003" ht="14.55" customHeight="1" outlineLevel="1" x14ac:dyDescent="0.25">
      <c r="A333" s="230" t="s">
        <v>1422</v>
      </c>
      <c r="B333" s="343" t="str">
        <f>"09.0100"</f>
        <v>09.0100</v>
      </c>
      <c r="C333" s="75" t="s">
        <v>1867</v>
      </c>
      <c r="D333" s="127" t="s">
        <v>1868</v>
      </c>
      <c r="E333" s="232"/>
    </row>
    <row r="334" spans="1:1003" ht="14.55" customHeight="1" outlineLevel="1" x14ac:dyDescent="0.25">
      <c r="A334" s="230" t="s">
        <v>1422</v>
      </c>
      <c r="B334" s="343" t="str">
        <f>"09.0101"</f>
        <v>09.0101</v>
      </c>
      <c r="C334" s="75" t="s">
        <v>1869</v>
      </c>
      <c r="D334" s="127" t="s">
        <v>1870</v>
      </c>
      <c r="E334" s="232"/>
    </row>
    <row r="335" spans="1:1003" ht="14.55" customHeight="1" outlineLevel="1" x14ac:dyDescent="0.25">
      <c r="A335" s="230" t="s">
        <v>1422</v>
      </c>
      <c r="B335" s="343" t="str">
        <f>"09.0102"</f>
        <v>09.0102</v>
      </c>
      <c r="C335" s="75" t="s">
        <v>1871</v>
      </c>
      <c r="D335" s="127" t="s">
        <v>1872</v>
      </c>
      <c r="E335" s="232"/>
    </row>
    <row r="336" spans="1:1003" ht="14.55" customHeight="1" outlineLevel="1" x14ac:dyDescent="0.25">
      <c r="A336" s="230" t="s">
        <v>1422</v>
      </c>
      <c r="B336" s="343" t="str">
        <f>"09.0199"</f>
        <v>09.0199</v>
      </c>
      <c r="C336" s="75" t="s">
        <v>1873</v>
      </c>
      <c r="D336" s="127" t="s">
        <v>1874</v>
      </c>
      <c r="E336" s="232"/>
    </row>
    <row r="337" spans="1:5" ht="14.55" customHeight="1" outlineLevel="1" x14ac:dyDescent="0.25">
      <c r="A337" s="230" t="s">
        <v>1422</v>
      </c>
      <c r="B337" s="343" t="str">
        <f>"09.04"</f>
        <v>09.04</v>
      </c>
      <c r="C337" s="75" t="s">
        <v>1875</v>
      </c>
      <c r="D337" s="127" t="s">
        <v>1876</v>
      </c>
      <c r="E337" s="232"/>
    </row>
    <row r="338" spans="1:5" ht="14.55" customHeight="1" outlineLevel="1" x14ac:dyDescent="0.25">
      <c r="A338" s="230" t="s">
        <v>1422</v>
      </c>
      <c r="B338" s="343" t="str">
        <f>"09.0401"</f>
        <v>09.0401</v>
      </c>
      <c r="C338" s="75" t="s">
        <v>1875</v>
      </c>
      <c r="D338" s="127" t="s">
        <v>1877</v>
      </c>
      <c r="E338" s="232"/>
    </row>
    <row r="339" spans="1:5" ht="14.55" customHeight="1" outlineLevel="1" x14ac:dyDescent="0.25">
      <c r="A339" s="230" t="s">
        <v>1422</v>
      </c>
      <c r="B339" s="343" t="str">
        <f>"09.0402"</f>
        <v>09.0402</v>
      </c>
      <c r="C339" s="75" t="s">
        <v>1878</v>
      </c>
      <c r="D339" s="127" t="s">
        <v>1879</v>
      </c>
      <c r="E339" s="232"/>
    </row>
    <row r="340" spans="1:5" ht="14.55" customHeight="1" outlineLevel="1" x14ac:dyDescent="0.25">
      <c r="A340" s="230" t="s">
        <v>1422</v>
      </c>
      <c r="B340" s="343" t="str">
        <f>"09.0404"</f>
        <v>09.0404</v>
      </c>
      <c r="C340" s="75" t="s">
        <v>1880</v>
      </c>
      <c r="D340" s="127" t="s">
        <v>1881</v>
      </c>
      <c r="E340" s="232"/>
    </row>
    <row r="341" spans="1:5" ht="14.55" customHeight="1" outlineLevel="1" x14ac:dyDescent="0.25">
      <c r="A341" s="230" t="s">
        <v>1422</v>
      </c>
      <c r="B341" s="343" t="str">
        <f>"09.0405"</f>
        <v>09.0405</v>
      </c>
      <c r="C341" s="75" t="s">
        <v>1882</v>
      </c>
      <c r="D341" s="127" t="s">
        <v>1883</v>
      </c>
      <c r="E341" s="232"/>
    </row>
    <row r="342" spans="1:5" ht="14.55" customHeight="1" outlineLevel="1" x14ac:dyDescent="0.25">
      <c r="A342" s="230" t="s">
        <v>1422</v>
      </c>
      <c r="B342" s="343" t="str">
        <f>"09.0406"</f>
        <v>09.0406</v>
      </c>
      <c r="C342" s="75" t="s">
        <v>1884</v>
      </c>
      <c r="D342" s="127" t="s">
        <v>1885</v>
      </c>
      <c r="E342" s="232"/>
    </row>
    <row r="343" spans="1:5" ht="14.55" customHeight="1" outlineLevel="1" x14ac:dyDescent="0.25">
      <c r="A343" s="230" t="s">
        <v>1422</v>
      </c>
      <c r="B343" s="343" t="str">
        <f>"09.0407"</f>
        <v>09.0407</v>
      </c>
      <c r="C343" s="75" t="s">
        <v>1886</v>
      </c>
      <c r="D343" s="127" t="s">
        <v>1887</v>
      </c>
      <c r="E343" s="232"/>
    </row>
    <row r="344" spans="1:5" ht="14.55" customHeight="1" outlineLevel="1" x14ac:dyDescent="0.25">
      <c r="A344" s="230" t="s">
        <v>1422</v>
      </c>
      <c r="B344" s="343" t="str">
        <f>"09.0499"</f>
        <v>09.0499</v>
      </c>
      <c r="C344" s="75" t="s">
        <v>1888</v>
      </c>
      <c r="D344" s="127" t="s">
        <v>1889</v>
      </c>
      <c r="E344" s="232"/>
    </row>
    <row r="345" spans="1:5" ht="14.55" customHeight="1" outlineLevel="1" x14ac:dyDescent="0.25">
      <c r="A345" s="230" t="s">
        <v>1422</v>
      </c>
      <c r="B345" s="343" t="str">
        <f>"09.07"</f>
        <v>09.07</v>
      </c>
      <c r="C345" s="75" t="s">
        <v>1890</v>
      </c>
      <c r="D345" s="127" t="s">
        <v>1891</v>
      </c>
      <c r="E345" s="232"/>
    </row>
    <row r="346" spans="1:5" ht="14.55" customHeight="1" outlineLevel="1" x14ac:dyDescent="0.25">
      <c r="A346" s="230" t="s">
        <v>1422</v>
      </c>
      <c r="B346" s="343" t="str">
        <f>"09.0701"</f>
        <v>09.0701</v>
      </c>
      <c r="C346" s="75" t="s">
        <v>1892</v>
      </c>
      <c r="D346" s="127" t="s">
        <v>1893</v>
      </c>
      <c r="E346" s="232"/>
    </row>
    <row r="347" spans="1:5" ht="14.55" customHeight="1" outlineLevel="1" x14ac:dyDescent="0.25">
      <c r="A347" s="230" t="s">
        <v>1422</v>
      </c>
      <c r="B347" s="343" t="str">
        <f>"09.0702"</f>
        <v>09.0702</v>
      </c>
      <c r="C347" s="75" t="s">
        <v>1894</v>
      </c>
      <c r="D347" s="127" t="s">
        <v>1895</v>
      </c>
      <c r="E347" s="232"/>
    </row>
    <row r="348" spans="1:5" ht="14.55" customHeight="1" outlineLevel="1" x14ac:dyDescent="0.25">
      <c r="A348" s="230" t="s">
        <v>1422</v>
      </c>
      <c r="B348" s="343" t="str">
        <f>"09.0799"</f>
        <v>09.0799</v>
      </c>
      <c r="C348" s="75" t="s">
        <v>1896</v>
      </c>
      <c r="D348" s="127" t="s">
        <v>1897</v>
      </c>
      <c r="E348" s="232"/>
    </row>
    <row r="349" spans="1:5" ht="14.55" customHeight="1" outlineLevel="1" x14ac:dyDescent="0.25">
      <c r="A349" s="230" t="s">
        <v>1422</v>
      </c>
      <c r="B349" s="343" t="str">
        <f>"09.09"</f>
        <v>09.09</v>
      </c>
      <c r="C349" s="75" t="s">
        <v>1898</v>
      </c>
      <c r="D349" s="127" t="s">
        <v>1899</v>
      </c>
      <c r="E349" s="232"/>
    </row>
    <row r="350" spans="1:5" ht="14.55" customHeight="1" outlineLevel="1" x14ac:dyDescent="0.25">
      <c r="A350" s="230" t="s">
        <v>1422</v>
      </c>
      <c r="B350" s="343" t="str">
        <f>"09.0900"</f>
        <v>09.0900</v>
      </c>
      <c r="C350" s="75" t="s">
        <v>1898</v>
      </c>
      <c r="D350" s="127" t="s">
        <v>1900</v>
      </c>
      <c r="E350" s="232"/>
    </row>
    <row r="351" spans="1:5" ht="14.55" customHeight="1" outlineLevel="1" x14ac:dyDescent="0.25">
      <c r="A351" s="230" t="s">
        <v>1422</v>
      </c>
      <c r="B351" s="343" t="str">
        <f>"09.0901"</f>
        <v>09.0901</v>
      </c>
      <c r="C351" s="75" t="s">
        <v>1901</v>
      </c>
      <c r="D351" s="127" t="s">
        <v>1902</v>
      </c>
      <c r="E351" s="232"/>
    </row>
    <row r="352" spans="1:5" ht="14.55" customHeight="1" outlineLevel="1" x14ac:dyDescent="0.25">
      <c r="A352" s="230" t="s">
        <v>1422</v>
      </c>
      <c r="B352" s="343" t="str">
        <f>"09.0902"</f>
        <v>09.0902</v>
      </c>
      <c r="C352" s="75" t="s">
        <v>1903</v>
      </c>
      <c r="D352" s="127" t="s">
        <v>1904</v>
      </c>
      <c r="E352" s="232"/>
    </row>
    <row r="353" spans="1:5" ht="14.55" customHeight="1" outlineLevel="1" x14ac:dyDescent="0.25">
      <c r="A353" s="230" t="s">
        <v>1422</v>
      </c>
      <c r="B353" s="343" t="str">
        <f>"09.0903"</f>
        <v>09.0903</v>
      </c>
      <c r="C353" s="75" t="s">
        <v>1905</v>
      </c>
      <c r="D353" s="127" t="s">
        <v>1906</v>
      </c>
      <c r="E353" s="232"/>
    </row>
    <row r="354" spans="1:5" ht="14.55" customHeight="1" outlineLevel="1" x14ac:dyDescent="0.25">
      <c r="A354" s="230" t="s">
        <v>1422</v>
      </c>
      <c r="B354" s="343" t="str">
        <f>"09.0904"</f>
        <v>09.0904</v>
      </c>
      <c r="C354" s="75" t="s">
        <v>1907</v>
      </c>
      <c r="D354" s="127" t="s">
        <v>1908</v>
      </c>
      <c r="E354" s="232"/>
    </row>
    <row r="355" spans="1:5" ht="14.55" customHeight="1" outlineLevel="1" x14ac:dyDescent="0.25">
      <c r="A355" s="230" t="s">
        <v>1422</v>
      </c>
      <c r="B355" s="343" t="str">
        <f>"09.0905"</f>
        <v>09.0905</v>
      </c>
      <c r="C355" s="75" t="s">
        <v>1909</v>
      </c>
      <c r="D355" s="127" t="s">
        <v>1910</v>
      </c>
      <c r="E355" s="232"/>
    </row>
    <row r="356" spans="1:5" ht="14.55" customHeight="1" outlineLevel="1" x14ac:dyDescent="0.25">
      <c r="A356" s="230" t="s">
        <v>1422</v>
      </c>
      <c r="B356" s="343" t="str">
        <f>"09.0906"</f>
        <v>09.0906</v>
      </c>
      <c r="C356" s="75" t="s">
        <v>1911</v>
      </c>
      <c r="D356" s="127" t="s">
        <v>1912</v>
      </c>
      <c r="E356" s="232"/>
    </row>
    <row r="357" spans="1:5" ht="14.55" customHeight="1" outlineLevel="1" x14ac:dyDescent="0.25">
      <c r="A357" s="230" t="s">
        <v>1422</v>
      </c>
      <c r="B357" s="343" t="str">
        <f>"09.0907"</f>
        <v>09.0907</v>
      </c>
      <c r="C357" s="75" t="s">
        <v>1913</v>
      </c>
      <c r="D357" s="127" t="s">
        <v>1914</v>
      </c>
      <c r="E357" s="232"/>
    </row>
    <row r="358" spans="1:5" ht="14.55" customHeight="1" outlineLevel="1" x14ac:dyDescent="0.25">
      <c r="A358" s="230" t="s">
        <v>1422</v>
      </c>
      <c r="B358" s="343" t="str">
        <f>"09.0908"</f>
        <v>09.0908</v>
      </c>
      <c r="C358" s="75" t="s">
        <v>1915</v>
      </c>
      <c r="D358" s="127" t="s">
        <v>1916</v>
      </c>
      <c r="E358" s="232"/>
    </row>
    <row r="359" spans="1:5" ht="14.55" customHeight="1" outlineLevel="1" x14ac:dyDescent="0.25">
      <c r="A359" s="230" t="s">
        <v>1422</v>
      </c>
      <c r="B359" s="343" t="str">
        <f>"09.0909"</f>
        <v>09.0909</v>
      </c>
      <c r="C359" s="75" t="s">
        <v>1917</v>
      </c>
      <c r="D359" s="127" t="s">
        <v>1918</v>
      </c>
      <c r="E359" s="232"/>
    </row>
    <row r="360" spans="1:5" ht="14.55" customHeight="1" outlineLevel="1" x14ac:dyDescent="0.25">
      <c r="A360" s="230" t="s">
        <v>1422</v>
      </c>
      <c r="B360" s="343" t="str">
        <f>"09.0999"</f>
        <v>09.0999</v>
      </c>
      <c r="C360" s="75" t="s">
        <v>1919</v>
      </c>
      <c r="D360" s="127" t="s">
        <v>1920</v>
      </c>
      <c r="E360" s="232"/>
    </row>
    <row r="361" spans="1:5" ht="14.55" customHeight="1" outlineLevel="1" x14ac:dyDescent="0.25">
      <c r="A361" s="230" t="s">
        <v>1422</v>
      </c>
      <c r="B361" s="343" t="str">
        <f>"09.10"</f>
        <v>09.10</v>
      </c>
      <c r="C361" s="75" t="s">
        <v>1921</v>
      </c>
      <c r="D361" s="127" t="s">
        <v>1922</v>
      </c>
      <c r="E361" s="232"/>
    </row>
    <row r="362" spans="1:5" ht="14.55" customHeight="1" outlineLevel="1" x14ac:dyDescent="0.25">
      <c r="A362" s="230" t="s">
        <v>1422</v>
      </c>
      <c r="B362" s="343" t="str">
        <f>"09.1001"</f>
        <v>09.1001</v>
      </c>
      <c r="C362" s="75" t="s">
        <v>1921</v>
      </c>
      <c r="D362" s="127" t="s">
        <v>1923</v>
      </c>
      <c r="E362" s="232"/>
    </row>
    <row r="363" spans="1:5" ht="14.55" customHeight="1" outlineLevel="1" x14ac:dyDescent="0.25">
      <c r="A363" s="230" t="s">
        <v>1422</v>
      </c>
      <c r="B363" s="343" t="str">
        <f>"09.99"</f>
        <v>09.99</v>
      </c>
      <c r="C363" s="75" t="s">
        <v>1924</v>
      </c>
      <c r="D363" s="127" t="s">
        <v>1925</v>
      </c>
      <c r="E363" s="232"/>
    </row>
    <row r="364" spans="1:5" ht="14.55" customHeight="1" outlineLevel="1" x14ac:dyDescent="0.25">
      <c r="A364" s="230" t="s">
        <v>1422</v>
      </c>
      <c r="B364" s="343" t="str">
        <f>"09.9999"</f>
        <v>09.9999</v>
      </c>
      <c r="C364" s="75" t="s">
        <v>1924</v>
      </c>
      <c r="D364" s="127" t="s">
        <v>1926</v>
      </c>
      <c r="E364" s="232"/>
    </row>
    <row r="365" spans="1:5" ht="14.55" customHeight="1" outlineLevel="1" x14ac:dyDescent="0.25">
      <c r="A365" s="230" t="s">
        <v>1422</v>
      </c>
      <c r="B365" s="343" t="str">
        <f>"10"</f>
        <v>10</v>
      </c>
      <c r="C365" s="75" t="s">
        <v>1927</v>
      </c>
      <c r="D365" s="127" t="s">
        <v>1928</v>
      </c>
      <c r="E365" s="232"/>
    </row>
    <row r="366" spans="1:5" ht="14.55" customHeight="1" outlineLevel="1" x14ac:dyDescent="0.25">
      <c r="A366" s="230" t="s">
        <v>1422</v>
      </c>
      <c r="B366" s="343" t="str">
        <f>"10.01"</f>
        <v>10.01</v>
      </c>
      <c r="C366" s="75" t="s">
        <v>1929</v>
      </c>
      <c r="D366" s="127" t="s">
        <v>1930</v>
      </c>
      <c r="E366" s="232"/>
    </row>
    <row r="367" spans="1:5" ht="14.55" customHeight="1" outlineLevel="1" x14ac:dyDescent="0.25">
      <c r="A367" s="230" t="s">
        <v>1422</v>
      </c>
      <c r="B367" s="343" t="str">
        <f>"10.0105"</f>
        <v>10.0105</v>
      </c>
      <c r="C367" s="75" t="s">
        <v>1931</v>
      </c>
      <c r="D367" s="127" t="s">
        <v>1932</v>
      </c>
      <c r="E367" s="232"/>
    </row>
    <row r="368" spans="1:5" ht="14.55" customHeight="1" outlineLevel="1" x14ac:dyDescent="0.25">
      <c r="A368" s="230" t="s">
        <v>1422</v>
      </c>
      <c r="B368" s="343" t="str">
        <f>"10.02"</f>
        <v>10.02</v>
      </c>
      <c r="C368" s="75" t="s">
        <v>1933</v>
      </c>
      <c r="D368" s="127" t="s">
        <v>1934</v>
      </c>
      <c r="E368" s="232"/>
    </row>
    <row r="369" spans="1:5" ht="14.55" customHeight="1" outlineLevel="1" x14ac:dyDescent="0.25">
      <c r="A369" s="230" t="s">
        <v>1422</v>
      </c>
      <c r="B369" s="343" t="str">
        <f>"10.0201"</f>
        <v>10.0201</v>
      </c>
      <c r="C369" s="75" t="s">
        <v>1935</v>
      </c>
      <c r="D369" s="127" t="s">
        <v>1936</v>
      </c>
      <c r="E369" s="232"/>
    </row>
    <row r="370" spans="1:5" ht="14.55" customHeight="1" outlineLevel="1" x14ac:dyDescent="0.25">
      <c r="A370" s="230" t="s">
        <v>1422</v>
      </c>
      <c r="B370" s="343" t="str">
        <f>"10.0202"</f>
        <v>10.0202</v>
      </c>
      <c r="C370" s="75" t="s">
        <v>1937</v>
      </c>
      <c r="D370" s="127" t="s">
        <v>1938</v>
      </c>
      <c r="E370" s="232"/>
    </row>
    <row r="371" spans="1:5" ht="14.55" customHeight="1" outlineLevel="1" x14ac:dyDescent="0.25">
      <c r="A371" s="230" t="s">
        <v>1422</v>
      </c>
      <c r="B371" s="343" t="str">
        <f>"10.0203"</f>
        <v>10.0203</v>
      </c>
      <c r="C371" s="75" t="s">
        <v>1939</v>
      </c>
      <c r="D371" s="127" t="s">
        <v>1940</v>
      </c>
      <c r="E371" s="232"/>
    </row>
    <row r="372" spans="1:5" ht="14.55" customHeight="1" outlineLevel="1" x14ac:dyDescent="0.25">
      <c r="A372" s="230" t="s">
        <v>1422</v>
      </c>
      <c r="B372" s="343" t="str">
        <f>"10.0204"</f>
        <v>10.0204</v>
      </c>
      <c r="C372" s="75" t="s">
        <v>1941</v>
      </c>
      <c r="D372" s="127" t="s">
        <v>1942</v>
      </c>
      <c r="E372" s="232"/>
    </row>
    <row r="373" spans="1:5" ht="14.55" customHeight="1" outlineLevel="1" x14ac:dyDescent="0.25">
      <c r="A373" s="230" t="s">
        <v>1422</v>
      </c>
      <c r="B373" s="343" t="str">
        <f>"10.0299"</f>
        <v>10.0299</v>
      </c>
      <c r="C373" s="75" t="s">
        <v>1943</v>
      </c>
      <c r="D373" s="127" t="s">
        <v>1944</v>
      </c>
      <c r="E373" s="232"/>
    </row>
    <row r="374" spans="1:5" ht="14.55" customHeight="1" outlineLevel="1" x14ac:dyDescent="0.25">
      <c r="A374" s="230" t="s">
        <v>1422</v>
      </c>
      <c r="B374" s="343" t="str">
        <f>"10.03"</f>
        <v>10.03</v>
      </c>
      <c r="C374" s="75" t="s">
        <v>1945</v>
      </c>
      <c r="D374" s="127" t="s">
        <v>1946</v>
      </c>
      <c r="E374" s="232"/>
    </row>
    <row r="375" spans="1:5" ht="14.55" customHeight="1" outlineLevel="1" x14ac:dyDescent="0.25">
      <c r="A375" s="230" t="s">
        <v>1422</v>
      </c>
      <c r="B375" s="343" t="str">
        <f>"10.0301"</f>
        <v>10.0301</v>
      </c>
      <c r="C375" s="75" t="s">
        <v>1947</v>
      </c>
      <c r="D375" s="127" t="s">
        <v>1948</v>
      </c>
      <c r="E375" s="232"/>
    </row>
    <row r="376" spans="1:5" ht="14.55" customHeight="1" outlineLevel="1" x14ac:dyDescent="0.25">
      <c r="A376" s="230" t="s">
        <v>1422</v>
      </c>
      <c r="B376" s="343" t="str">
        <f>"10.0302"</f>
        <v>10.0302</v>
      </c>
      <c r="C376" s="75" t="s">
        <v>1949</v>
      </c>
      <c r="D376" s="127" t="s">
        <v>1950</v>
      </c>
      <c r="E376" s="232"/>
    </row>
    <row r="377" spans="1:5" ht="14.55" customHeight="1" outlineLevel="1" x14ac:dyDescent="0.25">
      <c r="A377" s="230" t="s">
        <v>1422</v>
      </c>
      <c r="B377" s="343" t="str">
        <f>"10.0303"</f>
        <v>10.0303</v>
      </c>
      <c r="C377" s="75" t="s">
        <v>1951</v>
      </c>
      <c r="D377" s="127" t="s">
        <v>1952</v>
      </c>
      <c r="E377" s="232"/>
    </row>
    <row r="378" spans="1:5" ht="14.55" customHeight="1" outlineLevel="1" x14ac:dyDescent="0.25">
      <c r="A378" s="230" t="s">
        <v>1422</v>
      </c>
      <c r="B378" s="343" t="str">
        <f>"10.0304"</f>
        <v>10.0304</v>
      </c>
      <c r="C378" s="75" t="s">
        <v>1953</v>
      </c>
      <c r="D378" s="127" t="s">
        <v>1954</v>
      </c>
      <c r="E378" s="232"/>
    </row>
    <row r="379" spans="1:5" ht="14.55" customHeight="1" outlineLevel="1" x14ac:dyDescent="0.25">
      <c r="A379" s="230" t="s">
        <v>1422</v>
      </c>
      <c r="B379" s="343" t="str">
        <f>"10.0305"</f>
        <v>10.0305</v>
      </c>
      <c r="C379" s="75" t="s">
        <v>1955</v>
      </c>
      <c r="D379" s="127" t="s">
        <v>1956</v>
      </c>
      <c r="E379" s="232"/>
    </row>
    <row r="380" spans="1:5" ht="14.55" customHeight="1" outlineLevel="1" x14ac:dyDescent="0.25">
      <c r="A380" s="230" t="s">
        <v>1422</v>
      </c>
      <c r="B380" s="343" t="str">
        <f>"10.0306"</f>
        <v>10.0306</v>
      </c>
      <c r="C380" s="75" t="s">
        <v>1957</v>
      </c>
      <c r="D380" s="127" t="s">
        <v>1958</v>
      </c>
      <c r="E380" s="232"/>
    </row>
    <row r="381" spans="1:5" ht="14.55" customHeight="1" outlineLevel="1" x14ac:dyDescent="0.25">
      <c r="A381" s="230" t="s">
        <v>1422</v>
      </c>
      <c r="B381" s="343" t="str">
        <f>"10.0307"</f>
        <v>10.0307</v>
      </c>
      <c r="C381" s="75" t="s">
        <v>1959</v>
      </c>
      <c r="D381" s="127" t="s">
        <v>1960</v>
      </c>
      <c r="E381" s="232"/>
    </row>
    <row r="382" spans="1:5" ht="14.55" customHeight="1" outlineLevel="1" x14ac:dyDescent="0.25">
      <c r="A382" s="230" t="s">
        <v>1422</v>
      </c>
      <c r="B382" s="343" t="str">
        <f>"10.0308"</f>
        <v>10.0308</v>
      </c>
      <c r="C382" s="75" t="s">
        <v>1961</v>
      </c>
      <c r="D382" s="127" t="s">
        <v>1962</v>
      </c>
      <c r="E382" s="232"/>
    </row>
    <row r="383" spans="1:5" ht="14.55" customHeight="1" outlineLevel="1" x14ac:dyDescent="0.25">
      <c r="A383" s="230" t="s">
        <v>1422</v>
      </c>
      <c r="B383" s="343" t="str">
        <f>"10.0399"</f>
        <v>10.0399</v>
      </c>
      <c r="C383" s="75" t="s">
        <v>1963</v>
      </c>
      <c r="D383" s="127" t="s">
        <v>1964</v>
      </c>
      <c r="E383" s="232"/>
    </row>
    <row r="384" spans="1:5" ht="14.55" customHeight="1" outlineLevel="1" x14ac:dyDescent="0.25">
      <c r="A384" s="230" t="s">
        <v>1422</v>
      </c>
      <c r="B384" s="343" t="str">
        <f>"10.99"</f>
        <v>10.99</v>
      </c>
      <c r="C384" s="75" t="s">
        <v>1965</v>
      </c>
      <c r="D384" s="127" t="s">
        <v>1966</v>
      </c>
      <c r="E384" s="232"/>
    </row>
    <row r="385" spans="1:5" ht="14.55" customHeight="1" outlineLevel="1" x14ac:dyDescent="0.25">
      <c r="A385" s="230" t="s">
        <v>1422</v>
      </c>
      <c r="B385" s="343" t="str">
        <f>"10.9999"</f>
        <v>10.9999</v>
      </c>
      <c r="C385" s="75" t="s">
        <v>1965</v>
      </c>
      <c r="D385" s="127" t="s">
        <v>1967</v>
      </c>
      <c r="E385" s="232"/>
    </row>
    <row r="386" spans="1:5" ht="14.55" customHeight="1" outlineLevel="1" x14ac:dyDescent="0.25">
      <c r="A386" s="230" t="s">
        <v>1422</v>
      </c>
      <c r="B386" s="343" t="str">
        <f>"11"</f>
        <v>11</v>
      </c>
      <c r="C386" s="75" t="s">
        <v>1968</v>
      </c>
      <c r="D386" s="127" t="s">
        <v>1969</v>
      </c>
      <c r="E386" s="232"/>
    </row>
    <row r="387" spans="1:5" ht="14.55" customHeight="1" outlineLevel="1" x14ac:dyDescent="0.25">
      <c r="A387" s="230" t="s">
        <v>1422</v>
      </c>
      <c r="B387" s="343" t="str">
        <f>"11.01"</f>
        <v>11.01</v>
      </c>
      <c r="C387" s="75" t="s">
        <v>1970</v>
      </c>
      <c r="D387" s="127" t="s">
        <v>1971</v>
      </c>
      <c r="E387" s="232"/>
    </row>
    <row r="388" spans="1:5" ht="14.55" customHeight="1" outlineLevel="1" x14ac:dyDescent="0.25">
      <c r="A388" s="230" t="s">
        <v>1422</v>
      </c>
      <c r="B388" s="343" t="str">
        <f>"11.0101"</f>
        <v>11.0101</v>
      </c>
      <c r="C388" s="75" t="s">
        <v>1970</v>
      </c>
      <c r="D388" s="127" t="s">
        <v>1972</v>
      </c>
      <c r="E388" s="232"/>
    </row>
    <row r="389" spans="1:5" ht="14.55" customHeight="1" outlineLevel="1" x14ac:dyDescent="0.25">
      <c r="A389" s="230" t="s">
        <v>1422</v>
      </c>
      <c r="B389" s="343" t="str">
        <f>"11.0102"</f>
        <v>11.0102</v>
      </c>
      <c r="C389" s="75" t="s">
        <v>1973</v>
      </c>
      <c r="D389" s="127" t="s">
        <v>1974</v>
      </c>
      <c r="E389" s="232"/>
    </row>
    <row r="390" spans="1:5" ht="14.55" customHeight="1" outlineLevel="1" x14ac:dyDescent="0.25">
      <c r="A390" s="230" t="s">
        <v>1422</v>
      </c>
      <c r="B390" s="343" t="str">
        <f>"11.0103"</f>
        <v>11.0103</v>
      </c>
      <c r="C390" s="75" t="s">
        <v>1975</v>
      </c>
      <c r="D390" s="127" t="s">
        <v>1976</v>
      </c>
      <c r="E390" s="232"/>
    </row>
    <row r="391" spans="1:5" ht="14.55" customHeight="1" outlineLevel="1" x14ac:dyDescent="0.25">
      <c r="A391" s="230" t="s">
        <v>1422</v>
      </c>
      <c r="B391" s="343" t="str">
        <f>"11.0104"</f>
        <v>11.0104</v>
      </c>
      <c r="C391" s="75" t="s">
        <v>1977</v>
      </c>
      <c r="D391" s="127" t="s">
        <v>1978</v>
      </c>
      <c r="E391" s="232"/>
    </row>
    <row r="392" spans="1:5" ht="14.55" customHeight="1" outlineLevel="1" x14ac:dyDescent="0.25">
      <c r="A392" s="230" t="s">
        <v>1422</v>
      </c>
      <c r="B392" s="343" t="str">
        <f>"11.0105"</f>
        <v>11.0105</v>
      </c>
      <c r="C392" s="75" t="s">
        <v>1979</v>
      </c>
      <c r="D392" s="127" t="s">
        <v>1980</v>
      </c>
      <c r="E392" s="232"/>
    </row>
    <row r="393" spans="1:5" ht="14.55" customHeight="1" outlineLevel="1" x14ac:dyDescent="0.25">
      <c r="A393" s="230" t="s">
        <v>1422</v>
      </c>
      <c r="B393" s="343" t="str">
        <f>"11.0199"</f>
        <v>11.0199</v>
      </c>
      <c r="C393" s="75" t="s">
        <v>1981</v>
      </c>
      <c r="D393" s="127" t="s">
        <v>1982</v>
      </c>
      <c r="E393" s="232"/>
    </row>
    <row r="394" spans="1:5" ht="14.55" customHeight="1" outlineLevel="1" x14ac:dyDescent="0.25">
      <c r="A394" s="230" t="s">
        <v>1422</v>
      </c>
      <c r="B394" s="343" t="str">
        <f>"11.02"</f>
        <v>11.02</v>
      </c>
      <c r="C394" s="75" t="s">
        <v>1983</v>
      </c>
      <c r="D394" s="127" t="s">
        <v>1984</v>
      </c>
      <c r="E394" s="232"/>
    </row>
    <row r="395" spans="1:5" ht="14.55" customHeight="1" outlineLevel="1" x14ac:dyDescent="0.25">
      <c r="A395" s="230" t="s">
        <v>1422</v>
      </c>
      <c r="B395" s="343" t="str">
        <f>"11.0201"</f>
        <v>11.0201</v>
      </c>
      <c r="C395" s="75" t="s">
        <v>1985</v>
      </c>
      <c r="D395" s="127" t="s">
        <v>1986</v>
      </c>
      <c r="E395" s="232"/>
    </row>
    <row r="396" spans="1:5" ht="14.55" customHeight="1" outlineLevel="1" x14ac:dyDescent="0.25">
      <c r="A396" s="230" t="s">
        <v>1422</v>
      </c>
      <c r="B396" s="343" t="str">
        <f>"11.0202"</f>
        <v>11.0202</v>
      </c>
      <c r="C396" s="75" t="s">
        <v>1987</v>
      </c>
      <c r="D396" s="127" t="s">
        <v>1988</v>
      </c>
      <c r="E396" s="232"/>
    </row>
    <row r="397" spans="1:5" ht="14.55" customHeight="1" outlineLevel="1" x14ac:dyDescent="0.25">
      <c r="A397" s="230" t="s">
        <v>1422</v>
      </c>
      <c r="B397" s="343" t="str">
        <f>"11.0203"</f>
        <v>11.0203</v>
      </c>
      <c r="C397" s="75" t="s">
        <v>1989</v>
      </c>
      <c r="D397" s="127" t="s">
        <v>1990</v>
      </c>
      <c r="E397" s="232"/>
    </row>
    <row r="398" spans="1:5" ht="14.55" customHeight="1" outlineLevel="1" x14ac:dyDescent="0.25">
      <c r="A398" s="230" t="s">
        <v>1422</v>
      </c>
      <c r="B398" s="343" t="str">
        <f>"11.0204"</f>
        <v>11.0204</v>
      </c>
      <c r="C398" s="75" t="s">
        <v>1991</v>
      </c>
      <c r="D398" s="127" t="s">
        <v>1992</v>
      </c>
      <c r="E398" s="232"/>
    </row>
    <row r="399" spans="1:5" ht="14.55" customHeight="1" outlineLevel="1" x14ac:dyDescent="0.25">
      <c r="A399" s="230" t="s">
        <v>1422</v>
      </c>
      <c r="B399" s="343" t="str">
        <f>"11.0205"</f>
        <v>11.0205</v>
      </c>
      <c r="C399" s="75" t="s">
        <v>1993</v>
      </c>
      <c r="D399" s="127" t="s">
        <v>1994</v>
      </c>
      <c r="E399" s="232"/>
    </row>
    <row r="400" spans="1:5" ht="14.55" customHeight="1" outlineLevel="1" x14ac:dyDescent="0.25">
      <c r="A400" s="230" t="s">
        <v>1422</v>
      </c>
      <c r="B400" s="343" t="str">
        <f>"11.0299"</f>
        <v>11.0299</v>
      </c>
      <c r="C400" s="75" t="s">
        <v>1995</v>
      </c>
      <c r="D400" s="127" t="s">
        <v>1996</v>
      </c>
      <c r="E400" s="232"/>
    </row>
    <row r="401" spans="1:5" ht="14.55" customHeight="1" outlineLevel="1" x14ac:dyDescent="0.25">
      <c r="A401" s="230" t="s">
        <v>1422</v>
      </c>
      <c r="B401" s="343" t="str">
        <f>"11.03"</f>
        <v>11.03</v>
      </c>
      <c r="C401" s="75" t="s">
        <v>1997</v>
      </c>
      <c r="D401" s="127" t="s">
        <v>1998</v>
      </c>
      <c r="E401" s="232"/>
    </row>
    <row r="402" spans="1:5" ht="14.55" customHeight="1" outlineLevel="1" x14ac:dyDescent="0.25">
      <c r="A402" s="230" t="s">
        <v>1422</v>
      </c>
      <c r="B402" s="343" t="str">
        <f>"11.0301"</f>
        <v>11.0301</v>
      </c>
      <c r="C402" s="75" t="s">
        <v>1999</v>
      </c>
      <c r="D402" s="127" t="s">
        <v>2000</v>
      </c>
      <c r="E402" s="232"/>
    </row>
    <row r="403" spans="1:5" ht="14.55" customHeight="1" outlineLevel="1" x14ac:dyDescent="0.25">
      <c r="A403" s="230" t="s">
        <v>1422</v>
      </c>
      <c r="B403" s="343" t="str">
        <f>"11.04"</f>
        <v>11.04</v>
      </c>
      <c r="C403" s="75" t="s">
        <v>2001</v>
      </c>
      <c r="D403" s="127" t="s">
        <v>2002</v>
      </c>
      <c r="E403" s="232"/>
    </row>
    <row r="404" spans="1:5" ht="14.55" customHeight="1" outlineLevel="1" x14ac:dyDescent="0.25">
      <c r="A404" s="230" t="s">
        <v>1422</v>
      </c>
      <c r="B404" s="343" t="str">
        <f>"11.0401"</f>
        <v>11.0401</v>
      </c>
      <c r="C404" s="75" t="s">
        <v>2001</v>
      </c>
      <c r="D404" s="127" t="s">
        <v>2003</v>
      </c>
      <c r="E404" s="232"/>
    </row>
    <row r="405" spans="1:5" ht="14.55" customHeight="1" outlineLevel="1" x14ac:dyDescent="0.25">
      <c r="A405" s="230" t="s">
        <v>1422</v>
      </c>
      <c r="B405" s="343" t="str">
        <f>"11.05"</f>
        <v>11.05</v>
      </c>
      <c r="C405" s="75" t="s">
        <v>2004</v>
      </c>
      <c r="D405" s="127" t="s">
        <v>2005</v>
      </c>
      <c r="E405" s="232"/>
    </row>
    <row r="406" spans="1:5" ht="14.55" customHeight="1" outlineLevel="1" x14ac:dyDescent="0.25">
      <c r="A406" s="230" t="s">
        <v>1422</v>
      </c>
      <c r="B406" s="343" t="str">
        <f>"11.0501"</f>
        <v>11.0501</v>
      </c>
      <c r="C406" s="75" t="s">
        <v>2006</v>
      </c>
      <c r="D406" s="127" t="s">
        <v>2007</v>
      </c>
      <c r="E406" s="232"/>
    </row>
    <row r="407" spans="1:5" ht="14.55" customHeight="1" outlineLevel="1" x14ac:dyDescent="0.25">
      <c r="A407" s="230" t="s">
        <v>1422</v>
      </c>
      <c r="B407" s="343" t="str">
        <f>"11.06"</f>
        <v>11.06</v>
      </c>
      <c r="C407" s="75" t="s">
        <v>2008</v>
      </c>
      <c r="D407" s="127" t="s">
        <v>2009</v>
      </c>
      <c r="E407" s="232"/>
    </row>
    <row r="408" spans="1:5" ht="14.55" customHeight="1" outlineLevel="1" x14ac:dyDescent="0.25">
      <c r="A408" s="230" t="s">
        <v>1422</v>
      </c>
      <c r="B408" s="343" t="str">
        <f>"11.0601"</f>
        <v>11.0601</v>
      </c>
      <c r="C408" s="75" t="s">
        <v>2010</v>
      </c>
      <c r="D408" s="127" t="s">
        <v>2011</v>
      </c>
      <c r="E408" s="232"/>
    </row>
    <row r="409" spans="1:5" ht="14.55" customHeight="1" outlineLevel="1" x14ac:dyDescent="0.25">
      <c r="A409" s="230" t="s">
        <v>1422</v>
      </c>
      <c r="B409" s="343" t="str">
        <f>"11.0602"</f>
        <v>11.0602</v>
      </c>
      <c r="C409" s="75" t="s">
        <v>2012</v>
      </c>
      <c r="D409" s="127" t="s">
        <v>2013</v>
      </c>
      <c r="E409" s="232"/>
    </row>
    <row r="410" spans="1:5" ht="14.55" customHeight="1" outlineLevel="1" x14ac:dyDescent="0.25">
      <c r="A410" s="230" t="s">
        <v>1422</v>
      </c>
      <c r="B410" s="343" t="str">
        <f>"11.0699"</f>
        <v>11.0699</v>
      </c>
      <c r="C410" s="75" t="s">
        <v>2014</v>
      </c>
      <c r="D410" s="127" t="s">
        <v>2015</v>
      </c>
      <c r="E410" s="232"/>
    </row>
    <row r="411" spans="1:5" ht="14.55" customHeight="1" outlineLevel="1" x14ac:dyDescent="0.25">
      <c r="A411" s="230" t="s">
        <v>1422</v>
      </c>
      <c r="B411" s="343" t="str">
        <f>"11.07"</f>
        <v>11.07</v>
      </c>
      <c r="C411" s="75" t="s">
        <v>2016</v>
      </c>
      <c r="D411" s="127" t="s">
        <v>2017</v>
      </c>
      <c r="E411" s="232"/>
    </row>
    <row r="412" spans="1:5" ht="14.55" customHeight="1" outlineLevel="1" x14ac:dyDescent="0.25">
      <c r="A412" s="230" t="s">
        <v>1422</v>
      </c>
      <c r="B412" s="343" t="str">
        <f>"11.0701"</f>
        <v>11.0701</v>
      </c>
      <c r="C412" s="75" t="s">
        <v>2016</v>
      </c>
      <c r="D412" s="127" t="s">
        <v>2018</v>
      </c>
      <c r="E412" s="232"/>
    </row>
    <row r="413" spans="1:5" ht="14.55" customHeight="1" outlineLevel="1" x14ac:dyDescent="0.25">
      <c r="A413" s="230" t="s">
        <v>1422</v>
      </c>
      <c r="B413" s="343" t="str">
        <f>"11.08"</f>
        <v>11.08</v>
      </c>
      <c r="C413" s="75" t="s">
        <v>2019</v>
      </c>
      <c r="D413" s="127" t="s">
        <v>2020</v>
      </c>
      <c r="E413" s="232"/>
    </row>
    <row r="414" spans="1:5" ht="14.55" customHeight="1" outlineLevel="1" x14ac:dyDescent="0.25">
      <c r="A414" s="230" t="s">
        <v>1422</v>
      </c>
      <c r="B414" s="343" t="str">
        <f>"11.0801"</f>
        <v>11.0801</v>
      </c>
      <c r="C414" s="75" t="s">
        <v>2021</v>
      </c>
      <c r="D414" s="127" t="s">
        <v>2022</v>
      </c>
      <c r="E414" s="232"/>
    </row>
    <row r="415" spans="1:5" ht="14.55" customHeight="1" outlineLevel="1" x14ac:dyDescent="0.25">
      <c r="A415" s="230" t="s">
        <v>1422</v>
      </c>
      <c r="B415" s="343" t="str">
        <f>"11.0802"</f>
        <v>11.0802</v>
      </c>
      <c r="C415" s="75" t="s">
        <v>2023</v>
      </c>
      <c r="D415" s="127" t="s">
        <v>2024</v>
      </c>
      <c r="E415" s="232"/>
    </row>
    <row r="416" spans="1:5" ht="14.55" customHeight="1" outlineLevel="1" x14ac:dyDescent="0.25">
      <c r="A416" s="230" t="s">
        <v>1422</v>
      </c>
      <c r="B416" s="343" t="str">
        <f>"11.0803"</f>
        <v>11.0803</v>
      </c>
      <c r="C416" s="75" t="s">
        <v>2025</v>
      </c>
      <c r="D416" s="127" t="s">
        <v>2026</v>
      </c>
      <c r="E416" s="232"/>
    </row>
    <row r="417" spans="1:5" ht="14.55" customHeight="1" outlineLevel="1" x14ac:dyDescent="0.25">
      <c r="A417" s="230" t="s">
        <v>1422</v>
      </c>
      <c r="B417" s="343" t="str">
        <f>"11.0804"</f>
        <v>11.0804</v>
      </c>
      <c r="C417" s="75" t="s">
        <v>2027</v>
      </c>
      <c r="D417" s="127" t="s">
        <v>2028</v>
      </c>
      <c r="E417" s="232"/>
    </row>
    <row r="418" spans="1:5" ht="14.55" customHeight="1" outlineLevel="1" x14ac:dyDescent="0.25">
      <c r="A418" s="230" t="s">
        <v>1422</v>
      </c>
      <c r="B418" s="343" t="str">
        <f>"11.0899"</f>
        <v>11.0899</v>
      </c>
      <c r="C418" s="75" t="s">
        <v>2029</v>
      </c>
      <c r="D418" s="127" t="s">
        <v>2030</v>
      </c>
      <c r="E418" s="232"/>
    </row>
    <row r="419" spans="1:5" ht="14.55" customHeight="1" outlineLevel="1" x14ac:dyDescent="0.25">
      <c r="A419" s="230" t="s">
        <v>1422</v>
      </c>
      <c r="B419" s="343" t="str">
        <f>"11.09"</f>
        <v>11.09</v>
      </c>
      <c r="C419" s="75" t="s">
        <v>2031</v>
      </c>
      <c r="D419" s="127" t="s">
        <v>2032</v>
      </c>
      <c r="E419" s="232"/>
    </row>
    <row r="420" spans="1:5" ht="14.55" customHeight="1" outlineLevel="1" x14ac:dyDescent="0.25">
      <c r="A420" s="230" t="s">
        <v>1422</v>
      </c>
      <c r="B420" s="343" t="str">
        <f>"11.0901"</f>
        <v>11.0901</v>
      </c>
      <c r="C420" s="75" t="s">
        <v>2031</v>
      </c>
      <c r="D420" s="127" t="s">
        <v>2033</v>
      </c>
      <c r="E420" s="232"/>
    </row>
    <row r="421" spans="1:5" ht="14.55" customHeight="1" outlineLevel="1" x14ac:dyDescent="0.25">
      <c r="A421" s="230" t="s">
        <v>1422</v>
      </c>
      <c r="B421" s="343" t="str">
        <f>"11.0902"</f>
        <v>11.0902</v>
      </c>
      <c r="C421" s="75" t="s">
        <v>2034</v>
      </c>
      <c r="D421" s="127" t="s">
        <v>2035</v>
      </c>
      <c r="E421" s="232"/>
    </row>
    <row r="422" spans="1:5" ht="14.55" customHeight="1" outlineLevel="1" x14ac:dyDescent="0.25">
      <c r="A422" s="230" t="s">
        <v>1422</v>
      </c>
      <c r="B422" s="343" t="str">
        <f>"11.0999"</f>
        <v>11.0999</v>
      </c>
      <c r="C422" s="75" t="s">
        <v>2036</v>
      </c>
      <c r="D422" s="127" t="s">
        <v>2037</v>
      </c>
      <c r="E422" s="232"/>
    </row>
    <row r="423" spans="1:5" ht="14.55" customHeight="1" outlineLevel="1" x14ac:dyDescent="0.25">
      <c r="A423" s="230" t="s">
        <v>1422</v>
      </c>
      <c r="B423" s="343" t="str">
        <f>"11.10"</f>
        <v>11.10</v>
      </c>
      <c r="C423" s="75" t="s">
        <v>2038</v>
      </c>
      <c r="D423" s="127" t="s">
        <v>2039</v>
      </c>
      <c r="E423" s="232"/>
    </row>
    <row r="424" spans="1:5" ht="14.55" customHeight="1" outlineLevel="1" x14ac:dyDescent="0.25">
      <c r="A424" s="230" t="s">
        <v>1422</v>
      </c>
      <c r="B424" s="343" t="str">
        <f>"11.1001"</f>
        <v>11.1001</v>
      </c>
      <c r="C424" s="75" t="s">
        <v>2040</v>
      </c>
      <c r="D424" s="127" t="s">
        <v>2041</v>
      </c>
      <c r="E424" s="232"/>
    </row>
    <row r="425" spans="1:5" ht="14.55" customHeight="1" outlineLevel="1" x14ac:dyDescent="0.25">
      <c r="A425" s="230" t="s">
        <v>1422</v>
      </c>
      <c r="B425" s="343" t="str">
        <f>"11.1002"</f>
        <v>11.1002</v>
      </c>
      <c r="C425" s="75" t="s">
        <v>2042</v>
      </c>
      <c r="D425" s="127" t="s">
        <v>2043</v>
      </c>
      <c r="E425" s="232"/>
    </row>
    <row r="426" spans="1:5" ht="14.55" customHeight="1" outlineLevel="1" x14ac:dyDescent="0.25">
      <c r="A426" s="230" t="s">
        <v>1422</v>
      </c>
      <c r="B426" s="343" t="str">
        <f>"11.1003"</f>
        <v>11.1003</v>
      </c>
      <c r="C426" s="75" t="s">
        <v>2044</v>
      </c>
      <c r="D426" s="127" t="s">
        <v>2045</v>
      </c>
      <c r="E426" s="232"/>
    </row>
    <row r="427" spans="1:5" ht="14.55" customHeight="1" outlineLevel="1" x14ac:dyDescent="0.25">
      <c r="A427" s="230" t="s">
        <v>1422</v>
      </c>
      <c r="B427" s="343" t="str">
        <f>"11.1004"</f>
        <v>11.1004</v>
      </c>
      <c r="C427" s="75" t="s">
        <v>2046</v>
      </c>
      <c r="D427" s="127" t="s">
        <v>2047</v>
      </c>
      <c r="E427" s="232"/>
    </row>
    <row r="428" spans="1:5" ht="14.55" customHeight="1" outlineLevel="1" x14ac:dyDescent="0.25">
      <c r="A428" s="230" t="s">
        <v>1422</v>
      </c>
      <c r="B428" s="343" t="str">
        <f>"11.1005"</f>
        <v>11.1005</v>
      </c>
      <c r="C428" s="75" t="s">
        <v>2048</v>
      </c>
      <c r="D428" s="127" t="s">
        <v>2049</v>
      </c>
      <c r="E428" s="232"/>
    </row>
    <row r="429" spans="1:5" ht="14.55" customHeight="1" outlineLevel="1" x14ac:dyDescent="0.25">
      <c r="A429" s="230" t="s">
        <v>1422</v>
      </c>
      <c r="B429" s="343" t="str">
        <f>"11.1006"</f>
        <v>11.1006</v>
      </c>
      <c r="C429" s="75" t="s">
        <v>2050</v>
      </c>
      <c r="D429" s="127" t="s">
        <v>2051</v>
      </c>
      <c r="E429" s="232"/>
    </row>
    <row r="430" spans="1:5" ht="14.55" customHeight="1" outlineLevel="1" x14ac:dyDescent="0.25">
      <c r="A430" s="230" t="s">
        <v>1422</v>
      </c>
      <c r="B430" s="343" t="str">
        <f>"11.1099"</f>
        <v>11.1099</v>
      </c>
      <c r="C430" s="75" t="s">
        <v>2052</v>
      </c>
      <c r="D430" s="127" t="s">
        <v>2053</v>
      </c>
      <c r="E430" s="232"/>
    </row>
    <row r="431" spans="1:5" ht="14.55" customHeight="1" outlineLevel="1" x14ac:dyDescent="0.25">
      <c r="A431" s="230" t="s">
        <v>1422</v>
      </c>
      <c r="B431" s="343" t="str">
        <f>"11.99"</f>
        <v>11.99</v>
      </c>
      <c r="C431" s="75" t="s">
        <v>2054</v>
      </c>
      <c r="D431" s="127" t="s">
        <v>2055</v>
      </c>
      <c r="E431" s="232"/>
    </row>
    <row r="432" spans="1:5" ht="14.55" customHeight="1" outlineLevel="1" x14ac:dyDescent="0.25">
      <c r="A432" s="230" t="s">
        <v>1422</v>
      </c>
      <c r="B432" s="343" t="str">
        <f>"11.9999"</f>
        <v>11.9999</v>
      </c>
      <c r="C432" s="75" t="s">
        <v>2054</v>
      </c>
      <c r="D432" s="127" t="s">
        <v>2056</v>
      </c>
      <c r="E432" s="232"/>
    </row>
    <row r="433" spans="1:1003" ht="14.55" customHeight="1" outlineLevel="1" x14ac:dyDescent="0.25">
      <c r="A433" s="230" t="s">
        <v>1422</v>
      </c>
      <c r="B433" s="343" t="str">
        <f>"12"</f>
        <v>12</v>
      </c>
      <c r="C433" s="75" t="s">
        <v>2057</v>
      </c>
      <c r="D433" s="127" t="s">
        <v>2058</v>
      </c>
      <c r="E433" s="232"/>
    </row>
    <row r="434" spans="1:1003" ht="14.55" customHeight="1" outlineLevel="1" x14ac:dyDescent="0.25">
      <c r="A434" s="230" t="s">
        <v>1422</v>
      </c>
      <c r="B434" s="343" t="str">
        <f>"12.03"</f>
        <v>12.03</v>
      </c>
      <c r="C434" s="75" t="s">
        <v>2059</v>
      </c>
      <c r="D434" s="127" t="s">
        <v>2060</v>
      </c>
      <c r="E434" s="232"/>
    </row>
    <row r="435" spans="1:1003" ht="14.55" customHeight="1" outlineLevel="1" x14ac:dyDescent="0.25">
      <c r="A435" s="230" t="s">
        <v>1422</v>
      </c>
      <c r="B435" s="343" t="str">
        <f>"12.0301"</f>
        <v>12.0301</v>
      </c>
      <c r="C435" s="75" t="s">
        <v>2061</v>
      </c>
      <c r="D435" s="127" t="s">
        <v>2062</v>
      </c>
      <c r="E435" s="232"/>
    </row>
    <row r="436" spans="1:1003" ht="14.55" customHeight="1" outlineLevel="1" x14ac:dyDescent="0.25">
      <c r="A436" s="230" t="s">
        <v>1422</v>
      </c>
      <c r="B436" s="343" t="str">
        <f>"12.0302"</f>
        <v>12.0302</v>
      </c>
      <c r="C436" s="75" t="s">
        <v>2063</v>
      </c>
      <c r="D436" s="127" t="s">
        <v>2064</v>
      </c>
      <c r="E436" s="232"/>
    </row>
    <row r="437" spans="1:1003" ht="14.55" customHeight="1" outlineLevel="1" x14ac:dyDescent="0.25">
      <c r="A437" s="230" t="s">
        <v>1422</v>
      </c>
      <c r="B437" s="343" t="str">
        <f>"12.0303"</f>
        <v>12.0303</v>
      </c>
      <c r="C437" s="75" t="s">
        <v>2065</v>
      </c>
      <c r="D437" s="127" t="s">
        <v>2066</v>
      </c>
      <c r="E437" s="232"/>
    </row>
    <row r="438" spans="1:1003" s="234" customFormat="1" ht="14.55" customHeight="1" outlineLevel="1" x14ac:dyDescent="0.25">
      <c r="A438" s="230" t="s">
        <v>1422</v>
      </c>
      <c r="B438" s="343" t="str">
        <f>"12.0399"</f>
        <v>12.0399</v>
      </c>
      <c r="C438" s="75" t="s">
        <v>2067</v>
      </c>
      <c r="D438" s="127" t="s">
        <v>2068</v>
      </c>
      <c r="E438" s="232"/>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c r="BA438" s="75"/>
      <c r="BB438" s="75"/>
      <c r="BC438" s="75"/>
      <c r="BD438" s="75"/>
      <c r="BE438" s="75"/>
      <c r="BF438" s="75"/>
      <c r="BG438" s="75"/>
      <c r="BH438" s="75"/>
      <c r="BI438" s="75"/>
      <c r="BJ438" s="75"/>
      <c r="BK438" s="75"/>
      <c r="BL438" s="75"/>
      <c r="BM438" s="75"/>
      <c r="BN438" s="75"/>
      <c r="BO438" s="75"/>
      <c r="BP438" s="75"/>
      <c r="BQ438" s="75"/>
      <c r="BR438" s="75"/>
      <c r="BS438" s="75"/>
      <c r="BT438" s="75"/>
      <c r="BU438" s="75"/>
      <c r="BV438" s="75"/>
      <c r="BW438" s="75"/>
      <c r="BX438" s="75"/>
      <c r="BY438" s="75"/>
      <c r="BZ438" s="75"/>
      <c r="CA438" s="75"/>
      <c r="CB438" s="75"/>
      <c r="CC438" s="75"/>
      <c r="CD438" s="75"/>
      <c r="CE438" s="75"/>
      <c r="CF438" s="75"/>
      <c r="CG438" s="75"/>
      <c r="CH438" s="75"/>
      <c r="CI438" s="75"/>
      <c r="CJ438" s="75"/>
      <c r="CK438" s="75"/>
      <c r="CL438" s="75"/>
      <c r="CM438" s="75"/>
      <c r="CN438" s="75"/>
      <c r="CO438" s="75"/>
      <c r="CP438" s="75"/>
      <c r="CQ438" s="75"/>
      <c r="CR438" s="75"/>
      <c r="CS438" s="75"/>
      <c r="CT438" s="75"/>
      <c r="CU438" s="75"/>
      <c r="CV438" s="75"/>
      <c r="CW438" s="75"/>
      <c r="CX438" s="75"/>
      <c r="CY438" s="75"/>
      <c r="CZ438" s="75"/>
      <c r="DA438" s="75"/>
      <c r="DB438" s="75"/>
      <c r="DC438" s="75"/>
      <c r="DD438" s="75"/>
      <c r="DE438" s="75"/>
      <c r="DF438" s="75"/>
      <c r="DG438" s="75"/>
      <c r="DH438" s="75"/>
      <c r="DI438" s="75"/>
      <c r="DJ438" s="75"/>
      <c r="DK438" s="75"/>
      <c r="DL438" s="75"/>
      <c r="DM438" s="75"/>
      <c r="DN438" s="75"/>
      <c r="DO438" s="75"/>
      <c r="DP438" s="75"/>
      <c r="DQ438" s="75"/>
      <c r="DR438" s="75"/>
      <c r="DS438" s="75"/>
      <c r="DT438" s="75"/>
      <c r="DU438" s="75"/>
      <c r="DV438" s="75"/>
      <c r="DW438" s="75"/>
      <c r="DX438" s="75"/>
      <c r="DY438" s="75"/>
      <c r="DZ438" s="75"/>
      <c r="EA438" s="75"/>
      <c r="EB438" s="75"/>
      <c r="EC438" s="75"/>
      <c r="ED438" s="75"/>
      <c r="EE438" s="75"/>
      <c r="EF438" s="75"/>
      <c r="EG438" s="75"/>
      <c r="EH438" s="75"/>
      <c r="EI438" s="75"/>
      <c r="EJ438" s="75"/>
      <c r="EK438" s="75"/>
      <c r="EL438" s="75"/>
      <c r="EM438" s="75"/>
      <c r="EN438" s="75"/>
      <c r="EO438" s="75"/>
      <c r="EP438" s="75"/>
      <c r="EQ438" s="75"/>
      <c r="ER438" s="75"/>
      <c r="ES438" s="75"/>
      <c r="ET438" s="75"/>
      <c r="EU438" s="75"/>
      <c r="EV438" s="75"/>
      <c r="EW438" s="75"/>
      <c r="EX438" s="75"/>
      <c r="EY438" s="75"/>
      <c r="EZ438" s="75"/>
      <c r="FA438" s="75"/>
      <c r="FB438" s="75"/>
      <c r="FC438" s="75"/>
      <c r="FD438" s="75"/>
      <c r="FE438" s="75"/>
      <c r="FF438" s="75"/>
      <c r="FG438" s="75"/>
      <c r="FH438" s="75"/>
      <c r="FI438" s="75"/>
      <c r="FJ438" s="75"/>
      <c r="FK438" s="75"/>
      <c r="FL438" s="75"/>
      <c r="FM438" s="75"/>
      <c r="FN438" s="75"/>
      <c r="FO438" s="75"/>
      <c r="FP438" s="75"/>
      <c r="FQ438" s="75"/>
      <c r="FR438" s="75"/>
      <c r="FS438" s="75"/>
      <c r="FT438" s="75"/>
      <c r="FU438" s="75"/>
      <c r="FV438" s="75"/>
      <c r="FW438" s="75"/>
      <c r="FX438" s="75"/>
      <c r="FY438" s="75"/>
      <c r="FZ438" s="75"/>
      <c r="GA438" s="75"/>
      <c r="GB438" s="75"/>
      <c r="GC438" s="75"/>
      <c r="GD438" s="75"/>
      <c r="GE438" s="75"/>
      <c r="GF438" s="75"/>
      <c r="GG438" s="75"/>
      <c r="GH438" s="75"/>
      <c r="GI438" s="75"/>
      <c r="GJ438" s="75"/>
      <c r="GK438" s="75"/>
      <c r="GL438" s="75"/>
      <c r="GM438" s="75"/>
      <c r="GN438" s="75"/>
      <c r="GO438" s="75"/>
      <c r="GP438" s="75"/>
      <c r="GQ438" s="75"/>
      <c r="GR438" s="75"/>
      <c r="GS438" s="75"/>
      <c r="GT438" s="75"/>
      <c r="GU438" s="75"/>
      <c r="GV438" s="75"/>
      <c r="GW438" s="75"/>
      <c r="GX438" s="75"/>
      <c r="GY438" s="75"/>
      <c r="GZ438" s="75"/>
      <c r="HA438" s="75"/>
      <c r="HB438" s="75"/>
      <c r="HC438" s="75"/>
      <c r="HD438" s="75"/>
      <c r="HE438" s="75"/>
      <c r="HF438" s="75"/>
      <c r="HG438" s="75"/>
      <c r="HH438" s="75"/>
      <c r="HI438" s="75"/>
      <c r="HJ438" s="75"/>
      <c r="HK438" s="75"/>
      <c r="HL438" s="75"/>
      <c r="HM438" s="75"/>
      <c r="HN438" s="75"/>
      <c r="HO438" s="75"/>
      <c r="HP438" s="75"/>
      <c r="HQ438" s="75"/>
      <c r="HR438" s="75"/>
      <c r="HS438" s="75"/>
      <c r="HT438" s="75"/>
      <c r="HU438" s="75"/>
      <c r="HV438" s="75"/>
      <c r="HW438" s="75"/>
      <c r="HX438" s="75"/>
      <c r="HY438" s="75"/>
      <c r="HZ438" s="75"/>
      <c r="IA438" s="75"/>
      <c r="IB438" s="75"/>
      <c r="IC438" s="75"/>
      <c r="ID438" s="75"/>
      <c r="IE438" s="75"/>
      <c r="IF438" s="75"/>
      <c r="IG438" s="75"/>
      <c r="IH438" s="75"/>
      <c r="II438" s="75"/>
      <c r="IJ438" s="75"/>
      <c r="IK438" s="75"/>
      <c r="IL438" s="75"/>
      <c r="IM438" s="75"/>
      <c r="IN438" s="75"/>
      <c r="IO438" s="75"/>
      <c r="IP438" s="75"/>
      <c r="IQ438" s="75"/>
      <c r="IR438" s="75"/>
      <c r="IS438" s="75"/>
      <c r="IT438" s="75"/>
      <c r="IU438" s="75"/>
      <c r="IV438" s="75"/>
      <c r="IW438" s="75"/>
      <c r="IX438" s="75"/>
      <c r="IY438" s="75"/>
      <c r="IZ438" s="75"/>
      <c r="JA438" s="75"/>
      <c r="JB438" s="75"/>
      <c r="JC438" s="75"/>
      <c r="JD438" s="75"/>
      <c r="JE438" s="75"/>
      <c r="JF438" s="75"/>
      <c r="JG438" s="75"/>
      <c r="JH438" s="75"/>
      <c r="JI438" s="75"/>
      <c r="JJ438" s="75"/>
      <c r="JK438" s="75"/>
      <c r="JL438" s="75"/>
      <c r="JM438" s="75"/>
      <c r="JN438" s="75"/>
      <c r="JO438" s="75"/>
      <c r="JP438" s="75"/>
      <c r="JQ438" s="75"/>
      <c r="JR438" s="75"/>
      <c r="JS438" s="75"/>
      <c r="JT438" s="75"/>
      <c r="JU438" s="75"/>
      <c r="JV438" s="75"/>
      <c r="JW438" s="75"/>
      <c r="JX438" s="75"/>
      <c r="JY438" s="75"/>
      <c r="JZ438" s="75"/>
      <c r="KA438" s="75"/>
      <c r="KB438" s="75"/>
      <c r="KC438" s="75"/>
      <c r="KD438" s="75"/>
      <c r="KE438" s="75"/>
      <c r="KF438" s="75"/>
      <c r="KG438" s="75"/>
      <c r="KH438" s="75"/>
      <c r="KI438" s="75"/>
      <c r="KJ438" s="75"/>
      <c r="KK438" s="75"/>
      <c r="KL438" s="75"/>
      <c r="KM438" s="75"/>
      <c r="KN438" s="75"/>
      <c r="KO438" s="75"/>
      <c r="KP438" s="75"/>
      <c r="KQ438" s="75"/>
      <c r="KR438" s="75"/>
      <c r="KS438" s="75"/>
      <c r="KT438" s="75"/>
      <c r="KU438" s="75"/>
      <c r="KV438" s="75"/>
      <c r="KW438" s="75"/>
      <c r="KX438" s="75"/>
      <c r="KY438" s="75"/>
      <c r="KZ438" s="75"/>
      <c r="LA438" s="75"/>
      <c r="LB438" s="75"/>
      <c r="LC438" s="75"/>
      <c r="LD438" s="75"/>
      <c r="LE438" s="75"/>
      <c r="LF438" s="75"/>
      <c r="LG438" s="75"/>
      <c r="LH438" s="75"/>
      <c r="LI438" s="75"/>
      <c r="LJ438" s="75"/>
      <c r="LK438" s="75"/>
      <c r="LL438" s="75"/>
      <c r="LM438" s="75"/>
      <c r="LN438" s="75"/>
      <c r="LO438" s="75"/>
      <c r="LP438" s="75"/>
      <c r="LQ438" s="75"/>
      <c r="LR438" s="75"/>
      <c r="LS438" s="75"/>
      <c r="LT438" s="75"/>
      <c r="LU438" s="75"/>
      <c r="LV438" s="75"/>
      <c r="LW438" s="75"/>
      <c r="LX438" s="75"/>
      <c r="LY438" s="75"/>
      <c r="LZ438" s="75"/>
      <c r="MA438" s="75"/>
      <c r="MB438" s="75"/>
      <c r="MC438" s="75"/>
      <c r="MD438" s="75"/>
      <c r="ME438" s="75"/>
      <c r="MF438" s="75"/>
      <c r="MG438" s="75"/>
      <c r="MH438" s="75"/>
      <c r="MI438" s="75"/>
      <c r="MJ438" s="75"/>
      <c r="MK438" s="75"/>
      <c r="ML438" s="75"/>
      <c r="MM438" s="75"/>
      <c r="MN438" s="75"/>
      <c r="MO438" s="75"/>
      <c r="MP438" s="75"/>
      <c r="MQ438" s="75"/>
      <c r="MR438" s="75"/>
      <c r="MS438" s="75"/>
      <c r="MT438" s="75"/>
      <c r="MU438" s="75"/>
      <c r="MV438" s="75"/>
      <c r="MW438" s="75"/>
      <c r="MX438" s="75"/>
      <c r="MY438" s="75"/>
      <c r="MZ438" s="75"/>
      <c r="NA438" s="75"/>
      <c r="NB438" s="75"/>
      <c r="NC438" s="75"/>
      <c r="ND438" s="75"/>
      <c r="NE438" s="75"/>
      <c r="NF438" s="75"/>
      <c r="NG438" s="75"/>
      <c r="NH438" s="75"/>
      <c r="NI438" s="75"/>
      <c r="NJ438" s="75"/>
      <c r="NK438" s="75"/>
      <c r="NL438" s="75"/>
      <c r="NM438" s="75"/>
      <c r="NN438" s="75"/>
      <c r="NO438" s="75"/>
      <c r="NP438" s="75"/>
      <c r="NQ438" s="75"/>
      <c r="NR438" s="75"/>
      <c r="NS438" s="75"/>
      <c r="NT438" s="75"/>
      <c r="NU438" s="75"/>
      <c r="NV438" s="75"/>
      <c r="NW438" s="75"/>
      <c r="NX438" s="75"/>
      <c r="NY438" s="75"/>
      <c r="NZ438" s="75"/>
      <c r="OA438" s="75"/>
      <c r="OB438" s="75"/>
      <c r="OC438" s="75"/>
      <c r="OD438" s="75"/>
      <c r="OE438" s="75"/>
      <c r="OF438" s="75"/>
      <c r="OG438" s="75"/>
      <c r="OH438" s="75"/>
      <c r="OI438" s="75"/>
      <c r="OJ438" s="75"/>
      <c r="OK438" s="75"/>
      <c r="OL438" s="75"/>
      <c r="OM438" s="75"/>
      <c r="ON438" s="75"/>
      <c r="OO438" s="75"/>
      <c r="OP438" s="75"/>
      <c r="OQ438" s="75"/>
      <c r="OR438" s="75"/>
      <c r="OS438" s="75"/>
      <c r="OT438" s="75"/>
      <c r="OU438" s="75"/>
      <c r="OV438" s="75"/>
      <c r="OW438" s="75"/>
      <c r="OX438" s="75"/>
      <c r="OY438" s="75"/>
      <c r="OZ438" s="75"/>
      <c r="PA438" s="75"/>
      <c r="PB438" s="75"/>
      <c r="PC438" s="75"/>
      <c r="PD438" s="75"/>
      <c r="PE438" s="75"/>
      <c r="PF438" s="75"/>
      <c r="PG438" s="75"/>
      <c r="PH438" s="75"/>
      <c r="PI438" s="75"/>
      <c r="PJ438" s="75"/>
      <c r="PK438" s="75"/>
      <c r="PL438" s="75"/>
      <c r="PM438" s="75"/>
      <c r="PN438" s="75"/>
      <c r="PO438" s="75"/>
      <c r="PP438" s="75"/>
      <c r="PQ438" s="75"/>
      <c r="PR438" s="75"/>
      <c r="PS438" s="75"/>
      <c r="PT438" s="75"/>
      <c r="PU438" s="75"/>
      <c r="PV438" s="75"/>
      <c r="PW438" s="75"/>
      <c r="PX438" s="75"/>
      <c r="PY438" s="75"/>
      <c r="PZ438" s="75"/>
      <c r="QA438" s="75"/>
      <c r="QB438" s="75"/>
      <c r="QC438" s="75"/>
      <c r="QD438" s="75"/>
      <c r="QE438" s="75"/>
      <c r="QF438" s="75"/>
      <c r="QG438" s="75"/>
      <c r="QH438" s="75"/>
      <c r="QI438" s="75"/>
      <c r="QJ438" s="75"/>
      <c r="QK438" s="75"/>
      <c r="QL438" s="75"/>
      <c r="QM438" s="75"/>
      <c r="QN438" s="75"/>
      <c r="QO438" s="75"/>
      <c r="QP438" s="75"/>
      <c r="QQ438" s="75"/>
      <c r="QR438" s="75"/>
      <c r="QS438" s="75"/>
      <c r="QT438" s="75"/>
      <c r="QU438" s="75"/>
      <c r="QV438" s="75"/>
      <c r="QW438" s="75"/>
      <c r="QX438" s="75"/>
      <c r="QY438" s="75"/>
      <c r="QZ438" s="75"/>
      <c r="RA438" s="75"/>
      <c r="RB438" s="75"/>
      <c r="RC438" s="75"/>
      <c r="RD438" s="75"/>
      <c r="RE438" s="75"/>
      <c r="RF438" s="75"/>
      <c r="RG438" s="75"/>
      <c r="RH438" s="75"/>
      <c r="RI438" s="75"/>
      <c r="RJ438" s="75"/>
      <c r="RK438" s="75"/>
      <c r="RL438" s="75"/>
      <c r="RM438" s="75"/>
      <c r="RN438" s="75"/>
      <c r="RO438" s="75"/>
      <c r="RP438" s="75"/>
      <c r="RQ438" s="75"/>
      <c r="RR438" s="75"/>
      <c r="RS438" s="75"/>
      <c r="RT438" s="75"/>
      <c r="RU438" s="75"/>
      <c r="RV438" s="75"/>
      <c r="RW438" s="75"/>
      <c r="RX438" s="75"/>
      <c r="RY438" s="75"/>
      <c r="RZ438" s="75"/>
      <c r="SA438" s="75"/>
      <c r="SB438" s="75"/>
      <c r="SC438" s="75"/>
      <c r="SD438" s="75"/>
      <c r="SE438" s="75"/>
      <c r="SF438" s="75"/>
      <c r="SG438" s="75"/>
      <c r="SH438" s="75"/>
      <c r="SI438" s="75"/>
      <c r="SJ438" s="75"/>
      <c r="SK438" s="75"/>
      <c r="SL438" s="75"/>
      <c r="SM438" s="75"/>
      <c r="SN438" s="75"/>
      <c r="SO438" s="75"/>
      <c r="SP438" s="75"/>
      <c r="SQ438" s="75"/>
      <c r="SR438" s="75"/>
      <c r="SS438" s="75"/>
      <c r="ST438" s="75"/>
      <c r="SU438" s="75"/>
      <c r="SV438" s="75"/>
      <c r="SW438" s="75"/>
      <c r="SX438" s="75"/>
      <c r="SY438" s="75"/>
      <c r="SZ438" s="75"/>
      <c r="TA438" s="75"/>
      <c r="TB438" s="75"/>
      <c r="TC438" s="75"/>
      <c r="TD438" s="75"/>
      <c r="TE438" s="75"/>
      <c r="TF438" s="75"/>
      <c r="TG438" s="75"/>
      <c r="TH438" s="75"/>
      <c r="TI438" s="75"/>
      <c r="TJ438" s="75"/>
      <c r="TK438" s="75"/>
      <c r="TL438" s="75"/>
      <c r="TM438" s="75"/>
      <c r="TN438" s="75"/>
      <c r="TO438" s="75"/>
      <c r="TP438" s="75"/>
      <c r="TQ438" s="75"/>
      <c r="TR438" s="75"/>
      <c r="TS438" s="75"/>
      <c r="TT438" s="75"/>
      <c r="TU438" s="75"/>
      <c r="TV438" s="75"/>
      <c r="TW438" s="75"/>
      <c r="TX438" s="75"/>
      <c r="TY438" s="75"/>
      <c r="TZ438" s="75"/>
      <c r="UA438" s="75"/>
      <c r="UB438" s="75"/>
      <c r="UC438" s="75"/>
      <c r="UD438" s="75"/>
      <c r="UE438" s="75"/>
      <c r="UF438" s="75"/>
      <c r="UG438" s="75"/>
      <c r="UH438" s="75"/>
      <c r="UI438" s="75"/>
      <c r="UJ438" s="75"/>
      <c r="UK438" s="75"/>
      <c r="UL438" s="75"/>
      <c r="UM438" s="75"/>
      <c r="UN438" s="75"/>
      <c r="UO438" s="75"/>
      <c r="UP438" s="75"/>
      <c r="UQ438" s="75"/>
      <c r="UR438" s="75"/>
      <c r="US438" s="75"/>
      <c r="UT438" s="75"/>
      <c r="UU438" s="75"/>
      <c r="UV438" s="75"/>
      <c r="UW438" s="75"/>
      <c r="UX438" s="75"/>
      <c r="UY438" s="75"/>
      <c r="UZ438" s="75"/>
      <c r="VA438" s="75"/>
      <c r="VB438" s="75"/>
      <c r="VC438" s="75"/>
      <c r="VD438" s="75"/>
      <c r="VE438" s="75"/>
      <c r="VF438" s="75"/>
      <c r="VG438" s="75"/>
      <c r="VH438" s="75"/>
      <c r="VI438" s="75"/>
      <c r="VJ438" s="75"/>
      <c r="VK438" s="75"/>
      <c r="VL438" s="75"/>
      <c r="VM438" s="75"/>
      <c r="VN438" s="75"/>
      <c r="VO438" s="75"/>
      <c r="VP438" s="75"/>
      <c r="VQ438" s="75"/>
      <c r="VR438" s="75"/>
      <c r="VS438" s="75"/>
      <c r="VT438" s="75"/>
      <c r="VU438" s="75"/>
      <c r="VV438" s="75"/>
      <c r="VW438" s="75"/>
      <c r="VX438" s="75"/>
      <c r="VY438" s="75"/>
      <c r="VZ438" s="75"/>
      <c r="WA438" s="75"/>
      <c r="WB438" s="75"/>
      <c r="WC438" s="75"/>
      <c r="WD438" s="75"/>
      <c r="WE438" s="75"/>
      <c r="WF438" s="75"/>
      <c r="WG438" s="75"/>
      <c r="WH438" s="75"/>
      <c r="WI438" s="75"/>
      <c r="WJ438" s="75"/>
      <c r="WK438" s="75"/>
      <c r="WL438" s="75"/>
      <c r="WM438" s="75"/>
      <c r="WN438" s="75"/>
      <c r="WO438" s="75"/>
      <c r="WP438" s="75"/>
      <c r="WQ438" s="75"/>
      <c r="WR438" s="75"/>
      <c r="WS438" s="75"/>
      <c r="WT438" s="75"/>
      <c r="WU438" s="75"/>
      <c r="WV438" s="75"/>
      <c r="WW438" s="75"/>
      <c r="WX438" s="75"/>
      <c r="WY438" s="75"/>
      <c r="WZ438" s="75"/>
      <c r="XA438" s="75"/>
      <c r="XB438" s="75"/>
      <c r="XC438" s="75"/>
      <c r="XD438" s="75"/>
      <c r="XE438" s="75"/>
      <c r="XF438" s="75"/>
      <c r="XG438" s="75"/>
      <c r="XH438" s="75"/>
      <c r="XI438" s="75"/>
      <c r="XJ438" s="75"/>
      <c r="XK438" s="75"/>
      <c r="XL438" s="75"/>
      <c r="XM438" s="75"/>
      <c r="XN438" s="75"/>
      <c r="XO438" s="75"/>
      <c r="XP438" s="75"/>
      <c r="XQ438" s="75"/>
      <c r="XR438" s="75"/>
      <c r="XS438" s="75"/>
      <c r="XT438" s="75"/>
      <c r="XU438" s="75"/>
      <c r="XV438" s="75"/>
      <c r="XW438" s="75"/>
      <c r="XX438" s="75"/>
      <c r="XY438" s="75"/>
      <c r="XZ438" s="75"/>
      <c r="YA438" s="75"/>
      <c r="YB438" s="75"/>
      <c r="YC438" s="75"/>
      <c r="YD438" s="75"/>
      <c r="YE438" s="75"/>
      <c r="YF438" s="75"/>
      <c r="YG438" s="75"/>
      <c r="YH438" s="75"/>
      <c r="YI438" s="75"/>
      <c r="YJ438" s="75"/>
      <c r="YK438" s="75"/>
      <c r="YL438" s="75"/>
      <c r="YM438" s="75"/>
      <c r="YN438" s="75"/>
      <c r="YO438" s="75"/>
      <c r="YP438" s="75"/>
      <c r="YQ438" s="75"/>
      <c r="YR438" s="75"/>
      <c r="YS438" s="75"/>
      <c r="YT438" s="75"/>
      <c r="YU438" s="75"/>
      <c r="YV438" s="75"/>
      <c r="YW438" s="75"/>
      <c r="YX438" s="75"/>
      <c r="YY438" s="75"/>
      <c r="YZ438" s="75"/>
      <c r="ZA438" s="75"/>
      <c r="ZB438" s="75"/>
      <c r="ZC438" s="75"/>
      <c r="ZD438" s="75"/>
      <c r="ZE438" s="75"/>
      <c r="ZF438" s="75"/>
      <c r="ZG438" s="75"/>
      <c r="ZH438" s="75"/>
      <c r="ZI438" s="75"/>
      <c r="ZJ438" s="75"/>
      <c r="ZK438" s="75"/>
      <c r="ZL438" s="75"/>
      <c r="ZM438" s="75"/>
      <c r="ZN438" s="75"/>
      <c r="ZO438" s="75"/>
      <c r="ZP438" s="75"/>
      <c r="ZQ438" s="75"/>
      <c r="ZR438" s="75"/>
      <c r="ZS438" s="75"/>
      <c r="ZT438" s="75"/>
      <c r="ZU438" s="75"/>
      <c r="ZV438" s="75"/>
      <c r="ZW438" s="75"/>
      <c r="ZX438" s="75"/>
      <c r="ZY438" s="75"/>
      <c r="ZZ438" s="75"/>
      <c r="AAA438" s="75"/>
      <c r="AAB438" s="75"/>
      <c r="AAC438" s="75"/>
      <c r="AAD438" s="75"/>
      <c r="AAE438" s="75"/>
      <c r="AAF438" s="75"/>
      <c r="AAG438" s="75"/>
      <c r="AAH438" s="75"/>
      <c r="AAI438" s="75"/>
      <c r="AAJ438" s="75"/>
      <c r="AAK438" s="75"/>
      <c r="AAL438" s="75"/>
      <c r="AAM438" s="75"/>
      <c r="AAN438" s="75"/>
      <c r="AAO438" s="75"/>
      <c r="AAP438" s="75"/>
      <c r="AAQ438" s="75"/>
      <c r="AAR438" s="75"/>
      <c r="AAS438" s="75"/>
      <c r="AAT438" s="75"/>
      <c r="AAU438" s="75"/>
      <c r="AAV438" s="75"/>
      <c r="AAW438" s="75"/>
      <c r="AAX438" s="75"/>
      <c r="AAY438" s="75"/>
      <c r="AAZ438" s="75"/>
      <c r="ABA438" s="75"/>
      <c r="ABB438" s="75"/>
      <c r="ABC438" s="75"/>
      <c r="ABD438" s="75"/>
      <c r="ABE438" s="75"/>
      <c r="ABF438" s="75"/>
      <c r="ABG438" s="75"/>
      <c r="ABH438" s="75"/>
      <c r="ABI438" s="75"/>
      <c r="ABJ438" s="75"/>
      <c r="ABK438" s="75"/>
      <c r="ABL438" s="75"/>
      <c r="ABM438" s="75"/>
      <c r="ABN438" s="75"/>
      <c r="ABO438" s="75"/>
      <c r="ABP438" s="75"/>
      <c r="ABQ438" s="75"/>
      <c r="ABR438" s="75"/>
      <c r="ABS438" s="75"/>
      <c r="ABT438" s="75"/>
      <c r="ABU438" s="75"/>
      <c r="ABV438" s="75"/>
      <c r="ABW438" s="75"/>
      <c r="ABX438" s="75"/>
      <c r="ABY438" s="75"/>
      <c r="ABZ438" s="75"/>
      <c r="ACA438" s="75"/>
      <c r="ACB438" s="75"/>
      <c r="ACC438" s="75"/>
      <c r="ACD438" s="75"/>
      <c r="ACE438" s="75"/>
      <c r="ACF438" s="75"/>
      <c r="ACG438" s="75"/>
      <c r="ACH438" s="75"/>
      <c r="ACI438" s="75"/>
      <c r="ACJ438" s="75"/>
      <c r="ACK438" s="75"/>
      <c r="ACL438" s="75"/>
      <c r="ACM438" s="75"/>
      <c r="ACN438" s="75"/>
      <c r="ACO438" s="75"/>
      <c r="ACP438" s="75"/>
      <c r="ACQ438" s="75"/>
      <c r="ACR438" s="75"/>
      <c r="ACS438" s="75"/>
      <c r="ACT438" s="75"/>
      <c r="ACU438" s="75"/>
      <c r="ACV438" s="75"/>
      <c r="ACW438" s="75"/>
      <c r="ACX438" s="75"/>
      <c r="ACY438" s="75"/>
      <c r="ACZ438" s="75"/>
      <c r="ADA438" s="75"/>
      <c r="ADB438" s="75"/>
      <c r="ADC438" s="75"/>
      <c r="ADD438" s="75"/>
      <c r="ADE438" s="75"/>
      <c r="ADF438" s="75"/>
      <c r="ADG438" s="75"/>
      <c r="ADH438" s="75"/>
      <c r="ADI438" s="75"/>
      <c r="ADJ438" s="75"/>
      <c r="ADK438" s="75"/>
      <c r="ADL438" s="75"/>
      <c r="ADM438" s="75"/>
      <c r="ADN438" s="75"/>
      <c r="ADO438" s="75"/>
      <c r="ADP438" s="75"/>
      <c r="ADQ438" s="75"/>
      <c r="ADR438" s="75"/>
      <c r="ADS438" s="75"/>
      <c r="ADT438" s="75"/>
      <c r="ADU438" s="75"/>
      <c r="ADV438" s="75"/>
      <c r="ADW438" s="75"/>
      <c r="ADX438" s="75"/>
      <c r="ADY438" s="75"/>
      <c r="ADZ438" s="75"/>
      <c r="AEA438" s="75"/>
      <c r="AEB438" s="75"/>
      <c r="AEC438" s="75"/>
      <c r="AED438" s="75"/>
      <c r="AEE438" s="75"/>
      <c r="AEF438" s="75"/>
      <c r="AEG438" s="75"/>
      <c r="AEH438" s="75"/>
      <c r="AEI438" s="75"/>
      <c r="AEJ438" s="75"/>
      <c r="AEK438" s="75"/>
      <c r="AEL438" s="75"/>
      <c r="AEM438" s="75"/>
      <c r="AEN438" s="75"/>
      <c r="AEO438" s="75"/>
      <c r="AEP438" s="75"/>
      <c r="AEQ438" s="75"/>
      <c r="AER438" s="75"/>
      <c r="AES438" s="75"/>
      <c r="AET438" s="75"/>
      <c r="AEU438" s="75"/>
      <c r="AEV438" s="75"/>
      <c r="AEW438" s="75"/>
      <c r="AEX438" s="75"/>
      <c r="AEY438" s="75"/>
      <c r="AEZ438" s="75"/>
      <c r="AFA438" s="75"/>
      <c r="AFB438" s="75"/>
      <c r="AFC438" s="75"/>
      <c r="AFD438" s="75"/>
      <c r="AFE438" s="75"/>
      <c r="AFF438" s="75"/>
      <c r="AFG438" s="75"/>
      <c r="AFH438" s="75"/>
      <c r="AFI438" s="75"/>
      <c r="AFJ438" s="75"/>
      <c r="AFK438" s="75"/>
      <c r="AFL438" s="75"/>
      <c r="AFM438" s="75"/>
      <c r="AFN438" s="75"/>
      <c r="AFO438" s="75"/>
      <c r="AFP438" s="75"/>
      <c r="AFQ438" s="75"/>
      <c r="AFR438" s="75"/>
      <c r="AFS438" s="75"/>
      <c r="AFT438" s="75"/>
      <c r="AFU438" s="75"/>
      <c r="AFV438" s="75"/>
      <c r="AFW438" s="75"/>
      <c r="AFX438" s="75"/>
      <c r="AFY438" s="75"/>
      <c r="AFZ438" s="75"/>
      <c r="AGA438" s="75"/>
      <c r="AGB438" s="75"/>
      <c r="AGC438" s="75"/>
      <c r="AGD438" s="75"/>
      <c r="AGE438" s="75"/>
      <c r="AGF438" s="75"/>
      <c r="AGG438" s="75"/>
      <c r="AGH438" s="75"/>
      <c r="AGI438" s="75"/>
      <c r="AGJ438" s="75"/>
      <c r="AGK438" s="75"/>
      <c r="AGL438" s="75"/>
      <c r="AGM438" s="75"/>
      <c r="AGN438" s="75"/>
      <c r="AGO438" s="75"/>
      <c r="AGP438" s="75"/>
      <c r="AGQ438" s="75"/>
      <c r="AGR438" s="75"/>
      <c r="AGS438" s="75"/>
      <c r="AGT438" s="75"/>
      <c r="AGU438" s="75"/>
      <c r="AGV438" s="75"/>
      <c r="AGW438" s="75"/>
      <c r="AGX438" s="75"/>
      <c r="AGY438" s="75"/>
      <c r="AGZ438" s="75"/>
      <c r="AHA438" s="75"/>
      <c r="AHB438" s="75"/>
      <c r="AHC438" s="75"/>
      <c r="AHD438" s="75"/>
      <c r="AHE438" s="75"/>
      <c r="AHF438" s="75"/>
      <c r="AHG438" s="75"/>
      <c r="AHH438" s="75"/>
      <c r="AHI438" s="75"/>
      <c r="AHJ438" s="75"/>
      <c r="AHK438" s="75"/>
      <c r="AHL438" s="75"/>
      <c r="AHM438" s="75"/>
      <c r="AHN438" s="75"/>
      <c r="AHO438" s="75"/>
      <c r="AHP438" s="75"/>
      <c r="AHQ438" s="75"/>
      <c r="AHR438" s="75"/>
      <c r="AHS438" s="75"/>
      <c r="AHT438" s="75"/>
      <c r="AHU438" s="75"/>
      <c r="AHV438" s="75"/>
      <c r="AHW438" s="75"/>
      <c r="AHX438" s="75"/>
      <c r="AHY438" s="75"/>
      <c r="AHZ438" s="75"/>
      <c r="AIA438" s="75"/>
      <c r="AIB438" s="75"/>
      <c r="AIC438" s="75"/>
      <c r="AID438" s="75"/>
      <c r="AIE438" s="75"/>
      <c r="AIF438" s="75"/>
      <c r="AIG438" s="75"/>
      <c r="AIH438" s="75"/>
      <c r="AII438" s="75"/>
      <c r="AIJ438" s="75"/>
      <c r="AIK438" s="75"/>
      <c r="AIL438" s="75"/>
      <c r="AIM438" s="75"/>
      <c r="AIN438" s="75"/>
      <c r="AIO438" s="75"/>
      <c r="AIP438" s="75"/>
      <c r="AIQ438" s="75"/>
      <c r="AIR438" s="75"/>
      <c r="AIS438" s="75"/>
      <c r="AIT438" s="75"/>
      <c r="AIU438" s="75"/>
      <c r="AIV438" s="75"/>
      <c r="AIW438" s="75"/>
      <c r="AIX438" s="75"/>
      <c r="AIY438" s="75"/>
      <c r="AIZ438" s="75"/>
      <c r="AJA438" s="75"/>
      <c r="AJB438" s="75"/>
      <c r="AJC438" s="75"/>
      <c r="AJD438" s="75"/>
      <c r="AJE438" s="75"/>
      <c r="AJF438" s="75"/>
      <c r="AJG438" s="75"/>
      <c r="AJH438" s="75"/>
      <c r="AJI438" s="75"/>
      <c r="AJJ438" s="75"/>
      <c r="AJK438" s="75"/>
      <c r="AJL438" s="75"/>
      <c r="AJM438" s="75"/>
      <c r="AJN438" s="75"/>
      <c r="AJO438" s="75"/>
      <c r="AJP438" s="75"/>
      <c r="AJQ438" s="75"/>
      <c r="AJR438" s="75"/>
      <c r="AJS438" s="75"/>
      <c r="AJT438" s="75"/>
      <c r="AJU438" s="75"/>
      <c r="AJV438" s="75"/>
      <c r="AJW438" s="75"/>
      <c r="AJX438" s="75"/>
      <c r="AJY438" s="75"/>
      <c r="AJZ438" s="75"/>
      <c r="AKA438" s="75"/>
      <c r="AKB438" s="75"/>
      <c r="AKC438" s="75"/>
      <c r="AKD438" s="75"/>
      <c r="AKE438" s="75"/>
      <c r="AKF438" s="75"/>
      <c r="AKG438" s="75"/>
      <c r="AKH438" s="75"/>
      <c r="AKI438" s="75"/>
      <c r="AKJ438" s="75"/>
      <c r="AKK438" s="75"/>
      <c r="AKL438" s="75"/>
      <c r="AKM438" s="75"/>
      <c r="AKN438" s="75"/>
      <c r="AKO438" s="75"/>
      <c r="AKP438" s="75"/>
      <c r="AKQ438" s="75"/>
      <c r="AKR438" s="75"/>
      <c r="AKS438" s="75"/>
      <c r="AKT438" s="75"/>
      <c r="AKU438" s="75"/>
      <c r="AKV438" s="75"/>
      <c r="AKW438" s="75"/>
      <c r="AKX438" s="75"/>
      <c r="AKY438" s="75"/>
      <c r="AKZ438" s="75"/>
      <c r="ALA438" s="75"/>
      <c r="ALB438" s="75"/>
      <c r="ALC438" s="75"/>
      <c r="ALD438" s="75"/>
      <c r="ALE438" s="75"/>
      <c r="ALF438" s="75"/>
      <c r="ALG438" s="75"/>
      <c r="ALH438" s="75"/>
      <c r="ALI438" s="75"/>
      <c r="ALJ438" s="75"/>
      <c r="ALK438" s="75"/>
      <c r="ALL438" s="75"/>
      <c r="ALM438" s="75"/>
      <c r="ALN438" s="75"/>
      <c r="ALO438" s="75"/>
    </row>
    <row r="439" spans="1:1003" ht="14.55" customHeight="1" outlineLevel="1" x14ac:dyDescent="0.25">
      <c r="A439" s="230" t="s">
        <v>1422</v>
      </c>
      <c r="B439" s="343" t="str">
        <f>"12.04"</f>
        <v>12.04</v>
      </c>
      <c r="C439" s="75" t="s">
        <v>2069</v>
      </c>
      <c r="D439" s="127" t="s">
        <v>2070</v>
      </c>
      <c r="E439" s="232"/>
    </row>
    <row r="440" spans="1:1003" ht="14.55" customHeight="1" outlineLevel="1" x14ac:dyDescent="0.25">
      <c r="A440" s="230" t="s">
        <v>1422</v>
      </c>
      <c r="B440" s="343" t="str">
        <f>"12.0401"</f>
        <v>12.0401</v>
      </c>
      <c r="C440" s="75" t="s">
        <v>2071</v>
      </c>
      <c r="D440" s="127" t="s">
        <v>2072</v>
      </c>
      <c r="E440" s="232"/>
    </row>
    <row r="441" spans="1:1003" ht="14.55" customHeight="1" outlineLevel="1" x14ac:dyDescent="0.25">
      <c r="A441" s="230" t="s">
        <v>1422</v>
      </c>
      <c r="B441" s="343" t="str">
        <f>"12.0402"</f>
        <v>12.0402</v>
      </c>
      <c r="C441" s="75" t="s">
        <v>2073</v>
      </c>
      <c r="D441" s="127" t="s">
        <v>2074</v>
      </c>
      <c r="E441" s="232"/>
    </row>
    <row r="442" spans="1:1003" ht="14.55" customHeight="1" outlineLevel="1" x14ac:dyDescent="0.25">
      <c r="A442" s="230" t="s">
        <v>1422</v>
      </c>
      <c r="B442" s="343" t="str">
        <f>"12.0404"</f>
        <v>12.0404</v>
      </c>
      <c r="C442" s="75" t="s">
        <v>2075</v>
      </c>
      <c r="D442" s="127" t="s">
        <v>2076</v>
      </c>
      <c r="E442" s="232"/>
    </row>
    <row r="443" spans="1:1003" ht="14.55" customHeight="1" outlineLevel="1" x14ac:dyDescent="0.25">
      <c r="A443" s="230" t="s">
        <v>1422</v>
      </c>
      <c r="B443" s="343" t="str">
        <f>"12.0406"</f>
        <v>12.0406</v>
      </c>
      <c r="C443" s="75" t="s">
        <v>2077</v>
      </c>
      <c r="D443" s="127" t="s">
        <v>2078</v>
      </c>
      <c r="E443" s="232"/>
    </row>
    <row r="444" spans="1:1003" ht="14.55" customHeight="1" outlineLevel="1" x14ac:dyDescent="0.25">
      <c r="A444" s="230" t="s">
        <v>1422</v>
      </c>
      <c r="B444" s="343" t="str">
        <f>"12.0407"</f>
        <v>12.0407</v>
      </c>
      <c r="C444" s="75" t="s">
        <v>2079</v>
      </c>
      <c r="D444" s="127" t="s">
        <v>2080</v>
      </c>
      <c r="E444" s="232"/>
    </row>
    <row r="445" spans="1:1003" ht="14.55" customHeight="1" outlineLevel="1" x14ac:dyDescent="0.25">
      <c r="A445" s="230" t="s">
        <v>1422</v>
      </c>
      <c r="B445" s="343" t="str">
        <f>"12.0408"</f>
        <v>12.0408</v>
      </c>
      <c r="C445" s="75" t="s">
        <v>2081</v>
      </c>
      <c r="D445" s="127" t="s">
        <v>2082</v>
      </c>
      <c r="E445" s="232"/>
    </row>
    <row r="446" spans="1:1003" ht="14.55" customHeight="1" outlineLevel="1" x14ac:dyDescent="0.25">
      <c r="A446" s="230" t="s">
        <v>1422</v>
      </c>
      <c r="B446" s="343" t="str">
        <f>"12.0409"</f>
        <v>12.0409</v>
      </c>
      <c r="C446" s="75" t="s">
        <v>2083</v>
      </c>
      <c r="D446" s="127" t="s">
        <v>2084</v>
      </c>
      <c r="E446" s="232"/>
    </row>
    <row r="447" spans="1:1003" ht="14.55" customHeight="1" outlineLevel="1" x14ac:dyDescent="0.25">
      <c r="A447" s="230" t="s">
        <v>1422</v>
      </c>
      <c r="B447" s="343" t="str">
        <f>"12.0410"</f>
        <v>12.0410</v>
      </c>
      <c r="C447" s="75" t="s">
        <v>2085</v>
      </c>
      <c r="D447" s="127" t="s">
        <v>2086</v>
      </c>
      <c r="E447" s="232"/>
    </row>
    <row r="448" spans="1:1003" ht="14.55" customHeight="1" outlineLevel="1" x14ac:dyDescent="0.25">
      <c r="A448" s="230" t="s">
        <v>1422</v>
      </c>
      <c r="B448" s="343" t="str">
        <f>"12.0411"</f>
        <v>12.0411</v>
      </c>
      <c r="C448" s="75" t="s">
        <v>2087</v>
      </c>
      <c r="D448" s="127" t="s">
        <v>2088</v>
      </c>
      <c r="E448" s="232"/>
    </row>
    <row r="449" spans="1:5" ht="14.55" customHeight="1" outlineLevel="1" x14ac:dyDescent="0.25">
      <c r="A449" s="230" t="s">
        <v>1422</v>
      </c>
      <c r="B449" s="343" t="str">
        <f>"12.0412"</f>
        <v>12.0412</v>
      </c>
      <c r="C449" s="75" t="s">
        <v>2089</v>
      </c>
      <c r="D449" s="127" t="s">
        <v>2090</v>
      </c>
      <c r="E449" s="232"/>
    </row>
    <row r="450" spans="1:5" ht="14.55" customHeight="1" outlineLevel="1" x14ac:dyDescent="0.25">
      <c r="A450" s="230" t="s">
        <v>1422</v>
      </c>
      <c r="B450" s="343" t="str">
        <f>"12.0413"</f>
        <v>12.0413</v>
      </c>
      <c r="C450" s="75" t="s">
        <v>2091</v>
      </c>
      <c r="D450" s="127" t="s">
        <v>2092</v>
      </c>
      <c r="E450" s="232"/>
    </row>
    <row r="451" spans="1:5" ht="14.55" customHeight="1" outlineLevel="1" x14ac:dyDescent="0.25">
      <c r="A451" s="230" t="s">
        <v>1422</v>
      </c>
      <c r="B451" s="343" t="str">
        <f>"12.0414"</f>
        <v>12.0414</v>
      </c>
      <c r="C451" s="75" t="s">
        <v>2093</v>
      </c>
      <c r="D451" s="127" t="s">
        <v>2094</v>
      </c>
      <c r="E451" s="232"/>
    </row>
    <row r="452" spans="1:5" ht="14.55" customHeight="1" outlineLevel="1" x14ac:dyDescent="0.25">
      <c r="A452" s="230" t="s">
        <v>1422</v>
      </c>
      <c r="B452" s="343" t="str">
        <f>"12.0499"</f>
        <v>12.0499</v>
      </c>
      <c r="C452" s="75" t="s">
        <v>2095</v>
      </c>
      <c r="D452" s="127" t="s">
        <v>2096</v>
      </c>
      <c r="E452" s="232"/>
    </row>
    <row r="453" spans="1:5" ht="14.55" customHeight="1" outlineLevel="1" x14ac:dyDescent="0.25">
      <c r="A453" s="230" t="s">
        <v>1422</v>
      </c>
      <c r="B453" s="343" t="str">
        <f>"12.05"</f>
        <v>12.05</v>
      </c>
      <c r="C453" s="75" t="s">
        <v>2097</v>
      </c>
      <c r="D453" s="127" t="s">
        <v>2098</v>
      </c>
      <c r="E453" s="232"/>
    </row>
    <row r="454" spans="1:5" ht="14.55" customHeight="1" outlineLevel="1" x14ac:dyDescent="0.25">
      <c r="A454" s="230" t="s">
        <v>1422</v>
      </c>
      <c r="B454" s="343" t="str">
        <f>"12.0500"</f>
        <v>12.0500</v>
      </c>
      <c r="C454" s="75" t="s">
        <v>2099</v>
      </c>
      <c r="D454" s="127" t="s">
        <v>2100</v>
      </c>
      <c r="E454" s="232"/>
    </row>
    <row r="455" spans="1:5" ht="14.55" customHeight="1" outlineLevel="1" x14ac:dyDescent="0.25">
      <c r="A455" s="230" t="s">
        <v>1422</v>
      </c>
      <c r="B455" s="343" t="str">
        <f>"12.0501"</f>
        <v>12.0501</v>
      </c>
      <c r="C455" s="75" t="s">
        <v>2101</v>
      </c>
      <c r="D455" s="127" t="s">
        <v>2102</v>
      </c>
      <c r="E455" s="232"/>
    </row>
    <row r="456" spans="1:5" ht="14.55" customHeight="1" outlineLevel="1" x14ac:dyDescent="0.25">
      <c r="A456" s="230" t="s">
        <v>1422</v>
      </c>
      <c r="B456" s="343" t="str">
        <f>"12.0502"</f>
        <v>12.0502</v>
      </c>
      <c r="C456" s="75" t="s">
        <v>2103</v>
      </c>
      <c r="D456" s="127" t="s">
        <v>2104</v>
      </c>
      <c r="E456" s="232"/>
    </row>
    <row r="457" spans="1:5" ht="14.55" customHeight="1" outlineLevel="1" x14ac:dyDescent="0.25">
      <c r="A457" s="230" t="s">
        <v>1422</v>
      </c>
      <c r="B457" s="343" t="str">
        <f>"12.0503"</f>
        <v>12.0503</v>
      </c>
      <c r="C457" s="75" t="s">
        <v>2105</v>
      </c>
      <c r="D457" s="127" t="s">
        <v>2106</v>
      </c>
      <c r="E457" s="232"/>
    </row>
    <row r="458" spans="1:5" ht="14.55" customHeight="1" outlineLevel="1" x14ac:dyDescent="0.25">
      <c r="A458" s="230" t="s">
        <v>1422</v>
      </c>
      <c r="B458" s="343" t="str">
        <f>"12.0504"</f>
        <v>12.0504</v>
      </c>
      <c r="C458" s="75" t="s">
        <v>2107</v>
      </c>
      <c r="D458" s="127" t="s">
        <v>2108</v>
      </c>
      <c r="E458" s="232"/>
    </row>
    <row r="459" spans="1:5" ht="14.55" customHeight="1" outlineLevel="1" x14ac:dyDescent="0.25">
      <c r="A459" s="230" t="s">
        <v>1422</v>
      </c>
      <c r="B459" s="343" t="str">
        <f>"12.0505"</f>
        <v>12.0505</v>
      </c>
      <c r="C459" s="75" t="s">
        <v>2109</v>
      </c>
      <c r="D459" s="127" t="s">
        <v>2110</v>
      </c>
      <c r="E459" s="232"/>
    </row>
    <row r="460" spans="1:5" ht="14.55" customHeight="1" outlineLevel="1" x14ac:dyDescent="0.25">
      <c r="A460" s="230" t="s">
        <v>1422</v>
      </c>
      <c r="B460" s="343" t="str">
        <f>"12.0506"</f>
        <v>12.0506</v>
      </c>
      <c r="C460" s="75" t="s">
        <v>2111</v>
      </c>
      <c r="D460" s="127" t="s">
        <v>2112</v>
      </c>
      <c r="E460" s="232"/>
    </row>
    <row r="461" spans="1:5" ht="14.55" customHeight="1" outlineLevel="1" x14ac:dyDescent="0.25">
      <c r="A461" s="230" t="s">
        <v>1422</v>
      </c>
      <c r="B461" s="343" t="str">
        <f>"12.0507"</f>
        <v>12.0507</v>
      </c>
      <c r="C461" s="75" t="s">
        <v>2113</v>
      </c>
      <c r="D461" s="127" t="s">
        <v>2114</v>
      </c>
      <c r="E461" s="232"/>
    </row>
    <row r="462" spans="1:5" ht="14.55" customHeight="1" outlineLevel="1" x14ac:dyDescent="0.25">
      <c r="A462" s="230" t="s">
        <v>1422</v>
      </c>
      <c r="B462" s="343" t="str">
        <f>"12.0508"</f>
        <v>12.0508</v>
      </c>
      <c r="C462" s="75" t="s">
        <v>2115</v>
      </c>
      <c r="D462" s="127" t="s">
        <v>2116</v>
      </c>
      <c r="E462" s="232"/>
    </row>
    <row r="463" spans="1:5" ht="14.55" customHeight="1" outlineLevel="1" x14ac:dyDescent="0.25">
      <c r="A463" s="230" t="s">
        <v>1422</v>
      </c>
      <c r="B463" s="343" t="str">
        <f>"12.0509"</f>
        <v>12.0509</v>
      </c>
      <c r="C463" s="75" t="s">
        <v>2117</v>
      </c>
      <c r="D463" s="127" t="s">
        <v>2118</v>
      </c>
      <c r="E463" s="232"/>
    </row>
    <row r="464" spans="1:5" ht="14.55" customHeight="1" outlineLevel="1" x14ac:dyDescent="0.25">
      <c r="A464" s="230" t="s">
        <v>1422</v>
      </c>
      <c r="B464" s="343" t="str">
        <f>"12.0510"</f>
        <v>12.0510</v>
      </c>
      <c r="C464" s="75" t="s">
        <v>2119</v>
      </c>
      <c r="D464" s="127" t="s">
        <v>2120</v>
      </c>
      <c r="E464" s="232"/>
    </row>
    <row r="465" spans="1:1003" ht="14.55" customHeight="1" outlineLevel="1" x14ac:dyDescent="0.25">
      <c r="A465" s="230" t="s">
        <v>1422</v>
      </c>
      <c r="B465" s="343" t="str">
        <f>"12.0580"</f>
        <v>12.0580</v>
      </c>
      <c r="C465" s="75" t="s">
        <v>1479</v>
      </c>
      <c r="D465" s="127" t="s">
        <v>1480</v>
      </c>
      <c r="E465" s="232"/>
    </row>
    <row r="466" spans="1:1003" ht="14.55" customHeight="1" outlineLevel="1" x14ac:dyDescent="0.25">
      <c r="A466" s="230" t="s">
        <v>1422</v>
      </c>
      <c r="B466" s="343" t="str">
        <f>"12.0599"</f>
        <v>12.0599</v>
      </c>
      <c r="C466" s="75" t="s">
        <v>2121</v>
      </c>
      <c r="D466" s="127" t="s">
        <v>2122</v>
      </c>
      <c r="E466" s="232"/>
    </row>
    <row r="467" spans="1:1003" ht="14.55" customHeight="1" outlineLevel="1" x14ac:dyDescent="0.25">
      <c r="A467" s="230" t="s">
        <v>1422</v>
      </c>
      <c r="B467" s="343" t="str">
        <f>"12.06"</f>
        <v>12.06</v>
      </c>
      <c r="C467" s="75" t="s">
        <v>2123</v>
      </c>
      <c r="D467" s="127" t="s">
        <v>2124</v>
      </c>
      <c r="E467" s="232"/>
    </row>
    <row r="468" spans="1:1003" s="234" customFormat="1" ht="14.55" customHeight="1" outlineLevel="1" x14ac:dyDescent="0.25">
      <c r="A468" s="230" t="s">
        <v>1422</v>
      </c>
      <c r="B468" s="343" t="str">
        <f>"12.0601"</f>
        <v>12.0601</v>
      </c>
      <c r="C468" s="75" t="s">
        <v>2125</v>
      </c>
      <c r="D468" s="127" t="s">
        <v>2126</v>
      </c>
      <c r="E468" s="232"/>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c r="AY468" s="75"/>
      <c r="AZ468" s="75"/>
      <c r="BA468" s="75"/>
      <c r="BB468" s="75"/>
      <c r="BC468" s="75"/>
      <c r="BD468" s="75"/>
      <c r="BE468" s="75"/>
      <c r="BF468" s="75"/>
      <c r="BG468" s="75"/>
      <c r="BH468" s="75"/>
      <c r="BI468" s="75"/>
      <c r="BJ468" s="75"/>
      <c r="BK468" s="75"/>
      <c r="BL468" s="75"/>
      <c r="BM468" s="75"/>
      <c r="BN468" s="75"/>
      <c r="BO468" s="75"/>
      <c r="BP468" s="75"/>
      <c r="BQ468" s="75"/>
      <c r="BR468" s="75"/>
      <c r="BS468" s="75"/>
      <c r="BT468" s="75"/>
      <c r="BU468" s="75"/>
      <c r="BV468" s="75"/>
      <c r="BW468" s="75"/>
      <c r="BX468" s="75"/>
      <c r="BY468" s="75"/>
      <c r="BZ468" s="75"/>
      <c r="CA468" s="75"/>
      <c r="CB468" s="75"/>
      <c r="CC468" s="75"/>
      <c r="CD468" s="75"/>
      <c r="CE468" s="75"/>
      <c r="CF468" s="75"/>
      <c r="CG468" s="75"/>
      <c r="CH468" s="75"/>
      <c r="CI468" s="75"/>
      <c r="CJ468" s="75"/>
      <c r="CK468" s="75"/>
      <c r="CL468" s="75"/>
      <c r="CM468" s="75"/>
      <c r="CN468" s="75"/>
      <c r="CO468" s="75"/>
      <c r="CP468" s="75"/>
      <c r="CQ468" s="75"/>
      <c r="CR468" s="75"/>
      <c r="CS468" s="75"/>
      <c r="CT468" s="75"/>
      <c r="CU468" s="75"/>
      <c r="CV468" s="75"/>
      <c r="CW468" s="75"/>
      <c r="CX468" s="75"/>
      <c r="CY468" s="75"/>
      <c r="CZ468" s="75"/>
      <c r="DA468" s="75"/>
      <c r="DB468" s="75"/>
      <c r="DC468" s="75"/>
      <c r="DD468" s="75"/>
      <c r="DE468" s="75"/>
      <c r="DF468" s="75"/>
      <c r="DG468" s="75"/>
      <c r="DH468" s="75"/>
      <c r="DI468" s="75"/>
      <c r="DJ468" s="75"/>
      <c r="DK468" s="75"/>
      <c r="DL468" s="75"/>
      <c r="DM468" s="75"/>
      <c r="DN468" s="75"/>
      <c r="DO468" s="75"/>
      <c r="DP468" s="75"/>
      <c r="DQ468" s="75"/>
      <c r="DR468" s="75"/>
      <c r="DS468" s="75"/>
      <c r="DT468" s="75"/>
      <c r="DU468" s="75"/>
      <c r="DV468" s="75"/>
      <c r="DW468" s="75"/>
      <c r="DX468" s="75"/>
      <c r="DY468" s="75"/>
      <c r="DZ468" s="75"/>
      <c r="EA468" s="75"/>
      <c r="EB468" s="75"/>
      <c r="EC468" s="75"/>
      <c r="ED468" s="75"/>
      <c r="EE468" s="75"/>
      <c r="EF468" s="75"/>
      <c r="EG468" s="75"/>
      <c r="EH468" s="75"/>
      <c r="EI468" s="75"/>
      <c r="EJ468" s="75"/>
      <c r="EK468" s="75"/>
      <c r="EL468" s="75"/>
      <c r="EM468" s="75"/>
      <c r="EN468" s="75"/>
      <c r="EO468" s="75"/>
      <c r="EP468" s="75"/>
      <c r="EQ468" s="75"/>
      <c r="ER468" s="75"/>
      <c r="ES468" s="75"/>
      <c r="ET468" s="75"/>
      <c r="EU468" s="75"/>
      <c r="EV468" s="75"/>
      <c r="EW468" s="75"/>
      <c r="EX468" s="75"/>
      <c r="EY468" s="75"/>
      <c r="EZ468" s="75"/>
      <c r="FA468" s="75"/>
      <c r="FB468" s="75"/>
      <c r="FC468" s="75"/>
      <c r="FD468" s="75"/>
      <c r="FE468" s="75"/>
      <c r="FF468" s="75"/>
      <c r="FG468" s="75"/>
      <c r="FH468" s="75"/>
      <c r="FI468" s="75"/>
      <c r="FJ468" s="75"/>
      <c r="FK468" s="75"/>
      <c r="FL468" s="75"/>
      <c r="FM468" s="75"/>
      <c r="FN468" s="75"/>
      <c r="FO468" s="75"/>
      <c r="FP468" s="75"/>
      <c r="FQ468" s="75"/>
      <c r="FR468" s="75"/>
      <c r="FS468" s="75"/>
      <c r="FT468" s="75"/>
      <c r="FU468" s="75"/>
      <c r="FV468" s="75"/>
      <c r="FW468" s="75"/>
      <c r="FX468" s="75"/>
      <c r="FY468" s="75"/>
      <c r="FZ468" s="75"/>
      <c r="GA468" s="75"/>
      <c r="GB468" s="75"/>
      <c r="GC468" s="75"/>
      <c r="GD468" s="75"/>
      <c r="GE468" s="75"/>
      <c r="GF468" s="75"/>
      <c r="GG468" s="75"/>
      <c r="GH468" s="75"/>
      <c r="GI468" s="75"/>
      <c r="GJ468" s="75"/>
      <c r="GK468" s="75"/>
      <c r="GL468" s="75"/>
      <c r="GM468" s="75"/>
      <c r="GN468" s="75"/>
      <c r="GO468" s="75"/>
      <c r="GP468" s="75"/>
      <c r="GQ468" s="75"/>
      <c r="GR468" s="75"/>
      <c r="GS468" s="75"/>
      <c r="GT468" s="75"/>
      <c r="GU468" s="75"/>
      <c r="GV468" s="75"/>
      <c r="GW468" s="75"/>
      <c r="GX468" s="75"/>
      <c r="GY468" s="75"/>
      <c r="GZ468" s="75"/>
      <c r="HA468" s="75"/>
      <c r="HB468" s="75"/>
      <c r="HC468" s="75"/>
      <c r="HD468" s="75"/>
      <c r="HE468" s="75"/>
      <c r="HF468" s="75"/>
      <c r="HG468" s="75"/>
      <c r="HH468" s="75"/>
      <c r="HI468" s="75"/>
      <c r="HJ468" s="75"/>
      <c r="HK468" s="75"/>
      <c r="HL468" s="75"/>
      <c r="HM468" s="75"/>
      <c r="HN468" s="75"/>
      <c r="HO468" s="75"/>
      <c r="HP468" s="75"/>
      <c r="HQ468" s="75"/>
      <c r="HR468" s="75"/>
      <c r="HS468" s="75"/>
      <c r="HT468" s="75"/>
      <c r="HU468" s="75"/>
      <c r="HV468" s="75"/>
      <c r="HW468" s="75"/>
      <c r="HX468" s="75"/>
      <c r="HY468" s="75"/>
      <c r="HZ468" s="75"/>
      <c r="IA468" s="75"/>
      <c r="IB468" s="75"/>
      <c r="IC468" s="75"/>
      <c r="ID468" s="75"/>
      <c r="IE468" s="75"/>
      <c r="IF468" s="75"/>
      <c r="IG468" s="75"/>
      <c r="IH468" s="75"/>
      <c r="II468" s="75"/>
      <c r="IJ468" s="75"/>
      <c r="IK468" s="75"/>
      <c r="IL468" s="75"/>
      <c r="IM468" s="75"/>
      <c r="IN468" s="75"/>
      <c r="IO468" s="75"/>
      <c r="IP468" s="75"/>
      <c r="IQ468" s="75"/>
      <c r="IR468" s="75"/>
      <c r="IS468" s="75"/>
      <c r="IT468" s="75"/>
      <c r="IU468" s="75"/>
      <c r="IV468" s="75"/>
      <c r="IW468" s="75"/>
      <c r="IX468" s="75"/>
      <c r="IY468" s="75"/>
      <c r="IZ468" s="75"/>
      <c r="JA468" s="75"/>
      <c r="JB468" s="75"/>
      <c r="JC468" s="75"/>
      <c r="JD468" s="75"/>
      <c r="JE468" s="75"/>
      <c r="JF468" s="75"/>
      <c r="JG468" s="75"/>
      <c r="JH468" s="75"/>
      <c r="JI468" s="75"/>
      <c r="JJ468" s="75"/>
      <c r="JK468" s="75"/>
      <c r="JL468" s="75"/>
      <c r="JM468" s="75"/>
      <c r="JN468" s="75"/>
      <c r="JO468" s="75"/>
      <c r="JP468" s="75"/>
      <c r="JQ468" s="75"/>
      <c r="JR468" s="75"/>
      <c r="JS468" s="75"/>
      <c r="JT468" s="75"/>
      <c r="JU468" s="75"/>
      <c r="JV468" s="75"/>
      <c r="JW468" s="75"/>
      <c r="JX468" s="75"/>
      <c r="JY468" s="75"/>
      <c r="JZ468" s="75"/>
      <c r="KA468" s="75"/>
      <c r="KB468" s="75"/>
      <c r="KC468" s="75"/>
      <c r="KD468" s="75"/>
      <c r="KE468" s="75"/>
      <c r="KF468" s="75"/>
      <c r="KG468" s="75"/>
      <c r="KH468" s="75"/>
      <c r="KI468" s="75"/>
      <c r="KJ468" s="75"/>
      <c r="KK468" s="75"/>
      <c r="KL468" s="75"/>
      <c r="KM468" s="75"/>
      <c r="KN468" s="75"/>
      <c r="KO468" s="75"/>
      <c r="KP468" s="75"/>
      <c r="KQ468" s="75"/>
      <c r="KR468" s="75"/>
      <c r="KS468" s="75"/>
      <c r="KT468" s="75"/>
      <c r="KU468" s="75"/>
      <c r="KV468" s="75"/>
      <c r="KW468" s="75"/>
      <c r="KX468" s="75"/>
      <c r="KY468" s="75"/>
      <c r="KZ468" s="75"/>
      <c r="LA468" s="75"/>
      <c r="LB468" s="75"/>
      <c r="LC468" s="75"/>
      <c r="LD468" s="75"/>
      <c r="LE468" s="75"/>
      <c r="LF468" s="75"/>
      <c r="LG468" s="75"/>
      <c r="LH468" s="75"/>
      <c r="LI468" s="75"/>
      <c r="LJ468" s="75"/>
      <c r="LK468" s="75"/>
      <c r="LL468" s="75"/>
      <c r="LM468" s="75"/>
      <c r="LN468" s="75"/>
      <c r="LO468" s="75"/>
      <c r="LP468" s="75"/>
      <c r="LQ468" s="75"/>
      <c r="LR468" s="75"/>
      <c r="LS468" s="75"/>
      <c r="LT468" s="75"/>
      <c r="LU468" s="75"/>
      <c r="LV468" s="75"/>
      <c r="LW468" s="75"/>
      <c r="LX468" s="75"/>
      <c r="LY468" s="75"/>
      <c r="LZ468" s="75"/>
      <c r="MA468" s="75"/>
      <c r="MB468" s="75"/>
      <c r="MC468" s="75"/>
      <c r="MD468" s="75"/>
      <c r="ME468" s="75"/>
      <c r="MF468" s="75"/>
      <c r="MG468" s="75"/>
      <c r="MH468" s="75"/>
      <c r="MI468" s="75"/>
      <c r="MJ468" s="75"/>
      <c r="MK468" s="75"/>
      <c r="ML468" s="75"/>
      <c r="MM468" s="75"/>
      <c r="MN468" s="75"/>
      <c r="MO468" s="75"/>
      <c r="MP468" s="75"/>
      <c r="MQ468" s="75"/>
      <c r="MR468" s="75"/>
      <c r="MS468" s="75"/>
      <c r="MT468" s="75"/>
      <c r="MU468" s="75"/>
      <c r="MV468" s="75"/>
      <c r="MW468" s="75"/>
      <c r="MX468" s="75"/>
      <c r="MY468" s="75"/>
      <c r="MZ468" s="75"/>
      <c r="NA468" s="75"/>
      <c r="NB468" s="75"/>
      <c r="NC468" s="75"/>
      <c r="ND468" s="75"/>
      <c r="NE468" s="75"/>
      <c r="NF468" s="75"/>
      <c r="NG468" s="75"/>
      <c r="NH468" s="75"/>
      <c r="NI468" s="75"/>
      <c r="NJ468" s="75"/>
      <c r="NK468" s="75"/>
      <c r="NL468" s="75"/>
      <c r="NM468" s="75"/>
      <c r="NN468" s="75"/>
      <c r="NO468" s="75"/>
      <c r="NP468" s="75"/>
      <c r="NQ468" s="75"/>
      <c r="NR468" s="75"/>
      <c r="NS468" s="75"/>
      <c r="NT468" s="75"/>
      <c r="NU468" s="75"/>
      <c r="NV468" s="75"/>
      <c r="NW468" s="75"/>
      <c r="NX468" s="75"/>
      <c r="NY468" s="75"/>
      <c r="NZ468" s="75"/>
      <c r="OA468" s="75"/>
      <c r="OB468" s="75"/>
      <c r="OC468" s="75"/>
      <c r="OD468" s="75"/>
      <c r="OE468" s="75"/>
      <c r="OF468" s="75"/>
      <c r="OG468" s="75"/>
      <c r="OH468" s="75"/>
      <c r="OI468" s="75"/>
      <c r="OJ468" s="75"/>
      <c r="OK468" s="75"/>
      <c r="OL468" s="75"/>
      <c r="OM468" s="75"/>
      <c r="ON468" s="75"/>
      <c r="OO468" s="75"/>
      <c r="OP468" s="75"/>
      <c r="OQ468" s="75"/>
      <c r="OR468" s="75"/>
      <c r="OS468" s="75"/>
      <c r="OT468" s="75"/>
      <c r="OU468" s="75"/>
      <c r="OV468" s="75"/>
      <c r="OW468" s="75"/>
      <c r="OX468" s="75"/>
      <c r="OY468" s="75"/>
      <c r="OZ468" s="75"/>
      <c r="PA468" s="75"/>
      <c r="PB468" s="75"/>
      <c r="PC468" s="75"/>
      <c r="PD468" s="75"/>
      <c r="PE468" s="75"/>
      <c r="PF468" s="75"/>
      <c r="PG468" s="75"/>
      <c r="PH468" s="75"/>
      <c r="PI468" s="75"/>
      <c r="PJ468" s="75"/>
      <c r="PK468" s="75"/>
      <c r="PL468" s="75"/>
      <c r="PM468" s="75"/>
      <c r="PN468" s="75"/>
      <c r="PO468" s="75"/>
      <c r="PP468" s="75"/>
      <c r="PQ468" s="75"/>
      <c r="PR468" s="75"/>
      <c r="PS468" s="75"/>
      <c r="PT468" s="75"/>
      <c r="PU468" s="75"/>
      <c r="PV468" s="75"/>
      <c r="PW468" s="75"/>
      <c r="PX468" s="75"/>
      <c r="PY468" s="75"/>
      <c r="PZ468" s="75"/>
      <c r="QA468" s="75"/>
      <c r="QB468" s="75"/>
      <c r="QC468" s="75"/>
      <c r="QD468" s="75"/>
      <c r="QE468" s="75"/>
      <c r="QF468" s="75"/>
      <c r="QG468" s="75"/>
      <c r="QH468" s="75"/>
      <c r="QI468" s="75"/>
      <c r="QJ468" s="75"/>
      <c r="QK468" s="75"/>
      <c r="QL468" s="75"/>
      <c r="QM468" s="75"/>
      <c r="QN468" s="75"/>
      <c r="QO468" s="75"/>
      <c r="QP468" s="75"/>
      <c r="QQ468" s="75"/>
      <c r="QR468" s="75"/>
      <c r="QS468" s="75"/>
      <c r="QT468" s="75"/>
      <c r="QU468" s="75"/>
      <c r="QV468" s="75"/>
      <c r="QW468" s="75"/>
      <c r="QX468" s="75"/>
      <c r="QY468" s="75"/>
      <c r="QZ468" s="75"/>
      <c r="RA468" s="75"/>
      <c r="RB468" s="75"/>
      <c r="RC468" s="75"/>
      <c r="RD468" s="75"/>
      <c r="RE468" s="75"/>
      <c r="RF468" s="75"/>
      <c r="RG468" s="75"/>
      <c r="RH468" s="75"/>
      <c r="RI468" s="75"/>
      <c r="RJ468" s="75"/>
      <c r="RK468" s="75"/>
      <c r="RL468" s="75"/>
      <c r="RM468" s="75"/>
      <c r="RN468" s="75"/>
      <c r="RO468" s="75"/>
      <c r="RP468" s="75"/>
      <c r="RQ468" s="75"/>
      <c r="RR468" s="75"/>
      <c r="RS468" s="75"/>
      <c r="RT468" s="75"/>
      <c r="RU468" s="75"/>
      <c r="RV468" s="75"/>
      <c r="RW468" s="75"/>
      <c r="RX468" s="75"/>
      <c r="RY468" s="75"/>
      <c r="RZ468" s="75"/>
      <c r="SA468" s="75"/>
      <c r="SB468" s="75"/>
      <c r="SC468" s="75"/>
      <c r="SD468" s="75"/>
      <c r="SE468" s="75"/>
      <c r="SF468" s="75"/>
      <c r="SG468" s="75"/>
      <c r="SH468" s="75"/>
      <c r="SI468" s="75"/>
      <c r="SJ468" s="75"/>
      <c r="SK468" s="75"/>
      <c r="SL468" s="75"/>
      <c r="SM468" s="75"/>
      <c r="SN468" s="75"/>
      <c r="SO468" s="75"/>
      <c r="SP468" s="75"/>
      <c r="SQ468" s="75"/>
      <c r="SR468" s="75"/>
      <c r="SS468" s="75"/>
      <c r="ST468" s="75"/>
      <c r="SU468" s="75"/>
      <c r="SV468" s="75"/>
      <c r="SW468" s="75"/>
      <c r="SX468" s="75"/>
      <c r="SY468" s="75"/>
      <c r="SZ468" s="75"/>
      <c r="TA468" s="75"/>
      <c r="TB468" s="75"/>
      <c r="TC468" s="75"/>
      <c r="TD468" s="75"/>
      <c r="TE468" s="75"/>
      <c r="TF468" s="75"/>
      <c r="TG468" s="75"/>
      <c r="TH468" s="75"/>
      <c r="TI468" s="75"/>
      <c r="TJ468" s="75"/>
      <c r="TK468" s="75"/>
      <c r="TL468" s="75"/>
      <c r="TM468" s="75"/>
      <c r="TN468" s="75"/>
      <c r="TO468" s="75"/>
      <c r="TP468" s="75"/>
      <c r="TQ468" s="75"/>
      <c r="TR468" s="75"/>
      <c r="TS468" s="75"/>
      <c r="TT468" s="75"/>
      <c r="TU468" s="75"/>
      <c r="TV468" s="75"/>
      <c r="TW468" s="75"/>
      <c r="TX468" s="75"/>
      <c r="TY468" s="75"/>
      <c r="TZ468" s="75"/>
      <c r="UA468" s="75"/>
      <c r="UB468" s="75"/>
      <c r="UC468" s="75"/>
      <c r="UD468" s="75"/>
      <c r="UE468" s="75"/>
      <c r="UF468" s="75"/>
      <c r="UG468" s="75"/>
      <c r="UH468" s="75"/>
      <c r="UI468" s="75"/>
      <c r="UJ468" s="75"/>
      <c r="UK468" s="75"/>
      <c r="UL468" s="75"/>
      <c r="UM468" s="75"/>
      <c r="UN468" s="75"/>
      <c r="UO468" s="75"/>
      <c r="UP468" s="75"/>
      <c r="UQ468" s="75"/>
      <c r="UR468" s="75"/>
      <c r="US468" s="75"/>
      <c r="UT468" s="75"/>
      <c r="UU468" s="75"/>
      <c r="UV468" s="75"/>
      <c r="UW468" s="75"/>
      <c r="UX468" s="75"/>
      <c r="UY468" s="75"/>
      <c r="UZ468" s="75"/>
      <c r="VA468" s="75"/>
      <c r="VB468" s="75"/>
      <c r="VC468" s="75"/>
      <c r="VD468" s="75"/>
      <c r="VE468" s="75"/>
      <c r="VF468" s="75"/>
      <c r="VG468" s="75"/>
      <c r="VH468" s="75"/>
      <c r="VI468" s="75"/>
      <c r="VJ468" s="75"/>
      <c r="VK468" s="75"/>
      <c r="VL468" s="75"/>
      <c r="VM468" s="75"/>
      <c r="VN468" s="75"/>
      <c r="VO468" s="75"/>
      <c r="VP468" s="75"/>
      <c r="VQ468" s="75"/>
      <c r="VR468" s="75"/>
      <c r="VS468" s="75"/>
      <c r="VT468" s="75"/>
      <c r="VU468" s="75"/>
      <c r="VV468" s="75"/>
      <c r="VW468" s="75"/>
      <c r="VX468" s="75"/>
      <c r="VY468" s="75"/>
      <c r="VZ468" s="75"/>
      <c r="WA468" s="75"/>
      <c r="WB468" s="75"/>
      <c r="WC468" s="75"/>
      <c r="WD468" s="75"/>
      <c r="WE468" s="75"/>
      <c r="WF468" s="75"/>
      <c r="WG468" s="75"/>
      <c r="WH468" s="75"/>
      <c r="WI468" s="75"/>
      <c r="WJ468" s="75"/>
      <c r="WK468" s="75"/>
      <c r="WL468" s="75"/>
      <c r="WM468" s="75"/>
      <c r="WN468" s="75"/>
      <c r="WO468" s="75"/>
      <c r="WP468" s="75"/>
      <c r="WQ468" s="75"/>
      <c r="WR468" s="75"/>
      <c r="WS468" s="75"/>
      <c r="WT468" s="75"/>
      <c r="WU468" s="75"/>
      <c r="WV468" s="75"/>
      <c r="WW468" s="75"/>
      <c r="WX468" s="75"/>
      <c r="WY468" s="75"/>
      <c r="WZ468" s="75"/>
      <c r="XA468" s="75"/>
      <c r="XB468" s="75"/>
      <c r="XC468" s="75"/>
      <c r="XD468" s="75"/>
      <c r="XE468" s="75"/>
      <c r="XF468" s="75"/>
      <c r="XG468" s="75"/>
      <c r="XH468" s="75"/>
      <c r="XI468" s="75"/>
      <c r="XJ468" s="75"/>
      <c r="XK468" s="75"/>
      <c r="XL468" s="75"/>
      <c r="XM468" s="75"/>
      <c r="XN468" s="75"/>
      <c r="XO468" s="75"/>
      <c r="XP468" s="75"/>
      <c r="XQ468" s="75"/>
      <c r="XR468" s="75"/>
      <c r="XS468" s="75"/>
      <c r="XT468" s="75"/>
      <c r="XU468" s="75"/>
      <c r="XV468" s="75"/>
      <c r="XW468" s="75"/>
      <c r="XX468" s="75"/>
      <c r="XY468" s="75"/>
      <c r="XZ468" s="75"/>
      <c r="YA468" s="75"/>
      <c r="YB468" s="75"/>
      <c r="YC468" s="75"/>
      <c r="YD468" s="75"/>
      <c r="YE468" s="75"/>
      <c r="YF468" s="75"/>
      <c r="YG468" s="75"/>
      <c r="YH468" s="75"/>
      <c r="YI468" s="75"/>
      <c r="YJ468" s="75"/>
      <c r="YK468" s="75"/>
      <c r="YL468" s="75"/>
      <c r="YM468" s="75"/>
      <c r="YN468" s="75"/>
      <c r="YO468" s="75"/>
      <c r="YP468" s="75"/>
      <c r="YQ468" s="75"/>
      <c r="YR468" s="75"/>
      <c r="YS468" s="75"/>
      <c r="YT468" s="75"/>
      <c r="YU468" s="75"/>
      <c r="YV468" s="75"/>
      <c r="YW468" s="75"/>
      <c r="YX468" s="75"/>
      <c r="YY468" s="75"/>
      <c r="YZ468" s="75"/>
      <c r="ZA468" s="75"/>
      <c r="ZB468" s="75"/>
      <c r="ZC468" s="75"/>
      <c r="ZD468" s="75"/>
      <c r="ZE468" s="75"/>
      <c r="ZF468" s="75"/>
      <c r="ZG468" s="75"/>
      <c r="ZH468" s="75"/>
      <c r="ZI468" s="75"/>
      <c r="ZJ468" s="75"/>
      <c r="ZK468" s="75"/>
      <c r="ZL468" s="75"/>
      <c r="ZM468" s="75"/>
      <c r="ZN468" s="75"/>
      <c r="ZO468" s="75"/>
      <c r="ZP468" s="75"/>
      <c r="ZQ468" s="75"/>
      <c r="ZR468" s="75"/>
      <c r="ZS468" s="75"/>
      <c r="ZT468" s="75"/>
      <c r="ZU468" s="75"/>
      <c r="ZV468" s="75"/>
      <c r="ZW468" s="75"/>
      <c r="ZX468" s="75"/>
      <c r="ZY468" s="75"/>
      <c r="ZZ468" s="75"/>
      <c r="AAA468" s="75"/>
      <c r="AAB468" s="75"/>
      <c r="AAC468" s="75"/>
      <c r="AAD468" s="75"/>
      <c r="AAE468" s="75"/>
      <c r="AAF468" s="75"/>
      <c r="AAG468" s="75"/>
      <c r="AAH468" s="75"/>
      <c r="AAI468" s="75"/>
      <c r="AAJ468" s="75"/>
      <c r="AAK468" s="75"/>
      <c r="AAL468" s="75"/>
      <c r="AAM468" s="75"/>
      <c r="AAN468" s="75"/>
      <c r="AAO468" s="75"/>
      <c r="AAP468" s="75"/>
      <c r="AAQ468" s="75"/>
      <c r="AAR468" s="75"/>
      <c r="AAS468" s="75"/>
      <c r="AAT468" s="75"/>
      <c r="AAU468" s="75"/>
      <c r="AAV468" s="75"/>
      <c r="AAW468" s="75"/>
      <c r="AAX468" s="75"/>
      <c r="AAY468" s="75"/>
      <c r="AAZ468" s="75"/>
      <c r="ABA468" s="75"/>
      <c r="ABB468" s="75"/>
      <c r="ABC468" s="75"/>
      <c r="ABD468" s="75"/>
      <c r="ABE468" s="75"/>
      <c r="ABF468" s="75"/>
      <c r="ABG468" s="75"/>
      <c r="ABH468" s="75"/>
      <c r="ABI468" s="75"/>
      <c r="ABJ468" s="75"/>
      <c r="ABK468" s="75"/>
      <c r="ABL468" s="75"/>
      <c r="ABM468" s="75"/>
      <c r="ABN468" s="75"/>
      <c r="ABO468" s="75"/>
      <c r="ABP468" s="75"/>
      <c r="ABQ468" s="75"/>
      <c r="ABR468" s="75"/>
      <c r="ABS468" s="75"/>
      <c r="ABT468" s="75"/>
      <c r="ABU468" s="75"/>
      <c r="ABV468" s="75"/>
      <c r="ABW468" s="75"/>
      <c r="ABX468" s="75"/>
      <c r="ABY468" s="75"/>
      <c r="ABZ468" s="75"/>
      <c r="ACA468" s="75"/>
      <c r="ACB468" s="75"/>
      <c r="ACC468" s="75"/>
      <c r="ACD468" s="75"/>
      <c r="ACE468" s="75"/>
      <c r="ACF468" s="75"/>
      <c r="ACG468" s="75"/>
      <c r="ACH468" s="75"/>
      <c r="ACI468" s="75"/>
      <c r="ACJ468" s="75"/>
      <c r="ACK468" s="75"/>
      <c r="ACL468" s="75"/>
      <c r="ACM468" s="75"/>
      <c r="ACN468" s="75"/>
      <c r="ACO468" s="75"/>
      <c r="ACP468" s="75"/>
      <c r="ACQ468" s="75"/>
      <c r="ACR468" s="75"/>
      <c r="ACS468" s="75"/>
      <c r="ACT468" s="75"/>
      <c r="ACU468" s="75"/>
      <c r="ACV468" s="75"/>
      <c r="ACW468" s="75"/>
      <c r="ACX468" s="75"/>
      <c r="ACY468" s="75"/>
      <c r="ACZ468" s="75"/>
      <c r="ADA468" s="75"/>
      <c r="ADB468" s="75"/>
      <c r="ADC468" s="75"/>
      <c r="ADD468" s="75"/>
      <c r="ADE468" s="75"/>
      <c r="ADF468" s="75"/>
      <c r="ADG468" s="75"/>
      <c r="ADH468" s="75"/>
      <c r="ADI468" s="75"/>
      <c r="ADJ468" s="75"/>
      <c r="ADK468" s="75"/>
      <c r="ADL468" s="75"/>
      <c r="ADM468" s="75"/>
      <c r="ADN468" s="75"/>
      <c r="ADO468" s="75"/>
      <c r="ADP468" s="75"/>
      <c r="ADQ468" s="75"/>
      <c r="ADR468" s="75"/>
      <c r="ADS468" s="75"/>
      <c r="ADT468" s="75"/>
      <c r="ADU468" s="75"/>
      <c r="ADV468" s="75"/>
      <c r="ADW468" s="75"/>
      <c r="ADX468" s="75"/>
      <c r="ADY468" s="75"/>
      <c r="ADZ468" s="75"/>
      <c r="AEA468" s="75"/>
      <c r="AEB468" s="75"/>
      <c r="AEC468" s="75"/>
      <c r="AED468" s="75"/>
      <c r="AEE468" s="75"/>
      <c r="AEF468" s="75"/>
      <c r="AEG468" s="75"/>
      <c r="AEH468" s="75"/>
      <c r="AEI468" s="75"/>
      <c r="AEJ468" s="75"/>
      <c r="AEK468" s="75"/>
      <c r="AEL468" s="75"/>
      <c r="AEM468" s="75"/>
      <c r="AEN468" s="75"/>
      <c r="AEO468" s="75"/>
      <c r="AEP468" s="75"/>
      <c r="AEQ468" s="75"/>
      <c r="AER468" s="75"/>
      <c r="AES468" s="75"/>
      <c r="AET468" s="75"/>
      <c r="AEU468" s="75"/>
      <c r="AEV468" s="75"/>
      <c r="AEW468" s="75"/>
      <c r="AEX468" s="75"/>
      <c r="AEY468" s="75"/>
      <c r="AEZ468" s="75"/>
      <c r="AFA468" s="75"/>
      <c r="AFB468" s="75"/>
      <c r="AFC468" s="75"/>
      <c r="AFD468" s="75"/>
      <c r="AFE468" s="75"/>
      <c r="AFF468" s="75"/>
      <c r="AFG468" s="75"/>
      <c r="AFH468" s="75"/>
      <c r="AFI468" s="75"/>
      <c r="AFJ468" s="75"/>
      <c r="AFK468" s="75"/>
      <c r="AFL468" s="75"/>
      <c r="AFM468" s="75"/>
      <c r="AFN468" s="75"/>
      <c r="AFO468" s="75"/>
      <c r="AFP468" s="75"/>
      <c r="AFQ468" s="75"/>
      <c r="AFR468" s="75"/>
      <c r="AFS468" s="75"/>
      <c r="AFT468" s="75"/>
      <c r="AFU468" s="75"/>
      <c r="AFV468" s="75"/>
      <c r="AFW468" s="75"/>
      <c r="AFX468" s="75"/>
      <c r="AFY468" s="75"/>
      <c r="AFZ468" s="75"/>
      <c r="AGA468" s="75"/>
      <c r="AGB468" s="75"/>
      <c r="AGC468" s="75"/>
      <c r="AGD468" s="75"/>
      <c r="AGE468" s="75"/>
      <c r="AGF468" s="75"/>
      <c r="AGG468" s="75"/>
      <c r="AGH468" s="75"/>
      <c r="AGI468" s="75"/>
      <c r="AGJ468" s="75"/>
      <c r="AGK468" s="75"/>
      <c r="AGL468" s="75"/>
      <c r="AGM468" s="75"/>
      <c r="AGN468" s="75"/>
      <c r="AGO468" s="75"/>
      <c r="AGP468" s="75"/>
      <c r="AGQ468" s="75"/>
      <c r="AGR468" s="75"/>
      <c r="AGS468" s="75"/>
      <c r="AGT468" s="75"/>
      <c r="AGU468" s="75"/>
      <c r="AGV468" s="75"/>
      <c r="AGW468" s="75"/>
      <c r="AGX468" s="75"/>
      <c r="AGY468" s="75"/>
      <c r="AGZ468" s="75"/>
      <c r="AHA468" s="75"/>
      <c r="AHB468" s="75"/>
      <c r="AHC468" s="75"/>
      <c r="AHD468" s="75"/>
      <c r="AHE468" s="75"/>
      <c r="AHF468" s="75"/>
      <c r="AHG468" s="75"/>
      <c r="AHH468" s="75"/>
      <c r="AHI468" s="75"/>
      <c r="AHJ468" s="75"/>
      <c r="AHK468" s="75"/>
      <c r="AHL468" s="75"/>
      <c r="AHM468" s="75"/>
      <c r="AHN468" s="75"/>
      <c r="AHO468" s="75"/>
      <c r="AHP468" s="75"/>
      <c r="AHQ468" s="75"/>
      <c r="AHR468" s="75"/>
      <c r="AHS468" s="75"/>
      <c r="AHT468" s="75"/>
      <c r="AHU468" s="75"/>
      <c r="AHV468" s="75"/>
      <c r="AHW468" s="75"/>
      <c r="AHX468" s="75"/>
      <c r="AHY468" s="75"/>
      <c r="AHZ468" s="75"/>
      <c r="AIA468" s="75"/>
      <c r="AIB468" s="75"/>
      <c r="AIC468" s="75"/>
      <c r="AID468" s="75"/>
      <c r="AIE468" s="75"/>
      <c r="AIF468" s="75"/>
      <c r="AIG468" s="75"/>
      <c r="AIH468" s="75"/>
      <c r="AII468" s="75"/>
      <c r="AIJ468" s="75"/>
      <c r="AIK468" s="75"/>
      <c r="AIL468" s="75"/>
      <c r="AIM468" s="75"/>
      <c r="AIN468" s="75"/>
      <c r="AIO468" s="75"/>
      <c r="AIP468" s="75"/>
      <c r="AIQ468" s="75"/>
      <c r="AIR468" s="75"/>
      <c r="AIS468" s="75"/>
      <c r="AIT468" s="75"/>
      <c r="AIU468" s="75"/>
      <c r="AIV468" s="75"/>
      <c r="AIW468" s="75"/>
      <c r="AIX468" s="75"/>
      <c r="AIY468" s="75"/>
      <c r="AIZ468" s="75"/>
      <c r="AJA468" s="75"/>
      <c r="AJB468" s="75"/>
      <c r="AJC468" s="75"/>
      <c r="AJD468" s="75"/>
      <c r="AJE468" s="75"/>
      <c r="AJF468" s="75"/>
      <c r="AJG468" s="75"/>
      <c r="AJH468" s="75"/>
      <c r="AJI468" s="75"/>
      <c r="AJJ468" s="75"/>
      <c r="AJK468" s="75"/>
      <c r="AJL468" s="75"/>
      <c r="AJM468" s="75"/>
      <c r="AJN468" s="75"/>
      <c r="AJO468" s="75"/>
      <c r="AJP468" s="75"/>
      <c r="AJQ468" s="75"/>
      <c r="AJR468" s="75"/>
      <c r="AJS468" s="75"/>
      <c r="AJT468" s="75"/>
      <c r="AJU468" s="75"/>
      <c r="AJV468" s="75"/>
      <c r="AJW468" s="75"/>
      <c r="AJX468" s="75"/>
      <c r="AJY468" s="75"/>
      <c r="AJZ468" s="75"/>
      <c r="AKA468" s="75"/>
      <c r="AKB468" s="75"/>
      <c r="AKC468" s="75"/>
      <c r="AKD468" s="75"/>
      <c r="AKE468" s="75"/>
      <c r="AKF468" s="75"/>
      <c r="AKG468" s="75"/>
      <c r="AKH468" s="75"/>
      <c r="AKI468" s="75"/>
      <c r="AKJ468" s="75"/>
      <c r="AKK468" s="75"/>
      <c r="AKL468" s="75"/>
      <c r="AKM468" s="75"/>
      <c r="AKN468" s="75"/>
      <c r="AKO468" s="75"/>
      <c r="AKP468" s="75"/>
      <c r="AKQ468" s="75"/>
      <c r="AKR468" s="75"/>
      <c r="AKS468" s="75"/>
      <c r="AKT468" s="75"/>
      <c r="AKU468" s="75"/>
      <c r="AKV468" s="75"/>
      <c r="AKW468" s="75"/>
      <c r="AKX468" s="75"/>
      <c r="AKY468" s="75"/>
      <c r="AKZ468" s="75"/>
      <c r="ALA468" s="75"/>
      <c r="ALB468" s="75"/>
      <c r="ALC468" s="75"/>
      <c r="ALD468" s="75"/>
      <c r="ALE468" s="75"/>
      <c r="ALF468" s="75"/>
      <c r="ALG468" s="75"/>
      <c r="ALH468" s="75"/>
      <c r="ALI468" s="75"/>
      <c r="ALJ468" s="75"/>
      <c r="ALK468" s="75"/>
      <c r="ALL468" s="75"/>
      <c r="ALM468" s="75"/>
      <c r="ALN468" s="75"/>
      <c r="ALO468" s="75"/>
    </row>
    <row r="469" spans="1:1003" s="234" customFormat="1" ht="14.55" customHeight="1" outlineLevel="1" x14ac:dyDescent="0.25">
      <c r="A469" s="230" t="s">
        <v>1422</v>
      </c>
      <c r="B469" s="343" t="str">
        <f>"12.0602"</f>
        <v>12.0602</v>
      </c>
      <c r="C469" s="75" t="s">
        <v>2127</v>
      </c>
      <c r="D469" s="127" t="s">
        <v>2128</v>
      </c>
      <c r="E469" s="232"/>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c r="AY469" s="75"/>
      <c r="AZ469" s="75"/>
      <c r="BA469" s="75"/>
      <c r="BB469" s="75"/>
      <c r="BC469" s="75"/>
      <c r="BD469" s="75"/>
      <c r="BE469" s="75"/>
      <c r="BF469" s="75"/>
      <c r="BG469" s="75"/>
      <c r="BH469" s="75"/>
      <c r="BI469" s="75"/>
      <c r="BJ469" s="75"/>
      <c r="BK469" s="75"/>
      <c r="BL469" s="75"/>
      <c r="BM469" s="75"/>
      <c r="BN469" s="75"/>
      <c r="BO469" s="75"/>
      <c r="BP469" s="75"/>
      <c r="BQ469" s="75"/>
      <c r="BR469" s="75"/>
      <c r="BS469" s="75"/>
      <c r="BT469" s="75"/>
      <c r="BU469" s="75"/>
      <c r="BV469" s="75"/>
      <c r="BW469" s="75"/>
      <c r="BX469" s="75"/>
      <c r="BY469" s="75"/>
      <c r="BZ469" s="75"/>
      <c r="CA469" s="75"/>
      <c r="CB469" s="75"/>
      <c r="CC469" s="75"/>
      <c r="CD469" s="75"/>
      <c r="CE469" s="75"/>
      <c r="CF469" s="75"/>
      <c r="CG469" s="75"/>
      <c r="CH469" s="75"/>
      <c r="CI469" s="75"/>
      <c r="CJ469" s="75"/>
      <c r="CK469" s="75"/>
      <c r="CL469" s="75"/>
      <c r="CM469" s="75"/>
      <c r="CN469" s="75"/>
      <c r="CO469" s="75"/>
      <c r="CP469" s="75"/>
      <c r="CQ469" s="75"/>
      <c r="CR469" s="75"/>
      <c r="CS469" s="75"/>
      <c r="CT469" s="75"/>
      <c r="CU469" s="75"/>
      <c r="CV469" s="75"/>
      <c r="CW469" s="75"/>
      <c r="CX469" s="75"/>
      <c r="CY469" s="75"/>
      <c r="CZ469" s="75"/>
      <c r="DA469" s="75"/>
      <c r="DB469" s="75"/>
      <c r="DC469" s="75"/>
      <c r="DD469" s="75"/>
      <c r="DE469" s="75"/>
      <c r="DF469" s="75"/>
      <c r="DG469" s="75"/>
      <c r="DH469" s="75"/>
      <c r="DI469" s="75"/>
      <c r="DJ469" s="75"/>
      <c r="DK469" s="75"/>
      <c r="DL469" s="75"/>
      <c r="DM469" s="75"/>
      <c r="DN469" s="75"/>
      <c r="DO469" s="75"/>
      <c r="DP469" s="75"/>
      <c r="DQ469" s="75"/>
      <c r="DR469" s="75"/>
      <c r="DS469" s="75"/>
      <c r="DT469" s="75"/>
      <c r="DU469" s="75"/>
      <c r="DV469" s="75"/>
      <c r="DW469" s="75"/>
      <c r="DX469" s="75"/>
      <c r="DY469" s="75"/>
      <c r="DZ469" s="75"/>
      <c r="EA469" s="75"/>
      <c r="EB469" s="75"/>
      <c r="EC469" s="75"/>
      <c r="ED469" s="75"/>
      <c r="EE469" s="75"/>
      <c r="EF469" s="75"/>
      <c r="EG469" s="75"/>
      <c r="EH469" s="75"/>
      <c r="EI469" s="75"/>
      <c r="EJ469" s="75"/>
      <c r="EK469" s="75"/>
      <c r="EL469" s="75"/>
      <c r="EM469" s="75"/>
      <c r="EN469" s="75"/>
      <c r="EO469" s="75"/>
      <c r="EP469" s="75"/>
      <c r="EQ469" s="75"/>
      <c r="ER469" s="75"/>
      <c r="ES469" s="75"/>
      <c r="ET469" s="75"/>
      <c r="EU469" s="75"/>
      <c r="EV469" s="75"/>
      <c r="EW469" s="75"/>
      <c r="EX469" s="75"/>
      <c r="EY469" s="75"/>
      <c r="EZ469" s="75"/>
      <c r="FA469" s="75"/>
      <c r="FB469" s="75"/>
      <c r="FC469" s="75"/>
      <c r="FD469" s="75"/>
      <c r="FE469" s="75"/>
      <c r="FF469" s="75"/>
      <c r="FG469" s="75"/>
      <c r="FH469" s="75"/>
      <c r="FI469" s="75"/>
      <c r="FJ469" s="75"/>
      <c r="FK469" s="75"/>
      <c r="FL469" s="75"/>
      <c r="FM469" s="75"/>
      <c r="FN469" s="75"/>
      <c r="FO469" s="75"/>
      <c r="FP469" s="75"/>
      <c r="FQ469" s="75"/>
      <c r="FR469" s="75"/>
      <c r="FS469" s="75"/>
      <c r="FT469" s="75"/>
      <c r="FU469" s="75"/>
      <c r="FV469" s="75"/>
      <c r="FW469" s="75"/>
      <c r="FX469" s="75"/>
      <c r="FY469" s="75"/>
      <c r="FZ469" s="75"/>
      <c r="GA469" s="75"/>
      <c r="GB469" s="75"/>
      <c r="GC469" s="75"/>
      <c r="GD469" s="75"/>
      <c r="GE469" s="75"/>
      <c r="GF469" s="75"/>
      <c r="GG469" s="75"/>
      <c r="GH469" s="75"/>
      <c r="GI469" s="75"/>
      <c r="GJ469" s="75"/>
      <c r="GK469" s="75"/>
      <c r="GL469" s="75"/>
      <c r="GM469" s="75"/>
      <c r="GN469" s="75"/>
      <c r="GO469" s="75"/>
      <c r="GP469" s="75"/>
      <c r="GQ469" s="75"/>
      <c r="GR469" s="75"/>
      <c r="GS469" s="75"/>
      <c r="GT469" s="75"/>
      <c r="GU469" s="75"/>
      <c r="GV469" s="75"/>
      <c r="GW469" s="75"/>
      <c r="GX469" s="75"/>
      <c r="GY469" s="75"/>
      <c r="GZ469" s="75"/>
      <c r="HA469" s="75"/>
      <c r="HB469" s="75"/>
      <c r="HC469" s="75"/>
      <c r="HD469" s="75"/>
      <c r="HE469" s="75"/>
      <c r="HF469" s="75"/>
      <c r="HG469" s="75"/>
      <c r="HH469" s="75"/>
      <c r="HI469" s="75"/>
      <c r="HJ469" s="75"/>
      <c r="HK469" s="75"/>
      <c r="HL469" s="75"/>
      <c r="HM469" s="75"/>
      <c r="HN469" s="75"/>
      <c r="HO469" s="75"/>
      <c r="HP469" s="75"/>
      <c r="HQ469" s="75"/>
      <c r="HR469" s="75"/>
      <c r="HS469" s="75"/>
      <c r="HT469" s="75"/>
      <c r="HU469" s="75"/>
      <c r="HV469" s="75"/>
      <c r="HW469" s="75"/>
      <c r="HX469" s="75"/>
      <c r="HY469" s="75"/>
      <c r="HZ469" s="75"/>
      <c r="IA469" s="75"/>
      <c r="IB469" s="75"/>
      <c r="IC469" s="75"/>
      <c r="ID469" s="75"/>
      <c r="IE469" s="75"/>
      <c r="IF469" s="75"/>
      <c r="IG469" s="75"/>
      <c r="IH469" s="75"/>
      <c r="II469" s="75"/>
      <c r="IJ469" s="75"/>
      <c r="IK469" s="75"/>
      <c r="IL469" s="75"/>
      <c r="IM469" s="75"/>
      <c r="IN469" s="75"/>
      <c r="IO469" s="75"/>
      <c r="IP469" s="75"/>
      <c r="IQ469" s="75"/>
      <c r="IR469" s="75"/>
      <c r="IS469" s="75"/>
      <c r="IT469" s="75"/>
      <c r="IU469" s="75"/>
      <c r="IV469" s="75"/>
      <c r="IW469" s="75"/>
      <c r="IX469" s="75"/>
      <c r="IY469" s="75"/>
      <c r="IZ469" s="75"/>
      <c r="JA469" s="75"/>
      <c r="JB469" s="75"/>
      <c r="JC469" s="75"/>
      <c r="JD469" s="75"/>
      <c r="JE469" s="75"/>
      <c r="JF469" s="75"/>
      <c r="JG469" s="75"/>
      <c r="JH469" s="75"/>
      <c r="JI469" s="75"/>
      <c r="JJ469" s="75"/>
      <c r="JK469" s="75"/>
      <c r="JL469" s="75"/>
      <c r="JM469" s="75"/>
      <c r="JN469" s="75"/>
      <c r="JO469" s="75"/>
      <c r="JP469" s="75"/>
      <c r="JQ469" s="75"/>
      <c r="JR469" s="75"/>
      <c r="JS469" s="75"/>
      <c r="JT469" s="75"/>
      <c r="JU469" s="75"/>
      <c r="JV469" s="75"/>
      <c r="JW469" s="75"/>
      <c r="JX469" s="75"/>
      <c r="JY469" s="75"/>
      <c r="JZ469" s="75"/>
      <c r="KA469" s="75"/>
      <c r="KB469" s="75"/>
      <c r="KC469" s="75"/>
      <c r="KD469" s="75"/>
      <c r="KE469" s="75"/>
      <c r="KF469" s="75"/>
      <c r="KG469" s="75"/>
      <c r="KH469" s="75"/>
      <c r="KI469" s="75"/>
      <c r="KJ469" s="75"/>
      <c r="KK469" s="75"/>
      <c r="KL469" s="75"/>
      <c r="KM469" s="75"/>
      <c r="KN469" s="75"/>
      <c r="KO469" s="75"/>
      <c r="KP469" s="75"/>
      <c r="KQ469" s="75"/>
      <c r="KR469" s="75"/>
      <c r="KS469" s="75"/>
      <c r="KT469" s="75"/>
      <c r="KU469" s="75"/>
      <c r="KV469" s="75"/>
      <c r="KW469" s="75"/>
      <c r="KX469" s="75"/>
      <c r="KY469" s="75"/>
      <c r="KZ469" s="75"/>
      <c r="LA469" s="75"/>
      <c r="LB469" s="75"/>
      <c r="LC469" s="75"/>
      <c r="LD469" s="75"/>
      <c r="LE469" s="75"/>
      <c r="LF469" s="75"/>
      <c r="LG469" s="75"/>
      <c r="LH469" s="75"/>
      <c r="LI469" s="75"/>
      <c r="LJ469" s="75"/>
      <c r="LK469" s="75"/>
      <c r="LL469" s="75"/>
      <c r="LM469" s="75"/>
      <c r="LN469" s="75"/>
      <c r="LO469" s="75"/>
      <c r="LP469" s="75"/>
      <c r="LQ469" s="75"/>
      <c r="LR469" s="75"/>
      <c r="LS469" s="75"/>
      <c r="LT469" s="75"/>
      <c r="LU469" s="75"/>
      <c r="LV469" s="75"/>
      <c r="LW469" s="75"/>
      <c r="LX469" s="75"/>
      <c r="LY469" s="75"/>
      <c r="LZ469" s="75"/>
      <c r="MA469" s="75"/>
      <c r="MB469" s="75"/>
      <c r="MC469" s="75"/>
      <c r="MD469" s="75"/>
      <c r="ME469" s="75"/>
      <c r="MF469" s="75"/>
      <c r="MG469" s="75"/>
      <c r="MH469" s="75"/>
      <c r="MI469" s="75"/>
      <c r="MJ469" s="75"/>
      <c r="MK469" s="75"/>
      <c r="ML469" s="75"/>
      <c r="MM469" s="75"/>
      <c r="MN469" s="75"/>
      <c r="MO469" s="75"/>
      <c r="MP469" s="75"/>
      <c r="MQ469" s="75"/>
      <c r="MR469" s="75"/>
      <c r="MS469" s="75"/>
      <c r="MT469" s="75"/>
      <c r="MU469" s="75"/>
      <c r="MV469" s="75"/>
      <c r="MW469" s="75"/>
      <c r="MX469" s="75"/>
      <c r="MY469" s="75"/>
      <c r="MZ469" s="75"/>
      <c r="NA469" s="75"/>
      <c r="NB469" s="75"/>
      <c r="NC469" s="75"/>
      <c r="ND469" s="75"/>
      <c r="NE469" s="75"/>
      <c r="NF469" s="75"/>
      <c r="NG469" s="75"/>
      <c r="NH469" s="75"/>
      <c r="NI469" s="75"/>
      <c r="NJ469" s="75"/>
      <c r="NK469" s="75"/>
      <c r="NL469" s="75"/>
      <c r="NM469" s="75"/>
      <c r="NN469" s="75"/>
      <c r="NO469" s="75"/>
      <c r="NP469" s="75"/>
      <c r="NQ469" s="75"/>
      <c r="NR469" s="75"/>
      <c r="NS469" s="75"/>
      <c r="NT469" s="75"/>
      <c r="NU469" s="75"/>
      <c r="NV469" s="75"/>
      <c r="NW469" s="75"/>
      <c r="NX469" s="75"/>
      <c r="NY469" s="75"/>
      <c r="NZ469" s="75"/>
      <c r="OA469" s="75"/>
      <c r="OB469" s="75"/>
      <c r="OC469" s="75"/>
      <c r="OD469" s="75"/>
      <c r="OE469" s="75"/>
      <c r="OF469" s="75"/>
      <c r="OG469" s="75"/>
      <c r="OH469" s="75"/>
      <c r="OI469" s="75"/>
      <c r="OJ469" s="75"/>
      <c r="OK469" s="75"/>
      <c r="OL469" s="75"/>
      <c r="OM469" s="75"/>
      <c r="ON469" s="75"/>
      <c r="OO469" s="75"/>
      <c r="OP469" s="75"/>
      <c r="OQ469" s="75"/>
      <c r="OR469" s="75"/>
      <c r="OS469" s="75"/>
      <c r="OT469" s="75"/>
      <c r="OU469" s="75"/>
      <c r="OV469" s="75"/>
      <c r="OW469" s="75"/>
      <c r="OX469" s="75"/>
      <c r="OY469" s="75"/>
      <c r="OZ469" s="75"/>
      <c r="PA469" s="75"/>
      <c r="PB469" s="75"/>
      <c r="PC469" s="75"/>
      <c r="PD469" s="75"/>
      <c r="PE469" s="75"/>
      <c r="PF469" s="75"/>
      <c r="PG469" s="75"/>
      <c r="PH469" s="75"/>
      <c r="PI469" s="75"/>
      <c r="PJ469" s="75"/>
      <c r="PK469" s="75"/>
      <c r="PL469" s="75"/>
      <c r="PM469" s="75"/>
      <c r="PN469" s="75"/>
      <c r="PO469" s="75"/>
      <c r="PP469" s="75"/>
      <c r="PQ469" s="75"/>
      <c r="PR469" s="75"/>
      <c r="PS469" s="75"/>
      <c r="PT469" s="75"/>
      <c r="PU469" s="75"/>
      <c r="PV469" s="75"/>
      <c r="PW469" s="75"/>
      <c r="PX469" s="75"/>
      <c r="PY469" s="75"/>
      <c r="PZ469" s="75"/>
      <c r="QA469" s="75"/>
      <c r="QB469" s="75"/>
      <c r="QC469" s="75"/>
      <c r="QD469" s="75"/>
      <c r="QE469" s="75"/>
      <c r="QF469" s="75"/>
      <c r="QG469" s="75"/>
      <c r="QH469" s="75"/>
      <c r="QI469" s="75"/>
      <c r="QJ469" s="75"/>
      <c r="QK469" s="75"/>
      <c r="QL469" s="75"/>
      <c r="QM469" s="75"/>
      <c r="QN469" s="75"/>
      <c r="QO469" s="75"/>
      <c r="QP469" s="75"/>
      <c r="QQ469" s="75"/>
      <c r="QR469" s="75"/>
      <c r="QS469" s="75"/>
      <c r="QT469" s="75"/>
      <c r="QU469" s="75"/>
      <c r="QV469" s="75"/>
      <c r="QW469" s="75"/>
      <c r="QX469" s="75"/>
      <c r="QY469" s="75"/>
      <c r="QZ469" s="75"/>
      <c r="RA469" s="75"/>
      <c r="RB469" s="75"/>
      <c r="RC469" s="75"/>
      <c r="RD469" s="75"/>
      <c r="RE469" s="75"/>
      <c r="RF469" s="75"/>
      <c r="RG469" s="75"/>
      <c r="RH469" s="75"/>
      <c r="RI469" s="75"/>
      <c r="RJ469" s="75"/>
      <c r="RK469" s="75"/>
      <c r="RL469" s="75"/>
      <c r="RM469" s="75"/>
      <c r="RN469" s="75"/>
      <c r="RO469" s="75"/>
      <c r="RP469" s="75"/>
      <c r="RQ469" s="75"/>
      <c r="RR469" s="75"/>
      <c r="RS469" s="75"/>
      <c r="RT469" s="75"/>
      <c r="RU469" s="75"/>
      <c r="RV469" s="75"/>
      <c r="RW469" s="75"/>
      <c r="RX469" s="75"/>
      <c r="RY469" s="75"/>
      <c r="RZ469" s="75"/>
      <c r="SA469" s="75"/>
      <c r="SB469" s="75"/>
      <c r="SC469" s="75"/>
      <c r="SD469" s="75"/>
      <c r="SE469" s="75"/>
      <c r="SF469" s="75"/>
      <c r="SG469" s="75"/>
      <c r="SH469" s="75"/>
      <c r="SI469" s="75"/>
      <c r="SJ469" s="75"/>
      <c r="SK469" s="75"/>
      <c r="SL469" s="75"/>
      <c r="SM469" s="75"/>
      <c r="SN469" s="75"/>
      <c r="SO469" s="75"/>
      <c r="SP469" s="75"/>
      <c r="SQ469" s="75"/>
      <c r="SR469" s="75"/>
      <c r="SS469" s="75"/>
      <c r="ST469" s="75"/>
      <c r="SU469" s="75"/>
      <c r="SV469" s="75"/>
      <c r="SW469" s="75"/>
      <c r="SX469" s="75"/>
      <c r="SY469" s="75"/>
      <c r="SZ469" s="75"/>
      <c r="TA469" s="75"/>
      <c r="TB469" s="75"/>
      <c r="TC469" s="75"/>
      <c r="TD469" s="75"/>
      <c r="TE469" s="75"/>
      <c r="TF469" s="75"/>
      <c r="TG469" s="75"/>
      <c r="TH469" s="75"/>
      <c r="TI469" s="75"/>
      <c r="TJ469" s="75"/>
      <c r="TK469" s="75"/>
      <c r="TL469" s="75"/>
      <c r="TM469" s="75"/>
      <c r="TN469" s="75"/>
      <c r="TO469" s="75"/>
      <c r="TP469" s="75"/>
      <c r="TQ469" s="75"/>
      <c r="TR469" s="75"/>
      <c r="TS469" s="75"/>
      <c r="TT469" s="75"/>
      <c r="TU469" s="75"/>
      <c r="TV469" s="75"/>
      <c r="TW469" s="75"/>
      <c r="TX469" s="75"/>
      <c r="TY469" s="75"/>
      <c r="TZ469" s="75"/>
      <c r="UA469" s="75"/>
      <c r="UB469" s="75"/>
      <c r="UC469" s="75"/>
      <c r="UD469" s="75"/>
      <c r="UE469" s="75"/>
      <c r="UF469" s="75"/>
      <c r="UG469" s="75"/>
      <c r="UH469" s="75"/>
      <c r="UI469" s="75"/>
      <c r="UJ469" s="75"/>
      <c r="UK469" s="75"/>
      <c r="UL469" s="75"/>
      <c r="UM469" s="75"/>
      <c r="UN469" s="75"/>
      <c r="UO469" s="75"/>
      <c r="UP469" s="75"/>
      <c r="UQ469" s="75"/>
      <c r="UR469" s="75"/>
      <c r="US469" s="75"/>
      <c r="UT469" s="75"/>
      <c r="UU469" s="75"/>
      <c r="UV469" s="75"/>
      <c r="UW469" s="75"/>
      <c r="UX469" s="75"/>
      <c r="UY469" s="75"/>
      <c r="UZ469" s="75"/>
      <c r="VA469" s="75"/>
      <c r="VB469" s="75"/>
      <c r="VC469" s="75"/>
      <c r="VD469" s="75"/>
      <c r="VE469" s="75"/>
      <c r="VF469" s="75"/>
      <c r="VG469" s="75"/>
      <c r="VH469" s="75"/>
      <c r="VI469" s="75"/>
      <c r="VJ469" s="75"/>
      <c r="VK469" s="75"/>
      <c r="VL469" s="75"/>
      <c r="VM469" s="75"/>
      <c r="VN469" s="75"/>
      <c r="VO469" s="75"/>
      <c r="VP469" s="75"/>
      <c r="VQ469" s="75"/>
      <c r="VR469" s="75"/>
      <c r="VS469" s="75"/>
      <c r="VT469" s="75"/>
      <c r="VU469" s="75"/>
      <c r="VV469" s="75"/>
      <c r="VW469" s="75"/>
      <c r="VX469" s="75"/>
      <c r="VY469" s="75"/>
      <c r="VZ469" s="75"/>
      <c r="WA469" s="75"/>
      <c r="WB469" s="75"/>
      <c r="WC469" s="75"/>
      <c r="WD469" s="75"/>
      <c r="WE469" s="75"/>
      <c r="WF469" s="75"/>
      <c r="WG469" s="75"/>
      <c r="WH469" s="75"/>
      <c r="WI469" s="75"/>
      <c r="WJ469" s="75"/>
      <c r="WK469" s="75"/>
      <c r="WL469" s="75"/>
      <c r="WM469" s="75"/>
      <c r="WN469" s="75"/>
      <c r="WO469" s="75"/>
      <c r="WP469" s="75"/>
      <c r="WQ469" s="75"/>
      <c r="WR469" s="75"/>
      <c r="WS469" s="75"/>
      <c r="WT469" s="75"/>
      <c r="WU469" s="75"/>
      <c r="WV469" s="75"/>
      <c r="WW469" s="75"/>
      <c r="WX469" s="75"/>
      <c r="WY469" s="75"/>
      <c r="WZ469" s="75"/>
      <c r="XA469" s="75"/>
      <c r="XB469" s="75"/>
      <c r="XC469" s="75"/>
      <c r="XD469" s="75"/>
      <c r="XE469" s="75"/>
      <c r="XF469" s="75"/>
      <c r="XG469" s="75"/>
      <c r="XH469" s="75"/>
      <c r="XI469" s="75"/>
      <c r="XJ469" s="75"/>
      <c r="XK469" s="75"/>
      <c r="XL469" s="75"/>
      <c r="XM469" s="75"/>
      <c r="XN469" s="75"/>
      <c r="XO469" s="75"/>
      <c r="XP469" s="75"/>
      <c r="XQ469" s="75"/>
      <c r="XR469" s="75"/>
      <c r="XS469" s="75"/>
      <c r="XT469" s="75"/>
      <c r="XU469" s="75"/>
      <c r="XV469" s="75"/>
      <c r="XW469" s="75"/>
      <c r="XX469" s="75"/>
      <c r="XY469" s="75"/>
      <c r="XZ469" s="75"/>
      <c r="YA469" s="75"/>
      <c r="YB469" s="75"/>
      <c r="YC469" s="75"/>
      <c r="YD469" s="75"/>
      <c r="YE469" s="75"/>
      <c r="YF469" s="75"/>
      <c r="YG469" s="75"/>
      <c r="YH469" s="75"/>
      <c r="YI469" s="75"/>
      <c r="YJ469" s="75"/>
      <c r="YK469" s="75"/>
      <c r="YL469" s="75"/>
      <c r="YM469" s="75"/>
      <c r="YN469" s="75"/>
      <c r="YO469" s="75"/>
      <c r="YP469" s="75"/>
      <c r="YQ469" s="75"/>
      <c r="YR469" s="75"/>
      <c r="YS469" s="75"/>
      <c r="YT469" s="75"/>
      <c r="YU469" s="75"/>
      <c r="YV469" s="75"/>
      <c r="YW469" s="75"/>
      <c r="YX469" s="75"/>
      <c r="YY469" s="75"/>
      <c r="YZ469" s="75"/>
      <c r="ZA469" s="75"/>
      <c r="ZB469" s="75"/>
      <c r="ZC469" s="75"/>
      <c r="ZD469" s="75"/>
      <c r="ZE469" s="75"/>
      <c r="ZF469" s="75"/>
      <c r="ZG469" s="75"/>
      <c r="ZH469" s="75"/>
      <c r="ZI469" s="75"/>
      <c r="ZJ469" s="75"/>
      <c r="ZK469" s="75"/>
      <c r="ZL469" s="75"/>
      <c r="ZM469" s="75"/>
      <c r="ZN469" s="75"/>
      <c r="ZO469" s="75"/>
      <c r="ZP469" s="75"/>
      <c r="ZQ469" s="75"/>
      <c r="ZR469" s="75"/>
      <c r="ZS469" s="75"/>
      <c r="ZT469" s="75"/>
      <c r="ZU469" s="75"/>
      <c r="ZV469" s="75"/>
      <c r="ZW469" s="75"/>
      <c r="ZX469" s="75"/>
      <c r="ZY469" s="75"/>
      <c r="ZZ469" s="75"/>
      <c r="AAA469" s="75"/>
      <c r="AAB469" s="75"/>
      <c r="AAC469" s="75"/>
      <c r="AAD469" s="75"/>
      <c r="AAE469" s="75"/>
      <c r="AAF469" s="75"/>
      <c r="AAG469" s="75"/>
      <c r="AAH469" s="75"/>
      <c r="AAI469" s="75"/>
      <c r="AAJ469" s="75"/>
      <c r="AAK469" s="75"/>
      <c r="AAL469" s="75"/>
      <c r="AAM469" s="75"/>
      <c r="AAN469" s="75"/>
      <c r="AAO469" s="75"/>
      <c r="AAP469" s="75"/>
      <c r="AAQ469" s="75"/>
      <c r="AAR469" s="75"/>
      <c r="AAS469" s="75"/>
      <c r="AAT469" s="75"/>
      <c r="AAU469" s="75"/>
      <c r="AAV469" s="75"/>
      <c r="AAW469" s="75"/>
      <c r="AAX469" s="75"/>
      <c r="AAY469" s="75"/>
      <c r="AAZ469" s="75"/>
      <c r="ABA469" s="75"/>
      <c r="ABB469" s="75"/>
      <c r="ABC469" s="75"/>
      <c r="ABD469" s="75"/>
      <c r="ABE469" s="75"/>
      <c r="ABF469" s="75"/>
      <c r="ABG469" s="75"/>
      <c r="ABH469" s="75"/>
      <c r="ABI469" s="75"/>
      <c r="ABJ469" s="75"/>
      <c r="ABK469" s="75"/>
      <c r="ABL469" s="75"/>
      <c r="ABM469" s="75"/>
      <c r="ABN469" s="75"/>
      <c r="ABO469" s="75"/>
      <c r="ABP469" s="75"/>
      <c r="ABQ469" s="75"/>
      <c r="ABR469" s="75"/>
      <c r="ABS469" s="75"/>
      <c r="ABT469" s="75"/>
      <c r="ABU469" s="75"/>
      <c r="ABV469" s="75"/>
      <c r="ABW469" s="75"/>
      <c r="ABX469" s="75"/>
      <c r="ABY469" s="75"/>
      <c r="ABZ469" s="75"/>
      <c r="ACA469" s="75"/>
      <c r="ACB469" s="75"/>
      <c r="ACC469" s="75"/>
      <c r="ACD469" s="75"/>
      <c r="ACE469" s="75"/>
      <c r="ACF469" s="75"/>
      <c r="ACG469" s="75"/>
      <c r="ACH469" s="75"/>
      <c r="ACI469" s="75"/>
      <c r="ACJ469" s="75"/>
      <c r="ACK469" s="75"/>
      <c r="ACL469" s="75"/>
      <c r="ACM469" s="75"/>
      <c r="ACN469" s="75"/>
      <c r="ACO469" s="75"/>
      <c r="ACP469" s="75"/>
      <c r="ACQ469" s="75"/>
      <c r="ACR469" s="75"/>
      <c r="ACS469" s="75"/>
      <c r="ACT469" s="75"/>
      <c r="ACU469" s="75"/>
      <c r="ACV469" s="75"/>
      <c r="ACW469" s="75"/>
      <c r="ACX469" s="75"/>
      <c r="ACY469" s="75"/>
      <c r="ACZ469" s="75"/>
      <c r="ADA469" s="75"/>
      <c r="ADB469" s="75"/>
      <c r="ADC469" s="75"/>
      <c r="ADD469" s="75"/>
      <c r="ADE469" s="75"/>
      <c r="ADF469" s="75"/>
      <c r="ADG469" s="75"/>
      <c r="ADH469" s="75"/>
      <c r="ADI469" s="75"/>
      <c r="ADJ469" s="75"/>
      <c r="ADK469" s="75"/>
      <c r="ADL469" s="75"/>
      <c r="ADM469" s="75"/>
      <c r="ADN469" s="75"/>
      <c r="ADO469" s="75"/>
      <c r="ADP469" s="75"/>
      <c r="ADQ469" s="75"/>
      <c r="ADR469" s="75"/>
      <c r="ADS469" s="75"/>
      <c r="ADT469" s="75"/>
      <c r="ADU469" s="75"/>
      <c r="ADV469" s="75"/>
      <c r="ADW469" s="75"/>
      <c r="ADX469" s="75"/>
      <c r="ADY469" s="75"/>
      <c r="ADZ469" s="75"/>
      <c r="AEA469" s="75"/>
      <c r="AEB469" s="75"/>
      <c r="AEC469" s="75"/>
      <c r="AED469" s="75"/>
      <c r="AEE469" s="75"/>
      <c r="AEF469" s="75"/>
      <c r="AEG469" s="75"/>
      <c r="AEH469" s="75"/>
      <c r="AEI469" s="75"/>
      <c r="AEJ469" s="75"/>
      <c r="AEK469" s="75"/>
      <c r="AEL469" s="75"/>
      <c r="AEM469" s="75"/>
      <c r="AEN469" s="75"/>
      <c r="AEO469" s="75"/>
      <c r="AEP469" s="75"/>
      <c r="AEQ469" s="75"/>
      <c r="AER469" s="75"/>
      <c r="AES469" s="75"/>
      <c r="AET469" s="75"/>
      <c r="AEU469" s="75"/>
      <c r="AEV469" s="75"/>
      <c r="AEW469" s="75"/>
      <c r="AEX469" s="75"/>
      <c r="AEY469" s="75"/>
      <c r="AEZ469" s="75"/>
      <c r="AFA469" s="75"/>
      <c r="AFB469" s="75"/>
      <c r="AFC469" s="75"/>
      <c r="AFD469" s="75"/>
      <c r="AFE469" s="75"/>
      <c r="AFF469" s="75"/>
      <c r="AFG469" s="75"/>
      <c r="AFH469" s="75"/>
      <c r="AFI469" s="75"/>
      <c r="AFJ469" s="75"/>
      <c r="AFK469" s="75"/>
      <c r="AFL469" s="75"/>
      <c r="AFM469" s="75"/>
      <c r="AFN469" s="75"/>
      <c r="AFO469" s="75"/>
      <c r="AFP469" s="75"/>
      <c r="AFQ469" s="75"/>
      <c r="AFR469" s="75"/>
      <c r="AFS469" s="75"/>
      <c r="AFT469" s="75"/>
      <c r="AFU469" s="75"/>
      <c r="AFV469" s="75"/>
      <c r="AFW469" s="75"/>
      <c r="AFX469" s="75"/>
      <c r="AFY469" s="75"/>
      <c r="AFZ469" s="75"/>
      <c r="AGA469" s="75"/>
      <c r="AGB469" s="75"/>
      <c r="AGC469" s="75"/>
      <c r="AGD469" s="75"/>
      <c r="AGE469" s="75"/>
      <c r="AGF469" s="75"/>
      <c r="AGG469" s="75"/>
      <c r="AGH469" s="75"/>
      <c r="AGI469" s="75"/>
      <c r="AGJ469" s="75"/>
      <c r="AGK469" s="75"/>
      <c r="AGL469" s="75"/>
      <c r="AGM469" s="75"/>
      <c r="AGN469" s="75"/>
      <c r="AGO469" s="75"/>
      <c r="AGP469" s="75"/>
      <c r="AGQ469" s="75"/>
      <c r="AGR469" s="75"/>
      <c r="AGS469" s="75"/>
      <c r="AGT469" s="75"/>
      <c r="AGU469" s="75"/>
      <c r="AGV469" s="75"/>
      <c r="AGW469" s="75"/>
      <c r="AGX469" s="75"/>
      <c r="AGY469" s="75"/>
      <c r="AGZ469" s="75"/>
      <c r="AHA469" s="75"/>
      <c r="AHB469" s="75"/>
      <c r="AHC469" s="75"/>
      <c r="AHD469" s="75"/>
      <c r="AHE469" s="75"/>
      <c r="AHF469" s="75"/>
      <c r="AHG469" s="75"/>
      <c r="AHH469" s="75"/>
      <c r="AHI469" s="75"/>
      <c r="AHJ469" s="75"/>
      <c r="AHK469" s="75"/>
      <c r="AHL469" s="75"/>
      <c r="AHM469" s="75"/>
      <c r="AHN469" s="75"/>
      <c r="AHO469" s="75"/>
      <c r="AHP469" s="75"/>
      <c r="AHQ469" s="75"/>
      <c r="AHR469" s="75"/>
      <c r="AHS469" s="75"/>
      <c r="AHT469" s="75"/>
      <c r="AHU469" s="75"/>
      <c r="AHV469" s="75"/>
      <c r="AHW469" s="75"/>
      <c r="AHX469" s="75"/>
      <c r="AHY469" s="75"/>
      <c r="AHZ469" s="75"/>
      <c r="AIA469" s="75"/>
      <c r="AIB469" s="75"/>
      <c r="AIC469" s="75"/>
      <c r="AID469" s="75"/>
      <c r="AIE469" s="75"/>
      <c r="AIF469" s="75"/>
      <c r="AIG469" s="75"/>
      <c r="AIH469" s="75"/>
      <c r="AII469" s="75"/>
      <c r="AIJ469" s="75"/>
      <c r="AIK469" s="75"/>
      <c r="AIL469" s="75"/>
      <c r="AIM469" s="75"/>
      <c r="AIN469" s="75"/>
      <c r="AIO469" s="75"/>
      <c r="AIP469" s="75"/>
      <c r="AIQ469" s="75"/>
      <c r="AIR469" s="75"/>
      <c r="AIS469" s="75"/>
      <c r="AIT469" s="75"/>
      <c r="AIU469" s="75"/>
      <c r="AIV469" s="75"/>
      <c r="AIW469" s="75"/>
      <c r="AIX469" s="75"/>
      <c r="AIY469" s="75"/>
      <c r="AIZ469" s="75"/>
      <c r="AJA469" s="75"/>
      <c r="AJB469" s="75"/>
      <c r="AJC469" s="75"/>
      <c r="AJD469" s="75"/>
      <c r="AJE469" s="75"/>
      <c r="AJF469" s="75"/>
      <c r="AJG469" s="75"/>
      <c r="AJH469" s="75"/>
      <c r="AJI469" s="75"/>
      <c r="AJJ469" s="75"/>
      <c r="AJK469" s="75"/>
      <c r="AJL469" s="75"/>
      <c r="AJM469" s="75"/>
      <c r="AJN469" s="75"/>
      <c r="AJO469" s="75"/>
      <c r="AJP469" s="75"/>
      <c r="AJQ469" s="75"/>
      <c r="AJR469" s="75"/>
      <c r="AJS469" s="75"/>
      <c r="AJT469" s="75"/>
      <c r="AJU469" s="75"/>
      <c r="AJV469" s="75"/>
      <c r="AJW469" s="75"/>
      <c r="AJX469" s="75"/>
      <c r="AJY469" s="75"/>
      <c r="AJZ469" s="75"/>
      <c r="AKA469" s="75"/>
      <c r="AKB469" s="75"/>
      <c r="AKC469" s="75"/>
      <c r="AKD469" s="75"/>
      <c r="AKE469" s="75"/>
      <c r="AKF469" s="75"/>
      <c r="AKG469" s="75"/>
      <c r="AKH469" s="75"/>
      <c r="AKI469" s="75"/>
      <c r="AKJ469" s="75"/>
      <c r="AKK469" s="75"/>
      <c r="AKL469" s="75"/>
      <c r="AKM469" s="75"/>
      <c r="AKN469" s="75"/>
      <c r="AKO469" s="75"/>
      <c r="AKP469" s="75"/>
      <c r="AKQ469" s="75"/>
      <c r="AKR469" s="75"/>
      <c r="AKS469" s="75"/>
      <c r="AKT469" s="75"/>
      <c r="AKU469" s="75"/>
      <c r="AKV469" s="75"/>
      <c r="AKW469" s="75"/>
      <c r="AKX469" s="75"/>
      <c r="AKY469" s="75"/>
      <c r="AKZ469" s="75"/>
      <c r="ALA469" s="75"/>
      <c r="ALB469" s="75"/>
      <c r="ALC469" s="75"/>
      <c r="ALD469" s="75"/>
      <c r="ALE469" s="75"/>
      <c r="ALF469" s="75"/>
      <c r="ALG469" s="75"/>
      <c r="ALH469" s="75"/>
      <c r="ALI469" s="75"/>
      <c r="ALJ469" s="75"/>
      <c r="ALK469" s="75"/>
      <c r="ALL469" s="75"/>
      <c r="ALM469" s="75"/>
      <c r="ALN469" s="75"/>
      <c r="ALO469" s="75"/>
    </row>
    <row r="470" spans="1:1003" s="234" customFormat="1" ht="14.55" customHeight="1" outlineLevel="1" x14ac:dyDescent="0.25">
      <c r="A470" s="230" t="s">
        <v>1422</v>
      </c>
      <c r="B470" s="343" t="str">
        <f>"12.0699"</f>
        <v>12.0699</v>
      </c>
      <c r="C470" s="75" t="s">
        <v>2129</v>
      </c>
      <c r="D470" s="127" t="s">
        <v>2130</v>
      </c>
      <c r="E470" s="232"/>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c r="AY470" s="75"/>
      <c r="AZ470" s="75"/>
      <c r="BA470" s="75"/>
      <c r="BB470" s="75"/>
      <c r="BC470" s="75"/>
      <c r="BD470" s="75"/>
      <c r="BE470" s="75"/>
      <c r="BF470" s="75"/>
      <c r="BG470" s="75"/>
      <c r="BH470" s="75"/>
      <c r="BI470" s="75"/>
      <c r="BJ470" s="75"/>
      <c r="BK470" s="75"/>
      <c r="BL470" s="75"/>
      <c r="BM470" s="75"/>
      <c r="BN470" s="75"/>
      <c r="BO470" s="75"/>
      <c r="BP470" s="75"/>
      <c r="BQ470" s="75"/>
      <c r="BR470" s="75"/>
      <c r="BS470" s="75"/>
      <c r="BT470" s="75"/>
      <c r="BU470" s="75"/>
      <c r="BV470" s="75"/>
      <c r="BW470" s="75"/>
      <c r="BX470" s="75"/>
      <c r="BY470" s="75"/>
      <c r="BZ470" s="75"/>
      <c r="CA470" s="75"/>
      <c r="CB470" s="75"/>
      <c r="CC470" s="75"/>
      <c r="CD470" s="75"/>
      <c r="CE470" s="75"/>
      <c r="CF470" s="75"/>
      <c r="CG470" s="75"/>
      <c r="CH470" s="75"/>
      <c r="CI470" s="75"/>
      <c r="CJ470" s="75"/>
      <c r="CK470" s="75"/>
      <c r="CL470" s="75"/>
      <c r="CM470" s="75"/>
      <c r="CN470" s="75"/>
      <c r="CO470" s="75"/>
      <c r="CP470" s="75"/>
      <c r="CQ470" s="75"/>
      <c r="CR470" s="75"/>
      <c r="CS470" s="75"/>
      <c r="CT470" s="75"/>
      <c r="CU470" s="75"/>
      <c r="CV470" s="75"/>
      <c r="CW470" s="75"/>
      <c r="CX470" s="75"/>
      <c r="CY470" s="75"/>
      <c r="CZ470" s="75"/>
      <c r="DA470" s="75"/>
      <c r="DB470" s="75"/>
      <c r="DC470" s="75"/>
      <c r="DD470" s="75"/>
      <c r="DE470" s="75"/>
      <c r="DF470" s="75"/>
      <c r="DG470" s="75"/>
      <c r="DH470" s="75"/>
      <c r="DI470" s="75"/>
      <c r="DJ470" s="75"/>
      <c r="DK470" s="75"/>
      <c r="DL470" s="75"/>
      <c r="DM470" s="75"/>
      <c r="DN470" s="75"/>
      <c r="DO470" s="75"/>
      <c r="DP470" s="75"/>
      <c r="DQ470" s="75"/>
      <c r="DR470" s="75"/>
      <c r="DS470" s="75"/>
      <c r="DT470" s="75"/>
      <c r="DU470" s="75"/>
      <c r="DV470" s="75"/>
      <c r="DW470" s="75"/>
      <c r="DX470" s="75"/>
      <c r="DY470" s="75"/>
      <c r="DZ470" s="75"/>
      <c r="EA470" s="75"/>
      <c r="EB470" s="75"/>
      <c r="EC470" s="75"/>
      <c r="ED470" s="75"/>
      <c r="EE470" s="75"/>
      <c r="EF470" s="75"/>
      <c r="EG470" s="75"/>
      <c r="EH470" s="75"/>
      <c r="EI470" s="75"/>
      <c r="EJ470" s="75"/>
      <c r="EK470" s="75"/>
      <c r="EL470" s="75"/>
      <c r="EM470" s="75"/>
      <c r="EN470" s="75"/>
      <c r="EO470" s="75"/>
      <c r="EP470" s="75"/>
      <c r="EQ470" s="75"/>
      <c r="ER470" s="75"/>
      <c r="ES470" s="75"/>
      <c r="ET470" s="75"/>
      <c r="EU470" s="75"/>
      <c r="EV470" s="75"/>
      <c r="EW470" s="75"/>
      <c r="EX470" s="75"/>
      <c r="EY470" s="75"/>
      <c r="EZ470" s="75"/>
      <c r="FA470" s="75"/>
      <c r="FB470" s="75"/>
      <c r="FC470" s="75"/>
      <c r="FD470" s="75"/>
      <c r="FE470" s="75"/>
      <c r="FF470" s="75"/>
      <c r="FG470" s="75"/>
      <c r="FH470" s="75"/>
      <c r="FI470" s="75"/>
      <c r="FJ470" s="75"/>
      <c r="FK470" s="75"/>
      <c r="FL470" s="75"/>
      <c r="FM470" s="75"/>
      <c r="FN470" s="75"/>
      <c r="FO470" s="75"/>
      <c r="FP470" s="75"/>
      <c r="FQ470" s="75"/>
      <c r="FR470" s="75"/>
      <c r="FS470" s="75"/>
      <c r="FT470" s="75"/>
      <c r="FU470" s="75"/>
      <c r="FV470" s="75"/>
      <c r="FW470" s="75"/>
      <c r="FX470" s="75"/>
      <c r="FY470" s="75"/>
      <c r="FZ470" s="75"/>
      <c r="GA470" s="75"/>
      <c r="GB470" s="75"/>
      <c r="GC470" s="75"/>
      <c r="GD470" s="75"/>
      <c r="GE470" s="75"/>
      <c r="GF470" s="75"/>
      <c r="GG470" s="75"/>
      <c r="GH470" s="75"/>
      <c r="GI470" s="75"/>
      <c r="GJ470" s="75"/>
      <c r="GK470" s="75"/>
      <c r="GL470" s="75"/>
      <c r="GM470" s="75"/>
      <c r="GN470" s="75"/>
      <c r="GO470" s="75"/>
      <c r="GP470" s="75"/>
      <c r="GQ470" s="75"/>
      <c r="GR470" s="75"/>
      <c r="GS470" s="75"/>
      <c r="GT470" s="75"/>
      <c r="GU470" s="75"/>
      <c r="GV470" s="75"/>
      <c r="GW470" s="75"/>
      <c r="GX470" s="75"/>
      <c r="GY470" s="75"/>
      <c r="GZ470" s="75"/>
      <c r="HA470" s="75"/>
      <c r="HB470" s="75"/>
      <c r="HC470" s="75"/>
      <c r="HD470" s="75"/>
      <c r="HE470" s="75"/>
      <c r="HF470" s="75"/>
      <c r="HG470" s="75"/>
      <c r="HH470" s="75"/>
      <c r="HI470" s="75"/>
      <c r="HJ470" s="75"/>
      <c r="HK470" s="75"/>
      <c r="HL470" s="75"/>
      <c r="HM470" s="75"/>
      <c r="HN470" s="75"/>
      <c r="HO470" s="75"/>
      <c r="HP470" s="75"/>
      <c r="HQ470" s="75"/>
      <c r="HR470" s="75"/>
      <c r="HS470" s="75"/>
      <c r="HT470" s="75"/>
      <c r="HU470" s="75"/>
      <c r="HV470" s="75"/>
      <c r="HW470" s="75"/>
      <c r="HX470" s="75"/>
      <c r="HY470" s="75"/>
      <c r="HZ470" s="75"/>
      <c r="IA470" s="75"/>
      <c r="IB470" s="75"/>
      <c r="IC470" s="75"/>
      <c r="ID470" s="75"/>
      <c r="IE470" s="75"/>
      <c r="IF470" s="75"/>
      <c r="IG470" s="75"/>
      <c r="IH470" s="75"/>
      <c r="II470" s="75"/>
      <c r="IJ470" s="75"/>
      <c r="IK470" s="75"/>
      <c r="IL470" s="75"/>
      <c r="IM470" s="75"/>
      <c r="IN470" s="75"/>
      <c r="IO470" s="75"/>
      <c r="IP470" s="75"/>
      <c r="IQ470" s="75"/>
      <c r="IR470" s="75"/>
      <c r="IS470" s="75"/>
      <c r="IT470" s="75"/>
      <c r="IU470" s="75"/>
      <c r="IV470" s="75"/>
      <c r="IW470" s="75"/>
      <c r="IX470" s="75"/>
      <c r="IY470" s="75"/>
      <c r="IZ470" s="75"/>
      <c r="JA470" s="75"/>
      <c r="JB470" s="75"/>
      <c r="JC470" s="75"/>
      <c r="JD470" s="75"/>
      <c r="JE470" s="75"/>
      <c r="JF470" s="75"/>
      <c r="JG470" s="75"/>
      <c r="JH470" s="75"/>
      <c r="JI470" s="75"/>
      <c r="JJ470" s="75"/>
      <c r="JK470" s="75"/>
      <c r="JL470" s="75"/>
      <c r="JM470" s="75"/>
      <c r="JN470" s="75"/>
      <c r="JO470" s="75"/>
      <c r="JP470" s="75"/>
      <c r="JQ470" s="75"/>
      <c r="JR470" s="75"/>
      <c r="JS470" s="75"/>
      <c r="JT470" s="75"/>
      <c r="JU470" s="75"/>
      <c r="JV470" s="75"/>
      <c r="JW470" s="75"/>
      <c r="JX470" s="75"/>
      <c r="JY470" s="75"/>
      <c r="JZ470" s="75"/>
      <c r="KA470" s="75"/>
      <c r="KB470" s="75"/>
      <c r="KC470" s="75"/>
      <c r="KD470" s="75"/>
      <c r="KE470" s="75"/>
      <c r="KF470" s="75"/>
      <c r="KG470" s="75"/>
      <c r="KH470" s="75"/>
      <c r="KI470" s="75"/>
      <c r="KJ470" s="75"/>
      <c r="KK470" s="75"/>
      <c r="KL470" s="75"/>
      <c r="KM470" s="75"/>
      <c r="KN470" s="75"/>
      <c r="KO470" s="75"/>
      <c r="KP470" s="75"/>
      <c r="KQ470" s="75"/>
      <c r="KR470" s="75"/>
      <c r="KS470" s="75"/>
      <c r="KT470" s="75"/>
      <c r="KU470" s="75"/>
      <c r="KV470" s="75"/>
      <c r="KW470" s="75"/>
      <c r="KX470" s="75"/>
      <c r="KY470" s="75"/>
      <c r="KZ470" s="75"/>
      <c r="LA470" s="75"/>
      <c r="LB470" s="75"/>
      <c r="LC470" s="75"/>
      <c r="LD470" s="75"/>
      <c r="LE470" s="75"/>
      <c r="LF470" s="75"/>
      <c r="LG470" s="75"/>
      <c r="LH470" s="75"/>
      <c r="LI470" s="75"/>
      <c r="LJ470" s="75"/>
      <c r="LK470" s="75"/>
      <c r="LL470" s="75"/>
      <c r="LM470" s="75"/>
      <c r="LN470" s="75"/>
      <c r="LO470" s="75"/>
      <c r="LP470" s="75"/>
      <c r="LQ470" s="75"/>
      <c r="LR470" s="75"/>
      <c r="LS470" s="75"/>
      <c r="LT470" s="75"/>
      <c r="LU470" s="75"/>
      <c r="LV470" s="75"/>
      <c r="LW470" s="75"/>
      <c r="LX470" s="75"/>
      <c r="LY470" s="75"/>
      <c r="LZ470" s="75"/>
      <c r="MA470" s="75"/>
      <c r="MB470" s="75"/>
      <c r="MC470" s="75"/>
      <c r="MD470" s="75"/>
      <c r="ME470" s="75"/>
      <c r="MF470" s="75"/>
      <c r="MG470" s="75"/>
      <c r="MH470" s="75"/>
      <c r="MI470" s="75"/>
      <c r="MJ470" s="75"/>
      <c r="MK470" s="75"/>
      <c r="ML470" s="75"/>
      <c r="MM470" s="75"/>
      <c r="MN470" s="75"/>
      <c r="MO470" s="75"/>
      <c r="MP470" s="75"/>
      <c r="MQ470" s="75"/>
      <c r="MR470" s="75"/>
      <c r="MS470" s="75"/>
      <c r="MT470" s="75"/>
      <c r="MU470" s="75"/>
      <c r="MV470" s="75"/>
      <c r="MW470" s="75"/>
      <c r="MX470" s="75"/>
      <c r="MY470" s="75"/>
      <c r="MZ470" s="75"/>
      <c r="NA470" s="75"/>
      <c r="NB470" s="75"/>
      <c r="NC470" s="75"/>
      <c r="ND470" s="75"/>
      <c r="NE470" s="75"/>
      <c r="NF470" s="75"/>
      <c r="NG470" s="75"/>
      <c r="NH470" s="75"/>
      <c r="NI470" s="75"/>
      <c r="NJ470" s="75"/>
      <c r="NK470" s="75"/>
      <c r="NL470" s="75"/>
      <c r="NM470" s="75"/>
      <c r="NN470" s="75"/>
      <c r="NO470" s="75"/>
      <c r="NP470" s="75"/>
      <c r="NQ470" s="75"/>
      <c r="NR470" s="75"/>
      <c r="NS470" s="75"/>
      <c r="NT470" s="75"/>
      <c r="NU470" s="75"/>
      <c r="NV470" s="75"/>
      <c r="NW470" s="75"/>
      <c r="NX470" s="75"/>
      <c r="NY470" s="75"/>
      <c r="NZ470" s="75"/>
      <c r="OA470" s="75"/>
      <c r="OB470" s="75"/>
      <c r="OC470" s="75"/>
      <c r="OD470" s="75"/>
      <c r="OE470" s="75"/>
      <c r="OF470" s="75"/>
      <c r="OG470" s="75"/>
      <c r="OH470" s="75"/>
      <c r="OI470" s="75"/>
      <c r="OJ470" s="75"/>
      <c r="OK470" s="75"/>
      <c r="OL470" s="75"/>
      <c r="OM470" s="75"/>
      <c r="ON470" s="75"/>
      <c r="OO470" s="75"/>
      <c r="OP470" s="75"/>
      <c r="OQ470" s="75"/>
      <c r="OR470" s="75"/>
      <c r="OS470" s="75"/>
      <c r="OT470" s="75"/>
      <c r="OU470" s="75"/>
      <c r="OV470" s="75"/>
      <c r="OW470" s="75"/>
      <c r="OX470" s="75"/>
      <c r="OY470" s="75"/>
      <c r="OZ470" s="75"/>
      <c r="PA470" s="75"/>
      <c r="PB470" s="75"/>
      <c r="PC470" s="75"/>
      <c r="PD470" s="75"/>
      <c r="PE470" s="75"/>
      <c r="PF470" s="75"/>
      <c r="PG470" s="75"/>
      <c r="PH470" s="75"/>
      <c r="PI470" s="75"/>
      <c r="PJ470" s="75"/>
      <c r="PK470" s="75"/>
      <c r="PL470" s="75"/>
      <c r="PM470" s="75"/>
      <c r="PN470" s="75"/>
      <c r="PO470" s="75"/>
      <c r="PP470" s="75"/>
      <c r="PQ470" s="75"/>
      <c r="PR470" s="75"/>
      <c r="PS470" s="75"/>
      <c r="PT470" s="75"/>
      <c r="PU470" s="75"/>
      <c r="PV470" s="75"/>
      <c r="PW470" s="75"/>
      <c r="PX470" s="75"/>
      <c r="PY470" s="75"/>
      <c r="PZ470" s="75"/>
      <c r="QA470" s="75"/>
      <c r="QB470" s="75"/>
      <c r="QC470" s="75"/>
      <c r="QD470" s="75"/>
      <c r="QE470" s="75"/>
      <c r="QF470" s="75"/>
      <c r="QG470" s="75"/>
      <c r="QH470" s="75"/>
      <c r="QI470" s="75"/>
      <c r="QJ470" s="75"/>
      <c r="QK470" s="75"/>
      <c r="QL470" s="75"/>
      <c r="QM470" s="75"/>
      <c r="QN470" s="75"/>
      <c r="QO470" s="75"/>
      <c r="QP470" s="75"/>
      <c r="QQ470" s="75"/>
      <c r="QR470" s="75"/>
      <c r="QS470" s="75"/>
      <c r="QT470" s="75"/>
      <c r="QU470" s="75"/>
      <c r="QV470" s="75"/>
      <c r="QW470" s="75"/>
      <c r="QX470" s="75"/>
      <c r="QY470" s="75"/>
      <c r="QZ470" s="75"/>
      <c r="RA470" s="75"/>
      <c r="RB470" s="75"/>
      <c r="RC470" s="75"/>
      <c r="RD470" s="75"/>
      <c r="RE470" s="75"/>
      <c r="RF470" s="75"/>
      <c r="RG470" s="75"/>
      <c r="RH470" s="75"/>
      <c r="RI470" s="75"/>
      <c r="RJ470" s="75"/>
      <c r="RK470" s="75"/>
      <c r="RL470" s="75"/>
      <c r="RM470" s="75"/>
      <c r="RN470" s="75"/>
      <c r="RO470" s="75"/>
      <c r="RP470" s="75"/>
      <c r="RQ470" s="75"/>
      <c r="RR470" s="75"/>
      <c r="RS470" s="75"/>
      <c r="RT470" s="75"/>
      <c r="RU470" s="75"/>
      <c r="RV470" s="75"/>
      <c r="RW470" s="75"/>
      <c r="RX470" s="75"/>
      <c r="RY470" s="75"/>
      <c r="RZ470" s="75"/>
      <c r="SA470" s="75"/>
      <c r="SB470" s="75"/>
      <c r="SC470" s="75"/>
      <c r="SD470" s="75"/>
      <c r="SE470" s="75"/>
      <c r="SF470" s="75"/>
      <c r="SG470" s="75"/>
      <c r="SH470" s="75"/>
      <c r="SI470" s="75"/>
      <c r="SJ470" s="75"/>
      <c r="SK470" s="75"/>
      <c r="SL470" s="75"/>
      <c r="SM470" s="75"/>
      <c r="SN470" s="75"/>
      <c r="SO470" s="75"/>
      <c r="SP470" s="75"/>
      <c r="SQ470" s="75"/>
      <c r="SR470" s="75"/>
      <c r="SS470" s="75"/>
      <c r="ST470" s="75"/>
      <c r="SU470" s="75"/>
      <c r="SV470" s="75"/>
      <c r="SW470" s="75"/>
      <c r="SX470" s="75"/>
      <c r="SY470" s="75"/>
      <c r="SZ470" s="75"/>
      <c r="TA470" s="75"/>
      <c r="TB470" s="75"/>
      <c r="TC470" s="75"/>
      <c r="TD470" s="75"/>
      <c r="TE470" s="75"/>
      <c r="TF470" s="75"/>
      <c r="TG470" s="75"/>
      <c r="TH470" s="75"/>
      <c r="TI470" s="75"/>
      <c r="TJ470" s="75"/>
      <c r="TK470" s="75"/>
      <c r="TL470" s="75"/>
      <c r="TM470" s="75"/>
      <c r="TN470" s="75"/>
      <c r="TO470" s="75"/>
      <c r="TP470" s="75"/>
      <c r="TQ470" s="75"/>
      <c r="TR470" s="75"/>
      <c r="TS470" s="75"/>
      <c r="TT470" s="75"/>
      <c r="TU470" s="75"/>
      <c r="TV470" s="75"/>
      <c r="TW470" s="75"/>
      <c r="TX470" s="75"/>
      <c r="TY470" s="75"/>
      <c r="TZ470" s="75"/>
      <c r="UA470" s="75"/>
      <c r="UB470" s="75"/>
      <c r="UC470" s="75"/>
      <c r="UD470" s="75"/>
      <c r="UE470" s="75"/>
      <c r="UF470" s="75"/>
      <c r="UG470" s="75"/>
      <c r="UH470" s="75"/>
      <c r="UI470" s="75"/>
      <c r="UJ470" s="75"/>
      <c r="UK470" s="75"/>
      <c r="UL470" s="75"/>
      <c r="UM470" s="75"/>
      <c r="UN470" s="75"/>
      <c r="UO470" s="75"/>
      <c r="UP470" s="75"/>
      <c r="UQ470" s="75"/>
      <c r="UR470" s="75"/>
      <c r="US470" s="75"/>
      <c r="UT470" s="75"/>
      <c r="UU470" s="75"/>
      <c r="UV470" s="75"/>
      <c r="UW470" s="75"/>
      <c r="UX470" s="75"/>
      <c r="UY470" s="75"/>
      <c r="UZ470" s="75"/>
      <c r="VA470" s="75"/>
      <c r="VB470" s="75"/>
      <c r="VC470" s="75"/>
      <c r="VD470" s="75"/>
      <c r="VE470" s="75"/>
      <c r="VF470" s="75"/>
      <c r="VG470" s="75"/>
      <c r="VH470" s="75"/>
      <c r="VI470" s="75"/>
      <c r="VJ470" s="75"/>
      <c r="VK470" s="75"/>
      <c r="VL470" s="75"/>
      <c r="VM470" s="75"/>
      <c r="VN470" s="75"/>
      <c r="VO470" s="75"/>
      <c r="VP470" s="75"/>
      <c r="VQ470" s="75"/>
      <c r="VR470" s="75"/>
      <c r="VS470" s="75"/>
      <c r="VT470" s="75"/>
      <c r="VU470" s="75"/>
      <c r="VV470" s="75"/>
      <c r="VW470" s="75"/>
      <c r="VX470" s="75"/>
      <c r="VY470" s="75"/>
      <c r="VZ470" s="75"/>
      <c r="WA470" s="75"/>
      <c r="WB470" s="75"/>
      <c r="WC470" s="75"/>
      <c r="WD470" s="75"/>
      <c r="WE470" s="75"/>
      <c r="WF470" s="75"/>
      <c r="WG470" s="75"/>
      <c r="WH470" s="75"/>
      <c r="WI470" s="75"/>
      <c r="WJ470" s="75"/>
      <c r="WK470" s="75"/>
      <c r="WL470" s="75"/>
      <c r="WM470" s="75"/>
      <c r="WN470" s="75"/>
      <c r="WO470" s="75"/>
      <c r="WP470" s="75"/>
      <c r="WQ470" s="75"/>
      <c r="WR470" s="75"/>
      <c r="WS470" s="75"/>
      <c r="WT470" s="75"/>
      <c r="WU470" s="75"/>
      <c r="WV470" s="75"/>
      <c r="WW470" s="75"/>
      <c r="WX470" s="75"/>
      <c r="WY470" s="75"/>
      <c r="WZ470" s="75"/>
      <c r="XA470" s="75"/>
      <c r="XB470" s="75"/>
      <c r="XC470" s="75"/>
      <c r="XD470" s="75"/>
      <c r="XE470" s="75"/>
      <c r="XF470" s="75"/>
      <c r="XG470" s="75"/>
      <c r="XH470" s="75"/>
      <c r="XI470" s="75"/>
      <c r="XJ470" s="75"/>
      <c r="XK470" s="75"/>
      <c r="XL470" s="75"/>
      <c r="XM470" s="75"/>
      <c r="XN470" s="75"/>
      <c r="XO470" s="75"/>
      <c r="XP470" s="75"/>
      <c r="XQ470" s="75"/>
      <c r="XR470" s="75"/>
      <c r="XS470" s="75"/>
      <c r="XT470" s="75"/>
      <c r="XU470" s="75"/>
      <c r="XV470" s="75"/>
      <c r="XW470" s="75"/>
      <c r="XX470" s="75"/>
      <c r="XY470" s="75"/>
      <c r="XZ470" s="75"/>
      <c r="YA470" s="75"/>
      <c r="YB470" s="75"/>
      <c r="YC470" s="75"/>
      <c r="YD470" s="75"/>
      <c r="YE470" s="75"/>
      <c r="YF470" s="75"/>
      <c r="YG470" s="75"/>
      <c r="YH470" s="75"/>
      <c r="YI470" s="75"/>
      <c r="YJ470" s="75"/>
      <c r="YK470" s="75"/>
      <c r="YL470" s="75"/>
      <c r="YM470" s="75"/>
      <c r="YN470" s="75"/>
      <c r="YO470" s="75"/>
      <c r="YP470" s="75"/>
      <c r="YQ470" s="75"/>
      <c r="YR470" s="75"/>
      <c r="YS470" s="75"/>
      <c r="YT470" s="75"/>
      <c r="YU470" s="75"/>
      <c r="YV470" s="75"/>
      <c r="YW470" s="75"/>
      <c r="YX470" s="75"/>
      <c r="YY470" s="75"/>
      <c r="YZ470" s="75"/>
      <c r="ZA470" s="75"/>
      <c r="ZB470" s="75"/>
      <c r="ZC470" s="75"/>
      <c r="ZD470" s="75"/>
      <c r="ZE470" s="75"/>
      <c r="ZF470" s="75"/>
      <c r="ZG470" s="75"/>
      <c r="ZH470" s="75"/>
      <c r="ZI470" s="75"/>
      <c r="ZJ470" s="75"/>
      <c r="ZK470" s="75"/>
      <c r="ZL470" s="75"/>
      <c r="ZM470" s="75"/>
      <c r="ZN470" s="75"/>
      <c r="ZO470" s="75"/>
      <c r="ZP470" s="75"/>
      <c r="ZQ470" s="75"/>
      <c r="ZR470" s="75"/>
      <c r="ZS470" s="75"/>
      <c r="ZT470" s="75"/>
      <c r="ZU470" s="75"/>
      <c r="ZV470" s="75"/>
      <c r="ZW470" s="75"/>
      <c r="ZX470" s="75"/>
      <c r="ZY470" s="75"/>
      <c r="ZZ470" s="75"/>
      <c r="AAA470" s="75"/>
      <c r="AAB470" s="75"/>
      <c r="AAC470" s="75"/>
      <c r="AAD470" s="75"/>
      <c r="AAE470" s="75"/>
      <c r="AAF470" s="75"/>
      <c r="AAG470" s="75"/>
      <c r="AAH470" s="75"/>
      <c r="AAI470" s="75"/>
      <c r="AAJ470" s="75"/>
      <c r="AAK470" s="75"/>
      <c r="AAL470" s="75"/>
      <c r="AAM470" s="75"/>
      <c r="AAN470" s="75"/>
      <c r="AAO470" s="75"/>
      <c r="AAP470" s="75"/>
      <c r="AAQ470" s="75"/>
      <c r="AAR470" s="75"/>
      <c r="AAS470" s="75"/>
      <c r="AAT470" s="75"/>
      <c r="AAU470" s="75"/>
      <c r="AAV470" s="75"/>
      <c r="AAW470" s="75"/>
      <c r="AAX470" s="75"/>
      <c r="AAY470" s="75"/>
      <c r="AAZ470" s="75"/>
      <c r="ABA470" s="75"/>
      <c r="ABB470" s="75"/>
      <c r="ABC470" s="75"/>
      <c r="ABD470" s="75"/>
      <c r="ABE470" s="75"/>
      <c r="ABF470" s="75"/>
      <c r="ABG470" s="75"/>
      <c r="ABH470" s="75"/>
      <c r="ABI470" s="75"/>
      <c r="ABJ470" s="75"/>
      <c r="ABK470" s="75"/>
      <c r="ABL470" s="75"/>
      <c r="ABM470" s="75"/>
      <c r="ABN470" s="75"/>
      <c r="ABO470" s="75"/>
      <c r="ABP470" s="75"/>
      <c r="ABQ470" s="75"/>
      <c r="ABR470" s="75"/>
      <c r="ABS470" s="75"/>
      <c r="ABT470" s="75"/>
      <c r="ABU470" s="75"/>
      <c r="ABV470" s="75"/>
      <c r="ABW470" s="75"/>
      <c r="ABX470" s="75"/>
      <c r="ABY470" s="75"/>
      <c r="ABZ470" s="75"/>
      <c r="ACA470" s="75"/>
      <c r="ACB470" s="75"/>
      <c r="ACC470" s="75"/>
      <c r="ACD470" s="75"/>
      <c r="ACE470" s="75"/>
      <c r="ACF470" s="75"/>
      <c r="ACG470" s="75"/>
      <c r="ACH470" s="75"/>
      <c r="ACI470" s="75"/>
      <c r="ACJ470" s="75"/>
      <c r="ACK470" s="75"/>
      <c r="ACL470" s="75"/>
      <c r="ACM470" s="75"/>
      <c r="ACN470" s="75"/>
      <c r="ACO470" s="75"/>
      <c r="ACP470" s="75"/>
      <c r="ACQ470" s="75"/>
      <c r="ACR470" s="75"/>
      <c r="ACS470" s="75"/>
      <c r="ACT470" s="75"/>
      <c r="ACU470" s="75"/>
      <c r="ACV470" s="75"/>
      <c r="ACW470" s="75"/>
      <c r="ACX470" s="75"/>
      <c r="ACY470" s="75"/>
      <c r="ACZ470" s="75"/>
      <c r="ADA470" s="75"/>
      <c r="ADB470" s="75"/>
      <c r="ADC470" s="75"/>
      <c r="ADD470" s="75"/>
      <c r="ADE470" s="75"/>
      <c r="ADF470" s="75"/>
      <c r="ADG470" s="75"/>
      <c r="ADH470" s="75"/>
      <c r="ADI470" s="75"/>
      <c r="ADJ470" s="75"/>
      <c r="ADK470" s="75"/>
      <c r="ADL470" s="75"/>
      <c r="ADM470" s="75"/>
      <c r="ADN470" s="75"/>
      <c r="ADO470" s="75"/>
      <c r="ADP470" s="75"/>
      <c r="ADQ470" s="75"/>
      <c r="ADR470" s="75"/>
      <c r="ADS470" s="75"/>
      <c r="ADT470" s="75"/>
      <c r="ADU470" s="75"/>
      <c r="ADV470" s="75"/>
      <c r="ADW470" s="75"/>
      <c r="ADX470" s="75"/>
      <c r="ADY470" s="75"/>
      <c r="ADZ470" s="75"/>
      <c r="AEA470" s="75"/>
      <c r="AEB470" s="75"/>
      <c r="AEC470" s="75"/>
      <c r="AED470" s="75"/>
      <c r="AEE470" s="75"/>
      <c r="AEF470" s="75"/>
      <c r="AEG470" s="75"/>
      <c r="AEH470" s="75"/>
      <c r="AEI470" s="75"/>
      <c r="AEJ470" s="75"/>
      <c r="AEK470" s="75"/>
      <c r="AEL470" s="75"/>
      <c r="AEM470" s="75"/>
      <c r="AEN470" s="75"/>
      <c r="AEO470" s="75"/>
      <c r="AEP470" s="75"/>
      <c r="AEQ470" s="75"/>
      <c r="AER470" s="75"/>
      <c r="AES470" s="75"/>
      <c r="AET470" s="75"/>
      <c r="AEU470" s="75"/>
      <c r="AEV470" s="75"/>
      <c r="AEW470" s="75"/>
      <c r="AEX470" s="75"/>
      <c r="AEY470" s="75"/>
      <c r="AEZ470" s="75"/>
      <c r="AFA470" s="75"/>
      <c r="AFB470" s="75"/>
      <c r="AFC470" s="75"/>
      <c r="AFD470" s="75"/>
      <c r="AFE470" s="75"/>
      <c r="AFF470" s="75"/>
      <c r="AFG470" s="75"/>
      <c r="AFH470" s="75"/>
      <c r="AFI470" s="75"/>
      <c r="AFJ470" s="75"/>
      <c r="AFK470" s="75"/>
      <c r="AFL470" s="75"/>
      <c r="AFM470" s="75"/>
      <c r="AFN470" s="75"/>
      <c r="AFO470" s="75"/>
      <c r="AFP470" s="75"/>
      <c r="AFQ470" s="75"/>
      <c r="AFR470" s="75"/>
      <c r="AFS470" s="75"/>
      <c r="AFT470" s="75"/>
      <c r="AFU470" s="75"/>
      <c r="AFV470" s="75"/>
      <c r="AFW470" s="75"/>
      <c r="AFX470" s="75"/>
      <c r="AFY470" s="75"/>
      <c r="AFZ470" s="75"/>
      <c r="AGA470" s="75"/>
      <c r="AGB470" s="75"/>
      <c r="AGC470" s="75"/>
      <c r="AGD470" s="75"/>
      <c r="AGE470" s="75"/>
      <c r="AGF470" s="75"/>
      <c r="AGG470" s="75"/>
      <c r="AGH470" s="75"/>
      <c r="AGI470" s="75"/>
      <c r="AGJ470" s="75"/>
      <c r="AGK470" s="75"/>
      <c r="AGL470" s="75"/>
      <c r="AGM470" s="75"/>
      <c r="AGN470" s="75"/>
      <c r="AGO470" s="75"/>
      <c r="AGP470" s="75"/>
      <c r="AGQ470" s="75"/>
      <c r="AGR470" s="75"/>
      <c r="AGS470" s="75"/>
      <c r="AGT470" s="75"/>
      <c r="AGU470" s="75"/>
      <c r="AGV470" s="75"/>
      <c r="AGW470" s="75"/>
      <c r="AGX470" s="75"/>
      <c r="AGY470" s="75"/>
      <c r="AGZ470" s="75"/>
      <c r="AHA470" s="75"/>
      <c r="AHB470" s="75"/>
      <c r="AHC470" s="75"/>
      <c r="AHD470" s="75"/>
      <c r="AHE470" s="75"/>
      <c r="AHF470" s="75"/>
      <c r="AHG470" s="75"/>
      <c r="AHH470" s="75"/>
      <c r="AHI470" s="75"/>
      <c r="AHJ470" s="75"/>
      <c r="AHK470" s="75"/>
      <c r="AHL470" s="75"/>
      <c r="AHM470" s="75"/>
      <c r="AHN470" s="75"/>
      <c r="AHO470" s="75"/>
      <c r="AHP470" s="75"/>
      <c r="AHQ470" s="75"/>
      <c r="AHR470" s="75"/>
      <c r="AHS470" s="75"/>
      <c r="AHT470" s="75"/>
      <c r="AHU470" s="75"/>
      <c r="AHV470" s="75"/>
      <c r="AHW470" s="75"/>
      <c r="AHX470" s="75"/>
      <c r="AHY470" s="75"/>
      <c r="AHZ470" s="75"/>
      <c r="AIA470" s="75"/>
      <c r="AIB470" s="75"/>
      <c r="AIC470" s="75"/>
      <c r="AID470" s="75"/>
      <c r="AIE470" s="75"/>
      <c r="AIF470" s="75"/>
      <c r="AIG470" s="75"/>
      <c r="AIH470" s="75"/>
      <c r="AII470" s="75"/>
      <c r="AIJ470" s="75"/>
      <c r="AIK470" s="75"/>
      <c r="AIL470" s="75"/>
      <c r="AIM470" s="75"/>
      <c r="AIN470" s="75"/>
      <c r="AIO470" s="75"/>
      <c r="AIP470" s="75"/>
      <c r="AIQ470" s="75"/>
      <c r="AIR470" s="75"/>
      <c r="AIS470" s="75"/>
      <c r="AIT470" s="75"/>
      <c r="AIU470" s="75"/>
      <c r="AIV470" s="75"/>
      <c r="AIW470" s="75"/>
      <c r="AIX470" s="75"/>
      <c r="AIY470" s="75"/>
      <c r="AIZ470" s="75"/>
      <c r="AJA470" s="75"/>
      <c r="AJB470" s="75"/>
      <c r="AJC470" s="75"/>
      <c r="AJD470" s="75"/>
      <c r="AJE470" s="75"/>
      <c r="AJF470" s="75"/>
      <c r="AJG470" s="75"/>
      <c r="AJH470" s="75"/>
      <c r="AJI470" s="75"/>
      <c r="AJJ470" s="75"/>
      <c r="AJK470" s="75"/>
      <c r="AJL470" s="75"/>
      <c r="AJM470" s="75"/>
      <c r="AJN470" s="75"/>
      <c r="AJO470" s="75"/>
      <c r="AJP470" s="75"/>
      <c r="AJQ470" s="75"/>
      <c r="AJR470" s="75"/>
      <c r="AJS470" s="75"/>
      <c r="AJT470" s="75"/>
      <c r="AJU470" s="75"/>
      <c r="AJV470" s="75"/>
      <c r="AJW470" s="75"/>
      <c r="AJX470" s="75"/>
      <c r="AJY470" s="75"/>
      <c r="AJZ470" s="75"/>
      <c r="AKA470" s="75"/>
      <c r="AKB470" s="75"/>
      <c r="AKC470" s="75"/>
      <c r="AKD470" s="75"/>
      <c r="AKE470" s="75"/>
      <c r="AKF470" s="75"/>
      <c r="AKG470" s="75"/>
      <c r="AKH470" s="75"/>
      <c r="AKI470" s="75"/>
      <c r="AKJ470" s="75"/>
      <c r="AKK470" s="75"/>
      <c r="AKL470" s="75"/>
      <c r="AKM470" s="75"/>
      <c r="AKN470" s="75"/>
      <c r="AKO470" s="75"/>
      <c r="AKP470" s="75"/>
      <c r="AKQ470" s="75"/>
      <c r="AKR470" s="75"/>
      <c r="AKS470" s="75"/>
      <c r="AKT470" s="75"/>
      <c r="AKU470" s="75"/>
      <c r="AKV470" s="75"/>
      <c r="AKW470" s="75"/>
      <c r="AKX470" s="75"/>
      <c r="AKY470" s="75"/>
      <c r="AKZ470" s="75"/>
      <c r="ALA470" s="75"/>
      <c r="ALB470" s="75"/>
      <c r="ALC470" s="75"/>
      <c r="ALD470" s="75"/>
      <c r="ALE470" s="75"/>
      <c r="ALF470" s="75"/>
      <c r="ALG470" s="75"/>
      <c r="ALH470" s="75"/>
      <c r="ALI470" s="75"/>
      <c r="ALJ470" s="75"/>
      <c r="ALK470" s="75"/>
      <c r="ALL470" s="75"/>
      <c r="ALM470" s="75"/>
      <c r="ALN470" s="75"/>
      <c r="ALO470" s="75"/>
    </row>
    <row r="471" spans="1:1003" s="234" customFormat="1" ht="14.55" customHeight="1" outlineLevel="1" x14ac:dyDescent="0.25">
      <c r="A471" s="230" t="s">
        <v>1422</v>
      </c>
      <c r="B471" s="343" t="str">
        <f>"12.99"</f>
        <v>12.99</v>
      </c>
      <c r="C471" s="75" t="s">
        <v>2131</v>
      </c>
      <c r="D471" s="127" t="s">
        <v>2132</v>
      </c>
      <c r="E471" s="232"/>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c r="AY471" s="75"/>
      <c r="AZ471" s="75"/>
      <c r="BA471" s="75"/>
      <c r="BB471" s="75"/>
      <c r="BC471" s="75"/>
      <c r="BD471" s="75"/>
      <c r="BE471" s="75"/>
      <c r="BF471" s="75"/>
      <c r="BG471" s="75"/>
      <c r="BH471" s="75"/>
      <c r="BI471" s="75"/>
      <c r="BJ471" s="75"/>
      <c r="BK471" s="75"/>
      <c r="BL471" s="75"/>
      <c r="BM471" s="75"/>
      <c r="BN471" s="75"/>
      <c r="BO471" s="75"/>
      <c r="BP471" s="75"/>
      <c r="BQ471" s="75"/>
      <c r="BR471" s="75"/>
      <c r="BS471" s="75"/>
      <c r="BT471" s="75"/>
      <c r="BU471" s="75"/>
      <c r="BV471" s="75"/>
      <c r="BW471" s="75"/>
      <c r="BX471" s="75"/>
      <c r="BY471" s="75"/>
      <c r="BZ471" s="75"/>
      <c r="CA471" s="75"/>
      <c r="CB471" s="75"/>
      <c r="CC471" s="75"/>
      <c r="CD471" s="75"/>
      <c r="CE471" s="75"/>
      <c r="CF471" s="75"/>
      <c r="CG471" s="75"/>
      <c r="CH471" s="75"/>
      <c r="CI471" s="75"/>
      <c r="CJ471" s="75"/>
      <c r="CK471" s="75"/>
      <c r="CL471" s="75"/>
      <c r="CM471" s="75"/>
      <c r="CN471" s="75"/>
      <c r="CO471" s="75"/>
      <c r="CP471" s="75"/>
      <c r="CQ471" s="75"/>
      <c r="CR471" s="75"/>
      <c r="CS471" s="75"/>
      <c r="CT471" s="75"/>
      <c r="CU471" s="75"/>
      <c r="CV471" s="75"/>
      <c r="CW471" s="75"/>
      <c r="CX471" s="75"/>
      <c r="CY471" s="75"/>
      <c r="CZ471" s="75"/>
      <c r="DA471" s="75"/>
      <c r="DB471" s="75"/>
      <c r="DC471" s="75"/>
      <c r="DD471" s="75"/>
      <c r="DE471" s="75"/>
      <c r="DF471" s="75"/>
      <c r="DG471" s="75"/>
      <c r="DH471" s="75"/>
      <c r="DI471" s="75"/>
      <c r="DJ471" s="75"/>
      <c r="DK471" s="75"/>
      <c r="DL471" s="75"/>
      <c r="DM471" s="75"/>
      <c r="DN471" s="75"/>
      <c r="DO471" s="75"/>
      <c r="DP471" s="75"/>
      <c r="DQ471" s="75"/>
      <c r="DR471" s="75"/>
      <c r="DS471" s="75"/>
      <c r="DT471" s="75"/>
      <c r="DU471" s="75"/>
      <c r="DV471" s="75"/>
      <c r="DW471" s="75"/>
      <c r="DX471" s="75"/>
      <c r="DY471" s="75"/>
      <c r="DZ471" s="75"/>
      <c r="EA471" s="75"/>
      <c r="EB471" s="75"/>
      <c r="EC471" s="75"/>
      <c r="ED471" s="75"/>
      <c r="EE471" s="75"/>
      <c r="EF471" s="75"/>
      <c r="EG471" s="75"/>
      <c r="EH471" s="75"/>
      <c r="EI471" s="75"/>
      <c r="EJ471" s="75"/>
      <c r="EK471" s="75"/>
      <c r="EL471" s="75"/>
      <c r="EM471" s="75"/>
      <c r="EN471" s="75"/>
      <c r="EO471" s="75"/>
      <c r="EP471" s="75"/>
      <c r="EQ471" s="75"/>
      <c r="ER471" s="75"/>
      <c r="ES471" s="75"/>
      <c r="ET471" s="75"/>
      <c r="EU471" s="75"/>
      <c r="EV471" s="75"/>
      <c r="EW471" s="75"/>
      <c r="EX471" s="75"/>
      <c r="EY471" s="75"/>
      <c r="EZ471" s="75"/>
      <c r="FA471" s="75"/>
      <c r="FB471" s="75"/>
      <c r="FC471" s="75"/>
      <c r="FD471" s="75"/>
      <c r="FE471" s="75"/>
      <c r="FF471" s="75"/>
      <c r="FG471" s="75"/>
      <c r="FH471" s="75"/>
      <c r="FI471" s="75"/>
      <c r="FJ471" s="75"/>
      <c r="FK471" s="75"/>
      <c r="FL471" s="75"/>
      <c r="FM471" s="75"/>
      <c r="FN471" s="75"/>
      <c r="FO471" s="75"/>
      <c r="FP471" s="75"/>
      <c r="FQ471" s="75"/>
      <c r="FR471" s="75"/>
      <c r="FS471" s="75"/>
      <c r="FT471" s="75"/>
      <c r="FU471" s="75"/>
      <c r="FV471" s="75"/>
      <c r="FW471" s="75"/>
      <c r="FX471" s="75"/>
      <c r="FY471" s="75"/>
      <c r="FZ471" s="75"/>
      <c r="GA471" s="75"/>
      <c r="GB471" s="75"/>
      <c r="GC471" s="75"/>
      <c r="GD471" s="75"/>
      <c r="GE471" s="75"/>
      <c r="GF471" s="75"/>
      <c r="GG471" s="75"/>
      <c r="GH471" s="75"/>
      <c r="GI471" s="75"/>
      <c r="GJ471" s="75"/>
      <c r="GK471" s="75"/>
      <c r="GL471" s="75"/>
      <c r="GM471" s="75"/>
      <c r="GN471" s="75"/>
      <c r="GO471" s="75"/>
      <c r="GP471" s="75"/>
      <c r="GQ471" s="75"/>
      <c r="GR471" s="75"/>
      <c r="GS471" s="75"/>
      <c r="GT471" s="75"/>
      <c r="GU471" s="75"/>
      <c r="GV471" s="75"/>
      <c r="GW471" s="75"/>
      <c r="GX471" s="75"/>
      <c r="GY471" s="75"/>
      <c r="GZ471" s="75"/>
      <c r="HA471" s="75"/>
      <c r="HB471" s="75"/>
      <c r="HC471" s="75"/>
      <c r="HD471" s="75"/>
      <c r="HE471" s="75"/>
      <c r="HF471" s="75"/>
      <c r="HG471" s="75"/>
      <c r="HH471" s="75"/>
      <c r="HI471" s="75"/>
      <c r="HJ471" s="75"/>
      <c r="HK471" s="75"/>
      <c r="HL471" s="75"/>
      <c r="HM471" s="75"/>
      <c r="HN471" s="75"/>
      <c r="HO471" s="75"/>
      <c r="HP471" s="75"/>
      <c r="HQ471" s="75"/>
      <c r="HR471" s="75"/>
      <c r="HS471" s="75"/>
      <c r="HT471" s="75"/>
      <c r="HU471" s="75"/>
      <c r="HV471" s="75"/>
      <c r="HW471" s="75"/>
      <c r="HX471" s="75"/>
      <c r="HY471" s="75"/>
      <c r="HZ471" s="75"/>
      <c r="IA471" s="75"/>
      <c r="IB471" s="75"/>
      <c r="IC471" s="75"/>
      <c r="ID471" s="75"/>
      <c r="IE471" s="75"/>
      <c r="IF471" s="75"/>
      <c r="IG471" s="75"/>
      <c r="IH471" s="75"/>
      <c r="II471" s="75"/>
      <c r="IJ471" s="75"/>
      <c r="IK471" s="75"/>
      <c r="IL471" s="75"/>
      <c r="IM471" s="75"/>
      <c r="IN471" s="75"/>
      <c r="IO471" s="75"/>
      <c r="IP471" s="75"/>
      <c r="IQ471" s="75"/>
      <c r="IR471" s="75"/>
      <c r="IS471" s="75"/>
      <c r="IT471" s="75"/>
      <c r="IU471" s="75"/>
      <c r="IV471" s="75"/>
      <c r="IW471" s="75"/>
      <c r="IX471" s="75"/>
      <c r="IY471" s="75"/>
      <c r="IZ471" s="75"/>
      <c r="JA471" s="75"/>
      <c r="JB471" s="75"/>
      <c r="JC471" s="75"/>
      <c r="JD471" s="75"/>
      <c r="JE471" s="75"/>
      <c r="JF471" s="75"/>
      <c r="JG471" s="75"/>
      <c r="JH471" s="75"/>
      <c r="JI471" s="75"/>
      <c r="JJ471" s="75"/>
      <c r="JK471" s="75"/>
      <c r="JL471" s="75"/>
      <c r="JM471" s="75"/>
      <c r="JN471" s="75"/>
      <c r="JO471" s="75"/>
      <c r="JP471" s="75"/>
      <c r="JQ471" s="75"/>
      <c r="JR471" s="75"/>
      <c r="JS471" s="75"/>
      <c r="JT471" s="75"/>
      <c r="JU471" s="75"/>
      <c r="JV471" s="75"/>
      <c r="JW471" s="75"/>
      <c r="JX471" s="75"/>
      <c r="JY471" s="75"/>
      <c r="JZ471" s="75"/>
      <c r="KA471" s="75"/>
      <c r="KB471" s="75"/>
      <c r="KC471" s="75"/>
      <c r="KD471" s="75"/>
      <c r="KE471" s="75"/>
      <c r="KF471" s="75"/>
      <c r="KG471" s="75"/>
      <c r="KH471" s="75"/>
      <c r="KI471" s="75"/>
      <c r="KJ471" s="75"/>
      <c r="KK471" s="75"/>
      <c r="KL471" s="75"/>
      <c r="KM471" s="75"/>
      <c r="KN471" s="75"/>
      <c r="KO471" s="75"/>
      <c r="KP471" s="75"/>
      <c r="KQ471" s="75"/>
      <c r="KR471" s="75"/>
      <c r="KS471" s="75"/>
      <c r="KT471" s="75"/>
      <c r="KU471" s="75"/>
      <c r="KV471" s="75"/>
      <c r="KW471" s="75"/>
      <c r="KX471" s="75"/>
      <c r="KY471" s="75"/>
      <c r="KZ471" s="75"/>
      <c r="LA471" s="75"/>
      <c r="LB471" s="75"/>
      <c r="LC471" s="75"/>
      <c r="LD471" s="75"/>
      <c r="LE471" s="75"/>
      <c r="LF471" s="75"/>
      <c r="LG471" s="75"/>
      <c r="LH471" s="75"/>
      <c r="LI471" s="75"/>
      <c r="LJ471" s="75"/>
      <c r="LK471" s="75"/>
      <c r="LL471" s="75"/>
      <c r="LM471" s="75"/>
      <c r="LN471" s="75"/>
      <c r="LO471" s="75"/>
      <c r="LP471" s="75"/>
      <c r="LQ471" s="75"/>
      <c r="LR471" s="75"/>
      <c r="LS471" s="75"/>
      <c r="LT471" s="75"/>
      <c r="LU471" s="75"/>
      <c r="LV471" s="75"/>
      <c r="LW471" s="75"/>
      <c r="LX471" s="75"/>
      <c r="LY471" s="75"/>
      <c r="LZ471" s="75"/>
      <c r="MA471" s="75"/>
      <c r="MB471" s="75"/>
      <c r="MC471" s="75"/>
      <c r="MD471" s="75"/>
      <c r="ME471" s="75"/>
      <c r="MF471" s="75"/>
      <c r="MG471" s="75"/>
      <c r="MH471" s="75"/>
      <c r="MI471" s="75"/>
      <c r="MJ471" s="75"/>
      <c r="MK471" s="75"/>
      <c r="ML471" s="75"/>
      <c r="MM471" s="75"/>
      <c r="MN471" s="75"/>
      <c r="MO471" s="75"/>
      <c r="MP471" s="75"/>
      <c r="MQ471" s="75"/>
      <c r="MR471" s="75"/>
      <c r="MS471" s="75"/>
      <c r="MT471" s="75"/>
      <c r="MU471" s="75"/>
      <c r="MV471" s="75"/>
      <c r="MW471" s="75"/>
      <c r="MX471" s="75"/>
      <c r="MY471" s="75"/>
      <c r="MZ471" s="75"/>
      <c r="NA471" s="75"/>
      <c r="NB471" s="75"/>
      <c r="NC471" s="75"/>
      <c r="ND471" s="75"/>
      <c r="NE471" s="75"/>
      <c r="NF471" s="75"/>
      <c r="NG471" s="75"/>
      <c r="NH471" s="75"/>
      <c r="NI471" s="75"/>
      <c r="NJ471" s="75"/>
      <c r="NK471" s="75"/>
      <c r="NL471" s="75"/>
      <c r="NM471" s="75"/>
      <c r="NN471" s="75"/>
      <c r="NO471" s="75"/>
      <c r="NP471" s="75"/>
      <c r="NQ471" s="75"/>
      <c r="NR471" s="75"/>
      <c r="NS471" s="75"/>
      <c r="NT471" s="75"/>
      <c r="NU471" s="75"/>
      <c r="NV471" s="75"/>
      <c r="NW471" s="75"/>
      <c r="NX471" s="75"/>
      <c r="NY471" s="75"/>
      <c r="NZ471" s="75"/>
      <c r="OA471" s="75"/>
      <c r="OB471" s="75"/>
      <c r="OC471" s="75"/>
      <c r="OD471" s="75"/>
      <c r="OE471" s="75"/>
      <c r="OF471" s="75"/>
      <c r="OG471" s="75"/>
      <c r="OH471" s="75"/>
      <c r="OI471" s="75"/>
      <c r="OJ471" s="75"/>
      <c r="OK471" s="75"/>
      <c r="OL471" s="75"/>
      <c r="OM471" s="75"/>
      <c r="ON471" s="75"/>
      <c r="OO471" s="75"/>
      <c r="OP471" s="75"/>
      <c r="OQ471" s="75"/>
      <c r="OR471" s="75"/>
      <c r="OS471" s="75"/>
      <c r="OT471" s="75"/>
      <c r="OU471" s="75"/>
      <c r="OV471" s="75"/>
      <c r="OW471" s="75"/>
      <c r="OX471" s="75"/>
      <c r="OY471" s="75"/>
      <c r="OZ471" s="75"/>
      <c r="PA471" s="75"/>
      <c r="PB471" s="75"/>
      <c r="PC471" s="75"/>
      <c r="PD471" s="75"/>
      <c r="PE471" s="75"/>
      <c r="PF471" s="75"/>
      <c r="PG471" s="75"/>
      <c r="PH471" s="75"/>
      <c r="PI471" s="75"/>
      <c r="PJ471" s="75"/>
      <c r="PK471" s="75"/>
      <c r="PL471" s="75"/>
      <c r="PM471" s="75"/>
      <c r="PN471" s="75"/>
      <c r="PO471" s="75"/>
      <c r="PP471" s="75"/>
      <c r="PQ471" s="75"/>
      <c r="PR471" s="75"/>
      <c r="PS471" s="75"/>
      <c r="PT471" s="75"/>
      <c r="PU471" s="75"/>
      <c r="PV471" s="75"/>
      <c r="PW471" s="75"/>
      <c r="PX471" s="75"/>
      <c r="PY471" s="75"/>
      <c r="PZ471" s="75"/>
      <c r="QA471" s="75"/>
      <c r="QB471" s="75"/>
      <c r="QC471" s="75"/>
      <c r="QD471" s="75"/>
      <c r="QE471" s="75"/>
      <c r="QF471" s="75"/>
      <c r="QG471" s="75"/>
      <c r="QH471" s="75"/>
      <c r="QI471" s="75"/>
      <c r="QJ471" s="75"/>
      <c r="QK471" s="75"/>
      <c r="QL471" s="75"/>
      <c r="QM471" s="75"/>
      <c r="QN471" s="75"/>
      <c r="QO471" s="75"/>
      <c r="QP471" s="75"/>
      <c r="QQ471" s="75"/>
      <c r="QR471" s="75"/>
      <c r="QS471" s="75"/>
      <c r="QT471" s="75"/>
      <c r="QU471" s="75"/>
      <c r="QV471" s="75"/>
      <c r="QW471" s="75"/>
      <c r="QX471" s="75"/>
      <c r="QY471" s="75"/>
      <c r="QZ471" s="75"/>
      <c r="RA471" s="75"/>
      <c r="RB471" s="75"/>
      <c r="RC471" s="75"/>
      <c r="RD471" s="75"/>
      <c r="RE471" s="75"/>
      <c r="RF471" s="75"/>
      <c r="RG471" s="75"/>
      <c r="RH471" s="75"/>
      <c r="RI471" s="75"/>
      <c r="RJ471" s="75"/>
      <c r="RK471" s="75"/>
      <c r="RL471" s="75"/>
      <c r="RM471" s="75"/>
      <c r="RN471" s="75"/>
      <c r="RO471" s="75"/>
      <c r="RP471" s="75"/>
      <c r="RQ471" s="75"/>
      <c r="RR471" s="75"/>
      <c r="RS471" s="75"/>
      <c r="RT471" s="75"/>
      <c r="RU471" s="75"/>
      <c r="RV471" s="75"/>
      <c r="RW471" s="75"/>
      <c r="RX471" s="75"/>
      <c r="RY471" s="75"/>
      <c r="RZ471" s="75"/>
      <c r="SA471" s="75"/>
      <c r="SB471" s="75"/>
      <c r="SC471" s="75"/>
      <c r="SD471" s="75"/>
      <c r="SE471" s="75"/>
      <c r="SF471" s="75"/>
      <c r="SG471" s="75"/>
      <c r="SH471" s="75"/>
      <c r="SI471" s="75"/>
      <c r="SJ471" s="75"/>
      <c r="SK471" s="75"/>
      <c r="SL471" s="75"/>
      <c r="SM471" s="75"/>
      <c r="SN471" s="75"/>
      <c r="SO471" s="75"/>
      <c r="SP471" s="75"/>
      <c r="SQ471" s="75"/>
      <c r="SR471" s="75"/>
      <c r="SS471" s="75"/>
      <c r="ST471" s="75"/>
      <c r="SU471" s="75"/>
      <c r="SV471" s="75"/>
      <c r="SW471" s="75"/>
      <c r="SX471" s="75"/>
      <c r="SY471" s="75"/>
      <c r="SZ471" s="75"/>
      <c r="TA471" s="75"/>
      <c r="TB471" s="75"/>
      <c r="TC471" s="75"/>
      <c r="TD471" s="75"/>
      <c r="TE471" s="75"/>
      <c r="TF471" s="75"/>
      <c r="TG471" s="75"/>
      <c r="TH471" s="75"/>
      <c r="TI471" s="75"/>
      <c r="TJ471" s="75"/>
      <c r="TK471" s="75"/>
      <c r="TL471" s="75"/>
      <c r="TM471" s="75"/>
      <c r="TN471" s="75"/>
      <c r="TO471" s="75"/>
      <c r="TP471" s="75"/>
      <c r="TQ471" s="75"/>
      <c r="TR471" s="75"/>
      <c r="TS471" s="75"/>
      <c r="TT471" s="75"/>
      <c r="TU471" s="75"/>
      <c r="TV471" s="75"/>
      <c r="TW471" s="75"/>
      <c r="TX471" s="75"/>
      <c r="TY471" s="75"/>
      <c r="TZ471" s="75"/>
      <c r="UA471" s="75"/>
      <c r="UB471" s="75"/>
      <c r="UC471" s="75"/>
      <c r="UD471" s="75"/>
      <c r="UE471" s="75"/>
      <c r="UF471" s="75"/>
      <c r="UG471" s="75"/>
      <c r="UH471" s="75"/>
      <c r="UI471" s="75"/>
      <c r="UJ471" s="75"/>
      <c r="UK471" s="75"/>
      <c r="UL471" s="75"/>
      <c r="UM471" s="75"/>
      <c r="UN471" s="75"/>
      <c r="UO471" s="75"/>
      <c r="UP471" s="75"/>
      <c r="UQ471" s="75"/>
      <c r="UR471" s="75"/>
      <c r="US471" s="75"/>
      <c r="UT471" s="75"/>
      <c r="UU471" s="75"/>
      <c r="UV471" s="75"/>
      <c r="UW471" s="75"/>
      <c r="UX471" s="75"/>
      <c r="UY471" s="75"/>
      <c r="UZ471" s="75"/>
      <c r="VA471" s="75"/>
      <c r="VB471" s="75"/>
      <c r="VC471" s="75"/>
      <c r="VD471" s="75"/>
      <c r="VE471" s="75"/>
      <c r="VF471" s="75"/>
      <c r="VG471" s="75"/>
      <c r="VH471" s="75"/>
      <c r="VI471" s="75"/>
      <c r="VJ471" s="75"/>
      <c r="VK471" s="75"/>
      <c r="VL471" s="75"/>
      <c r="VM471" s="75"/>
      <c r="VN471" s="75"/>
      <c r="VO471" s="75"/>
      <c r="VP471" s="75"/>
      <c r="VQ471" s="75"/>
      <c r="VR471" s="75"/>
      <c r="VS471" s="75"/>
      <c r="VT471" s="75"/>
      <c r="VU471" s="75"/>
      <c r="VV471" s="75"/>
      <c r="VW471" s="75"/>
      <c r="VX471" s="75"/>
      <c r="VY471" s="75"/>
      <c r="VZ471" s="75"/>
      <c r="WA471" s="75"/>
      <c r="WB471" s="75"/>
      <c r="WC471" s="75"/>
      <c r="WD471" s="75"/>
      <c r="WE471" s="75"/>
      <c r="WF471" s="75"/>
      <c r="WG471" s="75"/>
      <c r="WH471" s="75"/>
      <c r="WI471" s="75"/>
      <c r="WJ471" s="75"/>
      <c r="WK471" s="75"/>
      <c r="WL471" s="75"/>
      <c r="WM471" s="75"/>
      <c r="WN471" s="75"/>
      <c r="WO471" s="75"/>
      <c r="WP471" s="75"/>
      <c r="WQ471" s="75"/>
      <c r="WR471" s="75"/>
      <c r="WS471" s="75"/>
      <c r="WT471" s="75"/>
      <c r="WU471" s="75"/>
      <c r="WV471" s="75"/>
      <c r="WW471" s="75"/>
      <c r="WX471" s="75"/>
      <c r="WY471" s="75"/>
      <c r="WZ471" s="75"/>
      <c r="XA471" s="75"/>
      <c r="XB471" s="75"/>
      <c r="XC471" s="75"/>
      <c r="XD471" s="75"/>
      <c r="XE471" s="75"/>
      <c r="XF471" s="75"/>
      <c r="XG471" s="75"/>
      <c r="XH471" s="75"/>
      <c r="XI471" s="75"/>
      <c r="XJ471" s="75"/>
      <c r="XK471" s="75"/>
      <c r="XL471" s="75"/>
      <c r="XM471" s="75"/>
      <c r="XN471" s="75"/>
      <c r="XO471" s="75"/>
      <c r="XP471" s="75"/>
      <c r="XQ471" s="75"/>
      <c r="XR471" s="75"/>
      <c r="XS471" s="75"/>
      <c r="XT471" s="75"/>
      <c r="XU471" s="75"/>
      <c r="XV471" s="75"/>
      <c r="XW471" s="75"/>
      <c r="XX471" s="75"/>
      <c r="XY471" s="75"/>
      <c r="XZ471" s="75"/>
      <c r="YA471" s="75"/>
      <c r="YB471" s="75"/>
      <c r="YC471" s="75"/>
      <c r="YD471" s="75"/>
      <c r="YE471" s="75"/>
      <c r="YF471" s="75"/>
      <c r="YG471" s="75"/>
      <c r="YH471" s="75"/>
      <c r="YI471" s="75"/>
      <c r="YJ471" s="75"/>
      <c r="YK471" s="75"/>
      <c r="YL471" s="75"/>
      <c r="YM471" s="75"/>
      <c r="YN471" s="75"/>
      <c r="YO471" s="75"/>
      <c r="YP471" s="75"/>
      <c r="YQ471" s="75"/>
      <c r="YR471" s="75"/>
      <c r="YS471" s="75"/>
      <c r="YT471" s="75"/>
      <c r="YU471" s="75"/>
      <c r="YV471" s="75"/>
      <c r="YW471" s="75"/>
      <c r="YX471" s="75"/>
      <c r="YY471" s="75"/>
      <c r="YZ471" s="75"/>
      <c r="ZA471" s="75"/>
      <c r="ZB471" s="75"/>
      <c r="ZC471" s="75"/>
      <c r="ZD471" s="75"/>
      <c r="ZE471" s="75"/>
      <c r="ZF471" s="75"/>
      <c r="ZG471" s="75"/>
      <c r="ZH471" s="75"/>
      <c r="ZI471" s="75"/>
      <c r="ZJ471" s="75"/>
      <c r="ZK471" s="75"/>
      <c r="ZL471" s="75"/>
      <c r="ZM471" s="75"/>
      <c r="ZN471" s="75"/>
      <c r="ZO471" s="75"/>
      <c r="ZP471" s="75"/>
      <c r="ZQ471" s="75"/>
      <c r="ZR471" s="75"/>
      <c r="ZS471" s="75"/>
      <c r="ZT471" s="75"/>
      <c r="ZU471" s="75"/>
      <c r="ZV471" s="75"/>
      <c r="ZW471" s="75"/>
      <c r="ZX471" s="75"/>
      <c r="ZY471" s="75"/>
      <c r="ZZ471" s="75"/>
      <c r="AAA471" s="75"/>
      <c r="AAB471" s="75"/>
      <c r="AAC471" s="75"/>
      <c r="AAD471" s="75"/>
      <c r="AAE471" s="75"/>
      <c r="AAF471" s="75"/>
      <c r="AAG471" s="75"/>
      <c r="AAH471" s="75"/>
      <c r="AAI471" s="75"/>
      <c r="AAJ471" s="75"/>
      <c r="AAK471" s="75"/>
      <c r="AAL471" s="75"/>
      <c r="AAM471" s="75"/>
      <c r="AAN471" s="75"/>
      <c r="AAO471" s="75"/>
      <c r="AAP471" s="75"/>
      <c r="AAQ471" s="75"/>
      <c r="AAR471" s="75"/>
      <c r="AAS471" s="75"/>
      <c r="AAT471" s="75"/>
      <c r="AAU471" s="75"/>
      <c r="AAV471" s="75"/>
      <c r="AAW471" s="75"/>
      <c r="AAX471" s="75"/>
      <c r="AAY471" s="75"/>
      <c r="AAZ471" s="75"/>
      <c r="ABA471" s="75"/>
      <c r="ABB471" s="75"/>
      <c r="ABC471" s="75"/>
      <c r="ABD471" s="75"/>
      <c r="ABE471" s="75"/>
      <c r="ABF471" s="75"/>
      <c r="ABG471" s="75"/>
      <c r="ABH471" s="75"/>
      <c r="ABI471" s="75"/>
      <c r="ABJ471" s="75"/>
      <c r="ABK471" s="75"/>
      <c r="ABL471" s="75"/>
      <c r="ABM471" s="75"/>
      <c r="ABN471" s="75"/>
      <c r="ABO471" s="75"/>
      <c r="ABP471" s="75"/>
      <c r="ABQ471" s="75"/>
      <c r="ABR471" s="75"/>
      <c r="ABS471" s="75"/>
      <c r="ABT471" s="75"/>
      <c r="ABU471" s="75"/>
      <c r="ABV471" s="75"/>
      <c r="ABW471" s="75"/>
      <c r="ABX471" s="75"/>
      <c r="ABY471" s="75"/>
      <c r="ABZ471" s="75"/>
      <c r="ACA471" s="75"/>
      <c r="ACB471" s="75"/>
      <c r="ACC471" s="75"/>
      <c r="ACD471" s="75"/>
      <c r="ACE471" s="75"/>
      <c r="ACF471" s="75"/>
      <c r="ACG471" s="75"/>
      <c r="ACH471" s="75"/>
      <c r="ACI471" s="75"/>
      <c r="ACJ471" s="75"/>
      <c r="ACK471" s="75"/>
      <c r="ACL471" s="75"/>
      <c r="ACM471" s="75"/>
      <c r="ACN471" s="75"/>
      <c r="ACO471" s="75"/>
      <c r="ACP471" s="75"/>
      <c r="ACQ471" s="75"/>
      <c r="ACR471" s="75"/>
      <c r="ACS471" s="75"/>
      <c r="ACT471" s="75"/>
      <c r="ACU471" s="75"/>
      <c r="ACV471" s="75"/>
      <c r="ACW471" s="75"/>
      <c r="ACX471" s="75"/>
      <c r="ACY471" s="75"/>
      <c r="ACZ471" s="75"/>
      <c r="ADA471" s="75"/>
      <c r="ADB471" s="75"/>
      <c r="ADC471" s="75"/>
      <c r="ADD471" s="75"/>
      <c r="ADE471" s="75"/>
      <c r="ADF471" s="75"/>
      <c r="ADG471" s="75"/>
      <c r="ADH471" s="75"/>
      <c r="ADI471" s="75"/>
      <c r="ADJ471" s="75"/>
      <c r="ADK471" s="75"/>
      <c r="ADL471" s="75"/>
      <c r="ADM471" s="75"/>
      <c r="ADN471" s="75"/>
      <c r="ADO471" s="75"/>
      <c r="ADP471" s="75"/>
      <c r="ADQ471" s="75"/>
      <c r="ADR471" s="75"/>
      <c r="ADS471" s="75"/>
      <c r="ADT471" s="75"/>
      <c r="ADU471" s="75"/>
      <c r="ADV471" s="75"/>
      <c r="ADW471" s="75"/>
      <c r="ADX471" s="75"/>
      <c r="ADY471" s="75"/>
      <c r="ADZ471" s="75"/>
      <c r="AEA471" s="75"/>
      <c r="AEB471" s="75"/>
      <c r="AEC471" s="75"/>
      <c r="AED471" s="75"/>
      <c r="AEE471" s="75"/>
      <c r="AEF471" s="75"/>
      <c r="AEG471" s="75"/>
      <c r="AEH471" s="75"/>
      <c r="AEI471" s="75"/>
      <c r="AEJ471" s="75"/>
      <c r="AEK471" s="75"/>
      <c r="AEL471" s="75"/>
      <c r="AEM471" s="75"/>
      <c r="AEN471" s="75"/>
      <c r="AEO471" s="75"/>
      <c r="AEP471" s="75"/>
      <c r="AEQ471" s="75"/>
      <c r="AER471" s="75"/>
      <c r="AES471" s="75"/>
      <c r="AET471" s="75"/>
      <c r="AEU471" s="75"/>
      <c r="AEV471" s="75"/>
      <c r="AEW471" s="75"/>
      <c r="AEX471" s="75"/>
      <c r="AEY471" s="75"/>
      <c r="AEZ471" s="75"/>
      <c r="AFA471" s="75"/>
      <c r="AFB471" s="75"/>
      <c r="AFC471" s="75"/>
      <c r="AFD471" s="75"/>
      <c r="AFE471" s="75"/>
      <c r="AFF471" s="75"/>
      <c r="AFG471" s="75"/>
      <c r="AFH471" s="75"/>
      <c r="AFI471" s="75"/>
      <c r="AFJ471" s="75"/>
      <c r="AFK471" s="75"/>
      <c r="AFL471" s="75"/>
      <c r="AFM471" s="75"/>
      <c r="AFN471" s="75"/>
      <c r="AFO471" s="75"/>
      <c r="AFP471" s="75"/>
      <c r="AFQ471" s="75"/>
      <c r="AFR471" s="75"/>
      <c r="AFS471" s="75"/>
      <c r="AFT471" s="75"/>
      <c r="AFU471" s="75"/>
      <c r="AFV471" s="75"/>
      <c r="AFW471" s="75"/>
      <c r="AFX471" s="75"/>
      <c r="AFY471" s="75"/>
      <c r="AFZ471" s="75"/>
      <c r="AGA471" s="75"/>
      <c r="AGB471" s="75"/>
      <c r="AGC471" s="75"/>
      <c r="AGD471" s="75"/>
      <c r="AGE471" s="75"/>
      <c r="AGF471" s="75"/>
      <c r="AGG471" s="75"/>
      <c r="AGH471" s="75"/>
      <c r="AGI471" s="75"/>
      <c r="AGJ471" s="75"/>
      <c r="AGK471" s="75"/>
      <c r="AGL471" s="75"/>
      <c r="AGM471" s="75"/>
      <c r="AGN471" s="75"/>
      <c r="AGO471" s="75"/>
      <c r="AGP471" s="75"/>
      <c r="AGQ471" s="75"/>
      <c r="AGR471" s="75"/>
      <c r="AGS471" s="75"/>
      <c r="AGT471" s="75"/>
      <c r="AGU471" s="75"/>
      <c r="AGV471" s="75"/>
      <c r="AGW471" s="75"/>
      <c r="AGX471" s="75"/>
      <c r="AGY471" s="75"/>
      <c r="AGZ471" s="75"/>
      <c r="AHA471" s="75"/>
      <c r="AHB471" s="75"/>
      <c r="AHC471" s="75"/>
      <c r="AHD471" s="75"/>
      <c r="AHE471" s="75"/>
      <c r="AHF471" s="75"/>
      <c r="AHG471" s="75"/>
      <c r="AHH471" s="75"/>
      <c r="AHI471" s="75"/>
      <c r="AHJ471" s="75"/>
      <c r="AHK471" s="75"/>
      <c r="AHL471" s="75"/>
      <c r="AHM471" s="75"/>
      <c r="AHN471" s="75"/>
      <c r="AHO471" s="75"/>
      <c r="AHP471" s="75"/>
      <c r="AHQ471" s="75"/>
      <c r="AHR471" s="75"/>
      <c r="AHS471" s="75"/>
      <c r="AHT471" s="75"/>
      <c r="AHU471" s="75"/>
      <c r="AHV471" s="75"/>
      <c r="AHW471" s="75"/>
      <c r="AHX471" s="75"/>
      <c r="AHY471" s="75"/>
      <c r="AHZ471" s="75"/>
      <c r="AIA471" s="75"/>
      <c r="AIB471" s="75"/>
      <c r="AIC471" s="75"/>
      <c r="AID471" s="75"/>
      <c r="AIE471" s="75"/>
      <c r="AIF471" s="75"/>
      <c r="AIG471" s="75"/>
      <c r="AIH471" s="75"/>
      <c r="AII471" s="75"/>
      <c r="AIJ471" s="75"/>
      <c r="AIK471" s="75"/>
      <c r="AIL471" s="75"/>
      <c r="AIM471" s="75"/>
      <c r="AIN471" s="75"/>
      <c r="AIO471" s="75"/>
      <c r="AIP471" s="75"/>
      <c r="AIQ471" s="75"/>
      <c r="AIR471" s="75"/>
      <c r="AIS471" s="75"/>
      <c r="AIT471" s="75"/>
      <c r="AIU471" s="75"/>
      <c r="AIV471" s="75"/>
      <c r="AIW471" s="75"/>
      <c r="AIX471" s="75"/>
      <c r="AIY471" s="75"/>
      <c r="AIZ471" s="75"/>
      <c r="AJA471" s="75"/>
      <c r="AJB471" s="75"/>
      <c r="AJC471" s="75"/>
      <c r="AJD471" s="75"/>
      <c r="AJE471" s="75"/>
      <c r="AJF471" s="75"/>
      <c r="AJG471" s="75"/>
      <c r="AJH471" s="75"/>
      <c r="AJI471" s="75"/>
      <c r="AJJ471" s="75"/>
      <c r="AJK471" s="75"/>
      <c r="AJL471" s="75"/>
      <c r="AJM471" s="75"/>
      <c r="AJN471" s="75"/>
      <c r="AJO471" s="75"/>
      <c r="AJP471" s="75"/>
      <c r="AJQ471" s="75"/>
      <c r="AJR471" s="75"/>
      <c r="AJS471" s="75"/>
      <c r="AJT471" s="75"/>
      <c r="AJU471" s="75"/>
      <c r="AJV471" s="75"/>
      <c r="AJW471" s="75"/>
      <c r="AJX471" s="75"/>
      <c r="AJY471" s="75"/>
      <c r="AJZ471" s="75"/>
      <c r="AKA471" s="75"/>
      <c r="AKB471" s="75"/>
      <c r="AKC471" s="75"/>
      <c r="AKD471" s="75"/>
      <c r="AKE471" s="75"/>
      <c r="AKF471" s="75"/>
      <c r="AKG471" s="75"/>
      <c r="AKH471" s="75"/>
      <c r="AKI471" s="75"/>
      <c r="AKJ471" s="75"/>
      <c r="AKK471" s="75"/>
      <c r="AKL471" s="75"/>
      <c r="AKM471" s="75"/>
      <c r="AKN471" s="75"/>
      <c r="AKO471" s="75"/>
      <c r="AKP471" s="75"/>
      <c r="AKQ471" s="75"/>
      <c r="AKR471" s="75"/>
      <c r="AKS471" s="75"/>
      <c r="AKT471" s="75"/>
      <c r="AKU471" s="75"/>
      <c r="AKV471" s="75"/>
      <c r="AKW471" s="75"/>
      <c r="AKX471" s="75"/>
      <c r="AKY471" s="75"/>
      <c r="AKZ471" s="75"/>
      <c r="ALA471" s="75"/>
      <c r="ALB471" s="75"/>
      <c r="ALC471" s="75"/>
      <c r="ALD471" s="75"/>
      <c r="ALE471" s="75"/>
      <c r="ALF471" s="75"/>
      <c r="ALG471" s="75"/>
      <c r="ALH471" s="75"/>
      <c r="ALI471" s="75"/>
      <c r="ALJ471" s="75"/>
      <c r="ALK471" s="75"/>
      <c r="ALL471" s="75"/>
      <c r="ALM471" s="75"/>
      <c r="ALN471" s="75"/>
      <c r="ALO471" s="75"/>
    </row>
    <row r="472" spans="1:1003" s="234" customFormat="1" ht="14.55" customHeight="1" outlineLevel="1" x14ac:dyDescent="0.25">
      <c r="A472" s="230" t="s">
        <v>1422</v>
      </c>
      <c r="B472" s="343" t="str">
        <f>"12.9999"</f>
        <v>12.9999</v>
      </c>
      <c r="C472" s="75" t="s">
        <v>2131</v>
      </c>
      <c r="D472" s="127" t="s">
        <v>2133</v>
      </c>
      <c r="E472" s="232"/>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c r="BA472" s="75"/>
      <c r="BB472" s="75"/>
      <c r="BC472" s="75"/>
      <c r="BD472" s="75"/>
      <c r="BE472" s="75"/>
      <c r="BF472" s="75"/>
      <c r="BG472" s="75"/>
      <c r="BH472" s="75"/>
      <c r="BI472" s="75"/>
      <c r="BJ472" s="75"/>
      <c r="BK472" s="75"/>
      <c r="BL472" s="75"/>
      <c r="BM472" s="75"/>
      <c r="BN472" s="75"/>
      <c r="BO472" s="75"/>
      <c r="BP472" s="75"/>
      <c r="BQ472" s="75"/>
      <c r="BR472" s="75"/>
      <c r="BS472" s="75"/>
      <c r="BT472" s="75"/>
      <c r="BU472" s="75"/>
      <c r="BV472" s="75"/>
      <c r="BW472" s="75"/>
      <c r="BX472" s="75"/>
      <c r="BY472" s="75"/>
      <c r="BZ472" s="75"/>
      <c r="CA472" s="75"/>
      <c r="CB472" s="75"/>
      <c r="CC472" s="75"/>
      <c r="CD472" s="75"/>
      <c r="CE472" s="75"/>
      <c r="CF472" s="75"/>
      <c r="CG472" s="75"/>
      <c r="CH472" s="75"/>
      <c r="CI472" s="75"/>
      <c r="CJ472" s="75"/>
      <c r="CK472" s="75"/>
      <c r="CL472" s="75"/>
      <c r="CM472" s="75"/>
      <c r="CN472" s="75"/>
      <c r="CO472" s="75"/>
      <c r="CP472" s="75"/>
      <c r="CQ472" s="75"/>
      <c r="CR472" s="75"/>
      <c r="CS472" s="75"/>
      <c r="CT472" s="75"/>
      <c r="CU472" s="75"/>
      <c r="CV472" s="75"/>
      <c r="CW472" s="75"/>
      <c r="CX472" s="75"/>
      <c r="CY472" s="75"/>
      <c r="CZ472" s="75"/>
      <c r="DA472" s="75"/>
      <c r="DB472" s="75"/>
      <c r="DC472" s="75"/>
      <c r="DD472" s="75"/>
      <c r="DE472" s="75"/>
      <c r="DF472" s="75"/>
      <c r="DG472" s="75"/>
      <c r="DH472" s="75"/>
      <c r="DI472" s="75"/>
      <c r="DJ472" s="75"/>
      <c r="DK472" s="75"/>
      <c r="DL472" s="75"/>
      <c r="DM472" s="75"/>
      <c r="DN472" s="75"/>
      <c r="DO472" s="75"/>
      <c r="DP472" s="75"/>
      <c r="DQ472" s="75"/>
      <c r="DR472" s="75"/>
      <c r="DS472" s="75"/>
      <c r="DT472" s="75"/>
      <c r="DU472" s="75"/>
      <c r="DV472" s="75"/>
      <c r="DW472" s="75"/>
      <c r="DX472" s="75"/>
      <c r="DY472" s="75"/>
      <c r="DZ472" s="75"/>
      <c r="EA472" s="75"/>
      <c r="EB472" s="75"/>
      <c r="EC472" s="75"/>
      <c r="ED472" s="75"/>
      <c r="EE472" s="75"/>
      <c r="EF472" s="75"/>
      <c r="EG472" s="75"/>
      <c r="EH472" s="75"/>
      <c r="EI472" s="75"/>
      <c r="EJ472" s="75"/>
      <c r="EK472" s="75"/>
      <c r="EL472" s="75"/>
      <c r="EM472" s="75"/>
      <c r="EN472" s="75"/>
      <c r="EO472" s="75"/>
      <c r="EP472" s="75"/>
      <c r="EQ472" s="75"/>
      <c r="ER472" s="75"/>
      <c r="ES472" s="75"/>
      <c r="ET472" s="75"/>
      <c r="EU472" s="75"/>
      <c r="EV472" s="75"/>
      <c r="EW472" s="75"/>
      <c r="EX472" s="75"/>
      <c r="EY472" s="75"/>
      <c r="EZ472" s="75"/>
      <c r="FA472" s="75"/>
      <c r="FB472" s="75"/>
      <c r="FC472" s="75"/>
      <c r="FD472" s="75"/>
      <c r="FE472" s="75"/>
      <c r="FF472" s="75"/>
      <c r="FG472" s="75"/>
      <c r="FH472" s="75"/>
      <c r="FI472" s="75"/>
      <c r="FJ472" s="75"/>
      <c r="FK472" s="75"/>
      <c r="FL472" s="75"/>
      <c r="FM472" s="75"/>
      <c r="FN472" s="75"/>
      <c r="FO472" s="75"/>
      <c r="FP472" s="75"/>
      <c r="FQ472" s="75"/>
      <c r="FR472" s="75"/>
      <c r="FS472" s="75"/>
      <c r="FT472" s="75"/>
      <c r="FU472" s="75"/>
      <c r="FV472" s="75"/>
      <c r="FW472" s="75"/>
      <c r="FX472" s="75"/>
      <c r="FY472" s="75"/>
      <c r="FZ472" s="75"/>
      <c r="GA472" s="75"/>
      <c r="GB472" s="75"/>
      <c r="GC472" s="75"/>
      <c r="GD472" s="75"/>
      <c r="GE472" s="75"/>
      <c r="GF472" s="75"/>
      <c r="GG472" s="75"/>
      <c r="GH472" s="75"/>
      <c r="GI472" s="75"/>
      <c r="GJ472" s="75"/>
      <c r="GK472" s="75"/>
      <c r="GL472" s="75"/>
      <c r="GM472" s="75"/>
      <c r="GN472" s="75"/>
      <c r="GO472" s="75"/>
      <c r="GP472" s="75"/>
      <c r="GQ472" s="75"/>
      <c r="GR472" s="75"/>
      <c r="GS472" s="75"/>
      <c r="GT472" s="75"/>
      <c r="GU472" s="75"/>
      <c r="GV472" s="75"/>
      <c r="GW472" s="75"/>
      <c r="GX472" s="75"/>
      <c r="GY472" s="75"/>
      <c r="GZ472" s="75"/>
      <c r="HA472" s="75"/>
      <c r="HB472" s="75"/>
      <c r="HC472" s="75"/>
      <c r="HD472" s="75"/>
      <c r="HE472" s="75"/>
      <c r="HF472" s="75"/>
      <c r="HG472" s="75"/>
      <c r="HH472" s="75"/>
      <c r="HI472" s="75"/>
      <c r="HJ472" s="75"/>
      <c r="HK472" s="75"/>
      <c r="HL472" s="75"/>
      <c r="HM472" s="75"/>
      <c r="HN472" s="75"/>
      <c r="HO472" s="75"/>
      <c r="HP472" s="75"/>
      <c r="HQ472" s="75"/>
      <c r="HR472" s="75"/>
      <c r="HS472" s="75"/>
      <c r="HT472" s="75"/>
      <c r="HU472" s="75"/>
      <c r="HV472" s="75"/>
      <c r="HW472" s="75"/>
      <c r="HX472" s="75"/>
      <c r="HY472" s="75"/>
      <c r="HZ472" s="75"/>
      <c r="IA472" s="75"/>
      <c r="IB472" s="75"/>
      <c r="IC472" s="75"/>
      <c r="ID472" s="75"/>
      <c r="IE472" s="75"/>
      <c r="IF472" s="75"/>
      <c r="IG472" s="75"/>
      <c r="IH472" s="75"/>
      <c r="II472" s="75"/>
      <c r="IJ472" s="75"/>
      <c r="IK472" s="75"/>
      <c r="IL472" s="75"/>
      <c r="IM472" s="75"/>
      <c r="IN472" s="75"/>
      <c r="IO472" s="75"/>
      <c r="IP472" s="75"/>
      <c r="IQ472" s="75"/>
      <c r="IR472" s="75"/>
      <c r="IS472" s="75"/>
      <c r="IT472" s="75"/>
      <c r="IU472" s="75"/>
      <c r="IV472" s="75"/>
      <c r="IW472" s="75"/>
      <c r="IX472" s="75"/>
      <c r="IY472" s="75"/>
      <c r="IZ472" s="75"/>
      <c r="JA472" s="75"/>
      <c r="JB472" s="75"/>
      <c r="JC472" s="75"/>
      <c r="JD472" s="75"/>
      <c r="JE472" s="75"/>
      <c r="JF472" s="75"/>
      <c r="JG472" s="75"/>
      <c r="JH472" s="75"/>
      <c r="JI472" s="75"/>
      <c r="JJ472" s="75"/>
      <c r="JK472" s="75"/>
      <c r="JL472" s="75"/>
      <c r="JM472" s="75"/>
      <c r="JN472" s="75"/>
      <c r="JO472" s="75"/>
      <c r="JP472" s="75"/>
      <c r="JQ472" s="75"/>
      <c r="JR472" s="75"/>
      <c r="JS472" s="75"/>
      <c r="JT472" s="75"/>
      <c r="JU472" s="75"/>
      <c r="JV472" s="75"/>
      <c r="JW472" s="75"/>
      <c r="JX472" s="75"/>
      <c r="JY472" s="75"/>
      <c r="JZ472" s="75"/>
      <c r="KA472" s="75"/>
      <c r="KB472" s="75"/>
      <c r="KC472" s="75"/>
      <c r="KD472" s="75"/>
      <c r="KE472" s="75"/>
      <c r="KF472" s="75"/>
      <c r="KG472" s="75"/>
      <c r="KH472" s="75"/>
      <c r="KI472" s="75"/>
      <c r="KJ472" s="75"/>
      <c r="KK472" s="75"/>
      <c r="KL472" s="75"/>
      <c r="KM472" s="75"/>
      <c r="KN472" s="75"/>
      <c r="KO472" s="75"/>
      <c r="KP472" s="75"/>
      <c r="KQ472" s="75"/>
      <c r="KR472" s="75"/>
      <c r="KS472" s="75"/>
      <c r="KT472" s="75"/>
      <c r="KU472" s="75"/>
      <c r="KV472" s="75"/>
      <c r="KW472" s="75"/>
      <c r="KX472" s="75"/>
      <c r="KY472" s="75"/>
      <c r="KZ472" s="75"/>
      <c r="LA472" s="75"/>
      <c r="LB472" s="75"/>
      <c r="LC472" s="75"/>
      <c r="LD472" s="75"/>
      <c r="LE472" s="75"/>
      <c r="LF472" s="75"/>
      <c r="LG472" s="75"/>
      <c r="LH472" s="75"/>
      <c r="LI472" s="75"/>
      <c r="LJ472" s="75"/>
      <c r="LK472" s="75"/>
      <c r="LL472" s="75"/>
      <c r="LM472" s="75"/>
      <c r="LN472" s="75"/>
      <c r="LO472" s="75"/>
      <c r="LP472" s="75"/>
      <c r="LQ472" s="75"/>
      <c r="LR472" s="75"/>
      <c r="LS472" s="75"/>
      <c r="LT472" s="75"/>
      <c r="LU472" s="75"/>
      <c r="LV472" s="75"/>
      <c r="LW472" s="75"/>
      <c r="LX472" s="75"/>
      <c r="LY472" s="75"/>
      <c r="LZ472" s="75"/>
      <c r="MA472" s="75"/>
      <c r="MB472" s="75"/>
      <c r="MC472" s="75"/>
      <c r="MD472" s="75"/>
      <c r="ME472" s="75"/>
      <c r="MF472" s="75"/>
      <c r="MG472" s="75"/>
      <c r="MH472" s="75"/>
      <c r="MI472" s="75"/>
      <c r="MJ472" s="75"/>
      <c r="MK472" s="75"/>
      <c r="ML472" s="75"/>
      <c r="MM472" s="75"/>
      <c r="MN472" s="75"/>
      <c r="MO472" s="75"/>
      <c r="MP472" s="75"/>
      <c r="MQ472" s="75"/>
      <c r="MR472" s="75"/>
      <c r="MS472" s="75"/>
      <c r="MT472" s="75"/>
      <c r="MU472" s="75"/>
      <c r="MV472" s="75"/>
      <c r="MW472" s="75"/>
      <c r="MX472" s="75"/>
      <c r="MY472" s="75"/>
      <c r="MZ472" s="75"/>
      <c r="NA472" s="75"/>
      <c r="NB472" s="75"/>
      <c r="NC472" s="75"/>
      <c r="ND472" s="75"/>
      <c r="NE472" s="75"/>
      <c r="NF472" s="75"/>
      <c r="NG472" s="75"/>
      <c r="NH472" s="75"/>
      <c r="NI472" s="75"/>
      <c r="NJ472" s="75"/>
      <c r="NK472" s="75"/>
      <c r="NL472" s="75"/>
      <c r="NM472" s="75"/>
      <c r="NN472" s="75"/>
      <c r="NO472" s="75"/>
      <c r="NP472" s="75"/>
      <c r="NQ472" s="75"/>
      <c r="NR472" s="75"/>
      <c r="NS472" s="75"/>
      <c r="NT472" s="75"/>
      <c r="NU472" s="75"/>
      <c r="NV472" s="75"/>
      <c r="NW472" s="75"/>
      <c r="NX472" s="75"/>
      <c r="NY472" s="75"/>
      <c r="NZ472" s="75"/>
      <c r="OA472" s="75"/>
      <c r="OB472" s="75"/>
      <c r="OC472" s="75"/>
      <c r="OD472" s="75"/>
      <c r="OE472" s="75"/>
      <c r="OF472" s="75"/>
      <c r="OG472" s="75"/>
      <c r="OH472" s="75"/>
      <c r="OI472" s="75"/>
      <c r="OJ472" s="75"/>
      <c r="OK472" s="75"/>
      <c r="OL472" s="75"/>
      <c r="OM472" s="75"/>
      <c r="ON472" s="75"/>
      <c r="OO472" s="75"/>
      <c r="OP472" s="75"/>
      <c r="OQ472" s="75"/>
      <c r="OR472" s="75"/>
      <c r="OS472" s="75"/>
      <c r="OT472" s="75"/>
      <c r="OU472" s="75"/>
      <c r="OV472" s="75"/>
      <c r="OW472" s="75"/>
      <c r="OX472" s="75"/>
      <c r="OY472" s="75"/>
      <c r="OZ472" s="75"/>
      <c r="PA472" s="75"/>
      <c r="PB472" s="75"/>
      <c r="PC472" s="75"/>
      <c r="PD472" s="75"/>
      <c r="PE472" s="75"/>
      <c r="PF472" s="75"/>
      <c r="PG472" s="75"/>
      <c r="PH472" s="75"/>
      <c r="PI472" s="75"/>
      <c r="PJ472" s="75"/>
      <c r="PK472" s="75"/>
      <c r="PL472" s="75"/>
      <c r="PM472" s="75"/>
      <c r="PN472" s="75"/>
      <c r="PO472" s="75"/>
      <c r="PP472" s="75"/>
      <c r="PQ472" s="75"/>
      <c r="PR472" s="75"/>
      <c r="PS472" s="75"/>
      <c r="PT472" s="75"/>
      <c r="PU472" s="75"/>
      <c r="PV472" s="75"/>
      <c r="PW472" s="75"/>
      <c r="PX472" s="75"/>
      <c r="PY472" s="75"/>
      <c r="PZ472" s="75"/>
      <c r="QA472" s="75"/>
      <c r="QB472" s="75"/>
      <c r="QC472" s="75"/>
      <c r="QD472" s="75"/>
      <c r="QE472" s="75"/>
      <c r="QF472" s="75"/>
      <c r="QG472" s="75"/>
      <c r="QH472" s="75"/>
      <c r="QI472" s="75"/>
      <c r="QJ472" s="75"/>
      <c r="QK472" s="75"/>
      <c r="QL472" s="75"/>
      <c r="QM472" s="75"/>
      <c r="QN472" s="75"/>
      <c r="QO472" s="75"/>
      <c r="QP472" s="75"/>
      <c r="QQ472" s="75"/>
      <c r="QR472" s="75"/>
      <c r="QS472" s="75"/>
      <c r="QT472" s="75"/>
      <c r="QU472" s="75"/>
      <c r="QV472" s="75"/>
      <c r="QW472" s="75"/>
      <c r="QX472" s="75"/>
      <c r="QY472" s="75"/>
      <c r="QZ472" s="75"/>
      <c r="RA472" s="75"/>
      <c r="RB472" s="75"/>
      <c r="RC472" s="75"/>
      <c r="RD472" s="75"/>
      <c r="RE472" s="75"/>
      <c r="RF472" s="75"/>
      <c r="RG472" s="75"/>
      <c r="RH472" s="75"/>
      <c r="RI472" s="75"/>
      <c r="RJ472" s="75"/>
      <c r="RK472" s="75"/>
      <c r="RL472" s="75"/>
      <c r="RM472" s="75"/>
      <c r="RN472" s="75"/>
      <c r="RO472" s="75"/>
      <c r="RP472" s="75"/>
      <c r="RQ472" s="75"/>
      <c r="RR472" s="75"/>
      <c r="RS472" s="75"/>
      <c r="RT472" s="75"/>
      <c r="RU472" s="75"/>
      <c r="RV472" s="75"/>
      <c r="RW472" s="75"/>
      <c r="RX472" s="75"/>
      <c r="RY472" s="75"/>
      <c r="RZ472" s="75"/>
      <c r="SA472" s="75"/>
      <c r="SB472" s="75"/>
      <c r="SC472" s="75"/>
      <c r="SD472" s="75"/>
      <c r="SE472" s="75"/>
      <c r="SF472" s="75"/>
      <c r="SG472" s="75"/>
      <c r="SH472" s="75"/>
      <c r="SI472" s="75"/>
      <c r="SJ472" s="75"/>
      <c r="SK472" s="75"/>
      <c r="SL472" s="75"/>
      <c r="SM472" s="75"/>
      <c r="SN472" s="75"/>
      <c r="SO472" s="75"/>
      <c r="SP472" s="75"/>
      <c r="SQ472" s="75"/>
      <c r="SR472" s="75"/>
      <c r="SS472" s="75"/>
      <c r="ST472" s="75"/>
      <c r="SU472" s="75"/>
      <c r="SV472" s="75"/>
      <c r="SW472" s="75"/>
      <c r="SX472" s="75"/>
      <c r="SY472" s="75"/>
      <c r="SZ472" s="75"/>
      <c r="TA472" s="75"/>
      <c r="TB472" s="75"/>
      <c r="TC472" s="75"/>
      <c r="TD472" s="75"/>
      <c r="TE472" s="75"/>
      <c r="TF472" s="75"/>
      <c r="TG472" s="75"/>
      <c r="TH472" s="75"/>
      <c r="TI472" s="75"/>
      <c r="TJ472" s="75"/>
      <c r="TK472" s="75"/>
      <c r="TL472" s="75"/>
      <c r="TM472" s="75"/>
      <c r="TN472" s="75"/>
      <c r="TO472" s="75"/>
      <c r="TP472" s="75"/>
      <c r="TQ472" s="75"/>
      <c r="TR472" s="75"/>
      <c r="TS472" s="75"/>
      <c r="TT472" s="75"/>
      <c r="TU472" s="75"/>
      <c r="TV472" s="75"/>
      <c r="TW472" s="75"/>
      <c r="TX472" s="75"/>
      <c r="TY472" s="75"/>
      <c r="TZ472" s="75"/>
      <c r="UA472" s="75"/>
      <c r="UB472" s="75"/>
      <c r="UC472" s="75"/>
      <c r="UD472" s="75"/>
      <c r="UE472" s="75"/>
      <c r="UF472" s="75"/>
      <c r="UG472" s="75"/>
      <c r="UH472" s="75"/>
      <c r="UI472" s="75"/>
      <c r="UJ472" s="75"/>
      <c r="UK472" s="75"/>
      <c r="UL472" s="75"/>
      <c r="UM472" s="75"/>
      <c r="UN472" s="75"/>
      <c r="UO472" s="75"/>
      <c r="UP472" s="75"/>
      <c r="UQ472" s="75"/>
      <c r="UR472" s="75"/>
      <c r="US472" s="75"/>
      <c r="UT472" s="75"/>
      <c r="UU472" s="75"/>
      <c r="UV472" s="75"/>
      <c r="UW472" s="75"/>
      <c r="UX472" s="75"/>
      <c r="UY472" s="75"/>
      <c r="UZ472" s="75"/>
      <c r="VA472" s="75"/>
      <c r="VB472" s="75"/>
      <c r="VC472" s="75"/>
      <c r="VD472" s="75"/>
      <c r="VE472" s="75"/>
      <c r="VF472" s="75"/>
      <c r="VG472" s="75"/>
      <c r="VH472" s="75"/>
      <c r="VI472" s="75"/>
      <c r="VJ472" s="75"/>
      <c r="VK472" s="75"/>
      <c r="VL472" s="75"/>
      <c r="VM472" s="75"/>
      <c r="VN472" s="75"/>
      <c r="VO472" s="75"/>
      <c r="VP472" s="75"/>
      <c r="VQ472" s="75"/>
      <c r="VR472" s="75"/>
      <c r="VS472" s="75"/>
      <c r="VT472" s="75"/>
      <c r="VU472" s="75"/>
      <c r="VV472" s="75"/>
      <c r="VW472" s="75"/>
      <c r="VX472" s="75"/>
      <c r="VY472" s="75"/>
      <c r="VZ472" s="75"/>
      <c r="WA472" s="75"/>
      <c r="WB472" s="75"/>
      <c r="WC472" s="75"/>
      <c r="WD472" s="75"/>
      <c r="WE472" s="75"/>
      <c r="WF472" s="75"/>
      <c r="WG472" s="75"/>
      <c r="WH472" s="75"/>
      <c r="WI472" s="75"/>
      <c r="WJ472" s="75"/>
      <c r="WK472" s="75"/>
      <c r="WL472" s="75"/>
      <c r="WM472" s="75"/>
      <c r="WN472" s="75"/>
      <c r="WO472" s="75"/>
      <c r="WP472" s="75"/>
      <c r="WQ472" s="75"/>
      <c r="WR472" s="75"/>
      <c r="WS472" s="75"/>
      <c r="WT472" s="75"/>
      <c r="WU472" s="75"/>
      <c r="WV472" s="75"/>
      <c r="WW472" s="75"/>
      <c r="WX472" s="75"/>
      <c r="WY472" s="75"/>
      <c r="WZ472" s="75"/>
      <c r="XA472" s="75"/>
      <c r="XB472" s="75"/>
      <c r="XC472" s="75"/>
      <c r="XD472" s="75"/>
      <c r="XE472" s="75"/>
      <c r="XF472" s="75"/>
      <c r="XG472" s="75"/>
      <c r="XH472" s="75"/>
      <c r="XI472" s="75"/>
      <c r="XJ472" s="75"/>
      <c r="XK472" s="75"/>
      <c r="XL472" s="75"/>
      <c r="XM472" s="75"/>
      <c r="XN472" s="75"/>
      <c r="XO472" s="75"/>
      <c r="XP472" s="75"/>
      <c r="XQ472" s="75"/>
      <c r="XR472" s="75"/>
      <c r="XS472" s="75"/>
      <c r="XT472" s="75"/>
      <c r="XU472" s="75"/>
      <c r="XV472" s="75"/>
      <c r="XW472" s="75"/>
      <c r="XX472" s="75"/>
      <c r="XY472" s="75"/>
      <c r="XZ472" s="75"/>
      <c r="YA472" s="75"/>
      <c r="YB472" s="75"/>
      <c r="YC472" s="75"/>
      <c r="YD472" s="75"/>
      <c r="YE472" s="75"/>
      <c r="YF472" s="75"/>
      <c r="YG472" s="75"/>
      <c r="YH472" s="75"/>
      <c r="YI472" s="75"/>
      <c r="YJ472" s="75"/>
      <c r="YK472" s="75"/>
      <c r="YL472" s="75"/>
      <c r="YM472" s="75"/>
      <c r="YN472" s="75"/>
      <c r="YO472" s="75"/>
      <c r="YP472" s="75"/>
      <c r="YQ472" s="75"/>
      <c r="YR472" s="75"/>
      <c r="YS472" s="75"/>
      <c r="YT472" s="75"/>
      <c r="YU472" s="75"/>
      <c r="YV472" s="75"/>
      <c r="YW472" s="75"/>
      <c r="YX472" s="75"/>
      <c r="YY472" s="75"/>
      <c r="YZ472" s="75"/>
      <c r="ZA472" s="75"/>
      <c r="ZB472" s="75"/>
      <c r="ZC472" s="75"/>
      <c r="ZD472" s="75"/>
      <c r="ZE472" s="75"/>
      <c r="ZF472" s="75"/>
      <c r="ZG472" s="75"/>
      <c r="ZH472" s="75"/>
      <c r="ZI472" s="75"/>
      <c r="ZJ472" s="75"/>
      <c r="ZK472" s="75"/>
      <c r="ZL472" s="75"/>
      <c r="ZM472" s="75"/>
      <c r="ZN472" s="75"/>
      <c r="ZO472" s="75"/>
      <c r="ZP472" s="75"/>
      <c r="ZQ472" s="75"/>
      <c r="ZR472" s="75"/>
      <c r="ZS472" s="75"/>
      <c r="ZT472" s="75"/>
      <c r="ZU472" s="75"/>
      <c r="ZV472" s="75"/>
      <c r="ZW472" s="75"/>
      <c r="ZX472" s="75"/>
      <c r="ZY472" s="75"/>
      <c r="ZZ472" s="75"/>
      <c r="AAA472" s="75"/>
      <c r="AAB472" s="75"/>
      <c r="AAC472" s="75"/>
      <c r="AAD472" s="75"/>
      <c r="AAE472" s="75"/>
      <c r="AAF472" s="75"/>
      <c r="AAG472" s="75"/>
      <c r="AAH472" s="75"/>
      <c r="AAI472" s="75"/>
      <c r="AAJ472" s="75"/>
      <c r="AAK472" s="75"/>
      <c r="AAL472" s="75"/>
      <c r="AAM472" s="75"/>
      <c r="AAN472" s="75"/>
      <c r="AAO472" s="75"/>
      <c r="AAP472" s="75"/>
      <c r="AAQ472" s="75"/>
      <c r="AAR472" s="75"/>
      <c r="AAS472" s="75"/>
      <c r="AAT472" s="75"/>
      <c r="AAU472" s="75"/>
      <c r="AAV472" s="75"/>
      <c r="AAW472" s="75"/>
      <c r="AAX472" s="75"/>
      <c r="AAY472" s="75"/>
      <c r="AAZ472" s="75"/>
      <c r="ABA472" s="75"/>
      <c r="ABB472" s="75"/>
      <c r="ABC472" s="75"/>
      <c r="ABD472" s="75"/>
      <c r="ABE472" s="75"/>
      <c r="ABF472" s="75"/>
      <c r="ABG472" s="75"/>
      <c r="ABH472" s="75"/>
      <c r="ABI472" s="75"/>
      <c r="ABJ472" s="75"/>
      <c r="ABK472" s="75"/>
      <c r="ABL472" s="75"/>
      <c r="ABM472" s="75"/>
      <c r="ABN472" s="75"/>
      <c r="ABO472" s="75"/>
      <c r="ABP472" s="75"/>
      <c r="ABQ472" s="75"/>
      <c r="ABR472" s="75"/>
      <c r="ABS472" s="75"/>
      <c r="ABT472" s="75"/>
      <c r="ABU472" s="75"/>
      <c r="ABV472" s="75"/>
      <c r="ABW472" s="75"/>
      <c r="ABX472" s="75"/>
      <c r="ABY472" s="75"/>
      <c r="ABZ472" s="75"/>
      <c r="ACA472" s="75"/>
      <c r="ACB472" s="75"/>
      <c r="ACC472" s="75"/>
      <c r="ACD472" s="75"/>
      <c r="ACE472" s="75"/>
      <c r="ACF472" s="75"/>
      <c r="ACG472" s="75"/>
      <c r="ACH472" s="75"/>
      <c r="ACI472" s="75"/>
      <c r="ACJ472" s="75"/>
      <c r="ACK472" s="75"/>
      <c r="ACL472" s="75"/>
      <c r="ACM472" s="75"/>
      <c r="ACN472" s="75"/>
      <c r="ACO472" s="75"/>
      <c r="ACP472" s="75"/>
      <c r="ACQ472" s="75"/>
      <c r="ACR472" s="75"/>
      <c r="ACS472" s="75"/>
      <c r="ACT472" s="75"/>
      <c r="ACU472" s="75"/>
      <c r="ACV472" s="75"/>
      <c r="ACW472" s="75"/>
      <c r="ACX472" s="75"/>
      <c r="ACY472" s="75"/>
      <c r="ACZ472" s="75"/>
      <c r="ADA472" s="75"/>
      <c r="ADB472" s="75"/>
      <c r="ADC472" s="75"/>
      <c r="ADD472" s="75"/>
      <c r="ADE472" s="75"/>
      <c r="ADF472" s="75"/>
      <c r="ADG472" s="75"/>
      <c r="ADH472" s="75"/>
      <c r="ADI472" s="75"/>
      <c r="ADJ472" s="75"/>
      <c r="ADK472" s="75"/>
      <c r="ADL472" s="75"/>
      <c r="ADM472" s="75"/>
      <c r="ADN472" s="75"/>
      <c r="ADO472" s="75"/>
      <c r="ADP472" s="75"/>
      <c r="ADQ472" s="75"/>
      <c r="ADR472" s="75"/>
      <c r="ADS472" s="75"/>
      <c r="ADT472" s="75"/>
      <c r="ADU472" s="75"/>
      <c r="ADV472" s="75"/>
      <c r="ADW472" s="75"/>
      <c r="ADX472" s="75"/>
      <c r="ADY472" s="75"/>
      <c r="ADZ472" s="75"/>
      <c r="AEA472" s="75"/>
      <c r="AEB472" s="75"/>
      <c r="AEC472" s="75"/>
      <c r="AED472" s="75"/>
      <c r="AEE472" s="75"/>
      <c r="AEF472" s="75"/>
      <c r="AEG472" s="75"/>
      <c r="AEH472" s="75"/>
      <c r="AEI472" s="75"/>
      <c r="AEJ472" s="75"/>
      <c r="AEK472" s="75"/>
      <c r="AEL472" s="75"/>
      <c r="AEM472" s="75"/>
      <c r="AEN472" s="75"/>
      <c r="AEO472" s="75"/>
      <c r="AEP472" s="75"/>
      <c r="AEQ472" s="75"/>
      <c r="AER472" s="75"/>
      <c r="AES472" s="75"/>
      <c r="AET472" s="75"/>
      <c r="AEU472" s="75"/>
      <c r="AEV472" s="75"/>
      <c r="AEW472" s="75"/>
      <c r="AEX472" s="75"/>
      <c r="AEY472" s="75"/>
      <c r="AEZ472" s="75"/>
      <c r="AFA472" s="75"/>
      <c r="AFB472" s="75"/>
      <c r="AFC472" s="75"/>
      <c r="AFD472" s="75"/>
      <c r="AFE472" s="75"/>
      <c r="AFF472" s="75"/>
      <c r="AFG472" s="75"/>
      <c r="AFH472" s="75"/>
      <c r="AFI472" s="75"/>
      <c r="AFJ472" s="75"/>
      <c r="AFK472" s="75"/>
      <c r="AFL472" s="75"/>
      <c r="AFM472" s="75"/>
      <c r="AFN472" s="75"/>
      <c r="AFO472" s="75"/>
      <c r="AFP472" s="75"/>
      <c r="AFQ472" s="75"/>
      <c r="AFR472" s="75"/>
      <c r="AFS472" s="75"/>
      <c r="AFT472" s="75"/>
      <c r="AFU472" s="75"/>
      <c r="AFV472" s="75"/>
      <c r="AFW472" s="75"/>
      <c r="AFX472" s="75"/>
      <c r="AFY472" s="75"/>
      <c r="AFZ472" s="75"/>
      <c r="AGA472" s="75"/>
      <c r="AGB472" s="75"/>
      <c r="AGC472" s="75"/>
      <c r="AGD472" s="75"/>
      <c r="AGE472" s="75"/>
      <c r="AGF472" s="75"/>
      <c r="AGG472" s="75"/>
      <c r="AGH472" s="75"/>
      <c r="AGI472" s="75"/>
      <c r="AGJ472" s="75"/>
      <c r="AGK472" s="75"/>
      <c r="AGL472" s="75"/>
      <c r="AGM472" s="75"/>
      <c r="AGN472" s="75"/>
      <c r="AGO472" s="75"/>
      <c r="AGP472" s="75"/>
      <c r="AGQ472" s="75"/>
      <c r="AGR472" s="75"/>
      <c r="AGS472" s="75"/>
      <c r="AGT472" s="75"/>
      <c r="AGU472" s="75"/>
      <c r="AGV472" s="75"/>
      <c r="AGW472" s="75"/>
      <c r="AGX472" s="75"/>
      <c r="AGY472" s="75"/>
      <c r="AGZ472" s="75"/>
      <c r="AHA472" s="75"/>
      <c r="AHB472" s="75"/>
      <c r="AHC472" s="75"/>
      <c r="AHD472" s="75"/>
      <c r="AHE472" s="75"/>
      <c r="AHF472" s="75"/>
      <c r="AHG472" s="75"/>
      <c r="AHH472" s="75"/>
      <c r="AHI472" s="75"/>
      <c r="AHJ472" s="75"/>
      <c r="AHK472" s="75"/>
      <c r="AHL472" s="75"/>
      <c r="AHM472" s="75"/>
      <c r="AHN472" s="75"/>
      <c r="AHO472" s="75"/>
      <c r="AHP472" s="75"/>
      <c r="AHQ472" s="75"/>
      <c r="AHR472" s="75"/>
      <c r="AHS472" s="75"/>
      <c r="AHT472" s="75"/>
      <c r="AHU472" s="75"/>
      <c r="AHV472" s="75"/>
      <c r="AHW472" s="75"/>
      <c r="AHX472" s="75"/>
      <c r="AHY472" s="75"/>
      <c r="AHZ472" s="75"/>
      <c r="AIA472" s="75"/>
      <c r="AIB472" s="75"/>
      <c r="AIC472" s="75"/>
      <c r="AID472" s="75"/>
      <c r="AIE472" s="75"/>
      <c r="AIF472" s="75"/>
      <c r="AIG472" s="75"/>
      <c r="AIH472" s="75"/>
      <c r="AII472" s="75"/>
      <c r="AIJ472" s="75"/>
      <c r="AIK472" s="75"/>
      <c r="AIL472" s="75"/>
      <c r="AIM472" s="75"/>
      <c r="AIN472" s="75"/>
      <c r="AIO472" s="75"/>
      <c r="AIP472" s="75"/>
      <c r="AIQ472" s="75"/>
      <c r="AIR472" s="75"/>
      <c r="AIS472" s="75"/>
      <c r="AIT472" s="75"/>
      <c r="AIU472" s="75"/>
      <c r="AIV472" s="75"/>
      <c r="AIW472" s="75"/>
      <c r="AIX472" s="75"/>
      <c r="AIY472" s="75"/>
      <c r="AIZ472" s="75"/>
      <c r="AJA472" s="75"/>
      <c r="AJB472" s="75"/>
      <c r="AJC472" s="75"/>
      <c r="AJD472" s="75"/>
      <c r="AJE472" s="75"/>
      <c r="AJF472" s="75"/>
      <c r="AJG472" s="75"/>
      <c r="AJH472" s="75"/>
      <c r="AJI472" s="75"/>
      <c r="AJJ472" s="75"/>
      <c r="AJK472" s="75"/>
      <c r="AJL472" s="75"/>
      <c r="AJM472" s="75"/>
      <c r="AJN472" s="75"/>
      <c r="AJO472" s="75"/>
      <c r="AJP472" s="75"/>
      <c r="AJQ472" s="75"/>
      <c r="AJR472" s="75"/>
      <c r="AJS472" s="75"/>
      <c r="AJT472" s="75"/>
      <c r="AJU472" s="75"/>
      <c r="AJV472" s="75"/>
      <c r="AJW472" s="75"/>
      <c r="AJX472" s="75"/>
      <c r="AJY472" s="75"/>
      <c r="AJZ472" s="75"/>
      <c r="AKA472" s="75"/>
      <c r="AKB472" s="75"/>
      <c r="AKC472" s="75"/>
      <c r="AKD472" s="75"/>
      <c r="AKE472" s="75"/>
      <c r="AKF472" s="75"/>
      <c r="AKG472" s="75"/>
      <c r="AKH472" s="75"/>
      <c r="AKI472" s="75"/>
      <c r="AKJ472" s="75"/>
      <c r="AKK472" s="75"/>
      <c r="AKL472" s="75"/>
      <c r="AKM472" s="75"/>
      <c r="AKN472" s="75"/>
      <c r="AKO472" s="75"/>
      <c r="AKP472" s="75"/>
      <c r="AKQ472" s="75"/>
      <c r="AKR472" s="75"/>
      <c r="AKS472" s="75"/>
      <c r="AKT472" s="75"/>
      <c r="AKU472" s="75"/>
      <c r="AKV472" s="75"/>
      <c r="AKW472" s="75"/>
      <c r="AKX472" s="75"/>
      <c r="AKY472" s="75"/>
      <c r="AKZ472" s="75"/>
      <c r="ALA472" s="75"/>
      <c r="ALB472" s="75"/>
      <c r="ALC472" s="75"/>
      <c r="ALD472" s="75"/>
      <c r="ALE472" s="75"/>
      <c r="ALF472" s="75"/>
      <c r="ALG472" s="75"/>
      <c r="ALH472" s="75"/>
      <c r="ALI472" s="75"/>
      <c r="ALJ472" s="75"/>
      <c r="ALK472" s="75"/>
      <c r="ALL472" s="75"/>
      <c r="ALM472" s="75"/>
      <c r="ALN472" s="75"/>
      <c r="ALO472" s="75"/>
    </row>
    <row r="473" spans="1:1003" s="235" customFormat="1" ht="14.55" customHeight="1" outlineLevel="1" x14ac:dyDescent="0.25">
      <c r="A473" s="230" t="s">
        <v>1422</v>
      </c>
      <c r="B473" s="343" t="str">
        <f>"13"</f>
        <v>13</v>
      </c>
      <c r="C473" s="75" t="s">
        <v>2134</v>
      </c>
      <c r="D473" s="127" t="s">
        <v>2135</v>
      </c>
      <c r="E473" s="232"/>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c r="AY473" s="75"/>
      <c r="AZ473" s="75"/>
      <c r="BA473" s="75"/>
      <c r="BB473" s="75"/>
      <c r="BC473" s="75"/>
      <c r="BD473" s="75"/>
      <c r="BE473" s="75"/>
      <c r="BF473" s="75"/>
      <c r="BG473" s="75"/>
      <c r="BH473" s="75"/>
      <c r="BI473" s="75"/>
      <c r="BJ473" s="75"/>
      <c r="BK473" s="75"/>
      <c r="BL473" s="75"/>
      <c r="BM473" s="75"/>
      <c r="BN473" s="75"/>
      <c r="BO473" s="75"/>
      <c r="BP473" s="75"/>
      <c r="BQ473" s="75"/>
      <c r="BR473" s="75"/>
      <c r="BS473" s="75"/>
      <c r="BT473" s="75"/>
      <c r="BU473" s="75"/>
      <c r="BV473" s="75"/>
      <c r="BW473" s="75"/>
      <c r="BX473" s="75"/>
      <c r="BY473" s="75"/>
      <c r="BZ473" s="75"/>
      <c r="CA473" s="75"/>
      <c r="CB473" s="75"/>
      <c r="CC473" s="75"/>
      <c r="CD473" s="75"/>
      <c r="CE473" s="75"/>
      <c r="CF473" s="75"/>
      <c r="CG473" s="75"/>
      <c r="CH473" s="75"/>
      <c r="CI473" s="75"/>
      <c r="CJ473" s="75"/>
      <c r="CK473" s="75"/>
      <c r="CL473" s="75"/>
      <c r="CM473" s="75"/>
      <c r="CN473" s="75"/>
      <c r="CO473" s="75"/>
      <c r="CP473" s="75"/>
      <c r="CQ473" s="75"/>
      <c r="CR473" s="75"/>
      <c r="CS473" s="75"/>
      <c r="CT473" s="75"/>
      <c r="CU473" s="75"/>
      <c r="CV473" s="75"/>
      <c r="CW473" s="75"/>
      <c r="CX473" s="75"/>
      <c r="CY473" s="75"/>
      <c r="CZ473" s="75"/>
      <c r="DA473" s="75"/>
      <c r="DB473" s="75"/>
      <c r="DC473" s="75"/>
      <c r="DD473" s="75"/>
      <c r="DE473" s="75"/>
      <c r="DF473" s="75"/>
      <c r="DG473" s="75"/>
      <c r="DH473" s="75"/>
      <c r="DI473" s="75"/>
      <c r="DJ473" s="75"/>
      <c r="DK473" s="75"/>
      <c r="DL473" s="75"/>
      <c r="DM473" s="75"/>
      <c r="DN473" s="75"/>
      <c r="DO473" s="75"/>
      <c r="DP473" s="75"/>
      <c r="DQ473" s="75"/>
      <c r="DR473" s="75"/>
      <c r="DS473" s="75"/>
      <c r="DT473" s="75"/>
      <c r="DU473" s="75"/>
      <c r="DV473" s="75"/>
      <c r="DW473" s="75"/>
      <c r="DX473" s="75"/>
      <c r="DY473" s="75"/>
      <c r="DZ473" s="75"/>
      <c r="EA473" s="75"/>
      <c r="EB473" s="75"/>
      <c r="EC473" s="75"/>
      <c r="ED473" s="75"/>
      <c r="EE473" s="75"/>
      <c r="EF473" s="75"/>
      <c r="EG473" s="75"/>
      <c r="EH473" s="75"/>
      <c r="EI473" s="75"/>
      <c r="EJ473" s="75"/>
      <c r="EK473" s="75"/>
      <c r="EL473" s="75"/>
      <c r="EM473" s="75"/>
      <c r="EN473" s="75"/>
      <c r="EO473" s="75"/>
      <c r="EP473" s="75"/>
      <c r="EQ473" s="75"/>
      <c r="ER473" s="75"/>
      <c r="ES473" s="75"/>
      <c r="ET473" s="75"/>
      <c r="EU473" s="75"/>
      <c r="EV473" s="75"/>
      <c r="EW473" s="75"/>
      <c r="EX473" s="75"/>
      <c r="EY473" s="75"/>
      <c r="EZ473" s="75"/>
      <c r="FA473" s="75"/>
      <c r="FB473" s="75"/>
      <c r="FC473" s="75"/>
      <c r="FD473" s="75"/>
      <c r="FE473" s="75"/>
      <c r="FF473" s="75"/>
      <c r="FG473" s="75"/>
      <c r="FH473" s="75"/>
      <c r="FI473" s="75"/>
      <c r="FJ473" s="75"/>
      <c r="FK473" s="75"/>
      <c r="FL473" s="75"/>
      <c r="FM473" s="75"/>
      <c r="FN473" s="75"/>
      <c r="FO473" s="75"/>
      <c r="FP473" s="75"/>
      <c r="FQ473" s="75"/>
      <c r="FR473" s="75"/>
      <c r="FS473" s="75"/>
      <c r="FT473" s="75"/>
      <c r="FU473" s="75"/>
      <c r="FV473" s="75"/>
      <c r="FW473" s="75"/>
      <c r="FX473" s="75"/>
      <c r="FY473" s="75"/>
      <c r="FZ473" s="75"/>
      <c r="GA473" s="75"/>
      <c r="GB473" s="75"/>
      <c r="GC473" s="75"/>
      <c r="GD473" s="75"/>
      <c r="GE473" s="75"/>
      <c r="GF473" s="75"/>
      <c r="GG473" s="75"/>
      <c r="GH473" s="75"/>
      <c r="GI473" s="75"/>
      <c r="GJ473" s="75"/>
      <c r="GK473" s="75"/>
      <c r="GL473" s="75"/>
      <c r="GM473" s="75"/>
      <c r="GN473" s="75"/>
      <c r="GO473" s="75"/>
      <c r="GP473" s="75"/>
      <c r="GQ473" s="75"/>
      <c r="GR473" s="75"/>
      <c r="GS473" s="75"/>
      <c r="GT473" s="75"/>
      <c r="GU473" s="75"/>
      <c r="GV473" s="75"/>
      <c r="GW473" s="75"/>
      <c r="GX473" s="75"/>
      <c r="GY473" s="75"/>
      <c r="GZ473" s="75"/>
      <c r="HA473" s="75"/>
      <c r="HB473" s="75"/>
      <c r="HC473" s="75"/>
      <c r="HD473" s="75"/>
      <c r="HE473" s="75"/>
      <c r="HF473" s="75"/>
      <c r="HG473" s="75"/>
      <c r="HH473" s="75"/>
      <c r="HI473" s="75"/>
      <c r="HJ473" s="75"/>
      <c r="HK473" s="75"/>
      <c r="HL473" s="75"/>
      <c r="HM473" s="75"/>
      <c r="HN473" s="75"/>
      <c r="HO473" s="75"/>
      <c r="HP473" s="75"/>
      <c r="HQ473" s="75"/>
      <c r="HR473" s="75"/>
      <c r="HS473" s="75"/>
      <c r="HT473" s="75"/>
      <c r="HU473" s="75"/>
      <c r="HV473" s="75"/>
      <c r="HW473" s="75"/>
      <c r="HX473" s="75"/>
      <c r="HY473" s="75"/>
      <c r="HZ473" s="75"/>
      <c r="IA473" s="75"/>
      <c r="IB473" s="75"/>
      <c r="IC473" s="75"/>
      <c r="ID473" s="75"/>
      <c r="IE473" s="75"/>
      <c r="IF473" s="75"/>
      <c r="IG473" s="75"/>
      <c r="IH473" s="75"/>
      <c r="II473" s="75"/>
      <c r="IJ473" s="75"/>
      <c r="IK473" s="75"/>
      <c r="IL473" s="75"/>
      <c r="IM473" s="75"/>
      <c r="IN473" s="75"/>
      <c r="IO473" s="75"/>
      <c r="IP473" s="75"/>
      <c r="IQ473" s="75"/>
      <c r="IR473" s="75"/>
      <c r="IS473" s="75"/>
      <c r="IT473" s="75"/>
      <c r="IU473" s="75"/>
      <c r="IV473" s="75"/>
      <c r="IW473" s="75"/>
      <c r="IX473" s="75"/>
      <c r="IY473" s="75"/>
      <c r="IZ473" s="75"/>
      <c r="JA473" s="75"/>
      <c r="JB473" s="75"/>
      <c r="JC473" s="75"/>
      <c r="JD473" s="75"/>
      <c r="JE473" s="75"/>
      <c r="JF473" s="75"/>
      <c r="JG473" s="75"/>
      <c r="JH473" s="75"/>
      <c r="JI473" s="75"/>
      <c r="JJ473" s="75"/>
      <c r="JK473" s="75"/>
      <c r="JL473" s="75"/>
      <c r="JM473" s="75"/>
      <c r="JN473" s="75"/>
      <c r="JO473" s="75"/>
      <c r="JP473" s="75"/>
      <c r="JQ473" s="75"/>
      <c r="JR473" s="75"/>
      <c r="JS473" s="75"/>
      <c r="JT473" s="75"/>
      <c r="JU473" s="75"/>
      <c r="JV473" s="75"/>
      <c r="JW473" s="75"/>
      <c r="JX473" s="75"/>
      <c r="JY473" s="75"/>
      <c r="JZ473" s="75"/>
      <c r="KA473" s="75"/>
      <c r="KB473" s="75"/>
      <c r="KC473" s="75"/>
      <c r="KD473" s="75"/>
      <c r="KE473" s="75"/>
      <c r="KF473" s="75"/>
      <c r="KG473" s="75"/>
      <c r="KH473" s="75"/>
      <c r="KI473" s="75"/>
      <c r="KJ473" s="75"/>
      <c r="KK473" s="75"/>
      <c r="KL473" s="75"/>
      <c r="KM473" s="75"/>
      <c r="KN473" s="75"/>
      <c r="KO473" s="75"/>
      <c r="KP473" s="75"/>
      <c r="KQ473" s="75"/>
      <c r="KR473" s="75"/>
      <c r="KS473" s="75"/>
      <c r="KT473" s="75"/>
      <c r="KU473" s="75"/>
      <c r="KV473" s="75"/>
      <c r="KW473" s="75"/>
      <c r="KX473" s="75"/>
      <c r="KY473" s="75"/>
      <c r="KZ473" s="75"/>
      <c r="LA473" s="75"/>
      <c r="LB473" s="75"/>
      <c r="LC473" s="75"/>
      <c r="LD473" s="75"/>
      <c r="LE473" s="75"/>
      <c r="LF473" s="75"/>
      <c r="LG473" s="75"/>
      <c r="LH473" s="75"/>
      <c r="LI473" s="75"/>
      <c r="LJ473" s="75"/>
      <c r="LK473" s="75"/>
      <c r="LL473" s="75"/>
      <c r="LM473" s="75"/>
      <c r="LN473" s="75"/>
      <c r="LO473" s="75"/>
      <c r="LP473" s="75"/>
      <c r="LQ473" s="75"/>
      <c r="LR473" s="75"/>
      <c r="LS473" s="75"/>
      <c r="LT473" s="75"/>
      <c r="LU473" s="75"/>
      <c r="LV473" s="75"/>
      <c r="LW473" s="75"/>
      <c r="LX473" s="75"/>
      <c r="LY473" s="75"/>
      <c r="LZ473" s="75"/>
      <c r="MA473" s="75"/>
      <c r="MB473" s="75"/>
      <c r="MC473" s="75"/>
      <c r="MD473" s="75"/>
      <c r="ME473" s="75"/>
      <c r="MF473" s="75"/>
      <c r="MG473" s="75"/>
      <c r="MH473" s="75"/>
      <c r="MI473" s="75"/>
      <c r="MJ473" s="75"/>
      <c r="MK473" s="75"/>
      <c r="ML473" s="75"/>
      <c r="MM473" s="75"/>
      <c r="MN473" s="75"/>
      <c r="MO473" s="75"/>
      <c r="MP473" s="75"/>
      <c r="MQ473" s="75"/>
      <c r="MR473" s="75"/>
      <c r="MS473" s="75"/>
      <c r="MT473" s="75"/>
      <c r="MU473" s="75"/>
      <c r="MV473" s="75"/>
      <c r="MW473" s="75"/>
      <c r="MX473" s="75"/>
      <c r="MY473" s="75"/>
      <c r="MZ473" s="75"/>
      <c r="NA473" s="75"/>
      <c r="NB473" s="75"/>
      <c r="NC473" s="75"/>
      <c r="ND473" s="75"/>
      <c r="NE473" s="75"/>
      <c r="NF473" s="75"/>
      <c r="NG473" s="75"/>
      <c r="NH473" s="75"/>
      <c r="NI473" s="75"/>
      <c r="NJ473" s="75"/>
      <c r="NK473" s="75"/>
      <c r="NL473" s="75"/>
      <c r="NM473" s="75"/>
      <c r="NN473" s="75"/>
      <c r="NO473" s="75"/>
      <c r="NP473" s="75"/>
      <c r="NQ473" s="75"/>
      <c r="NR473" s="75"/>
      <c r="NS473" s="75"/>
      <c r="NT473" s="75"/>
      <c r="NU473" s="75"/>
      <c r="NV473" s="75"/>
      <c r="NW473" s="75"/>
      <c r="NX473" s="75"/>
      <c r="NY473" s="75"/>
      <c r="NZ473" s="75"/>
      <c r="OA473" s="75"/>
      <c r="OB473" s="75"/>
      <c r="OC473" s="75"/>
      <c r="OD473" s="75"/>
      <c r="OE473" s="75"/>
      <c r="OF473" s="75"/>
      <c r="OG473" s="75"/>
      <c r="OH473" s="75"/>
      <c r="OI473" s="75"/>
      <c r="OJ473" s="75"/>
      <c r="OK473" s="75"/>
      <c r="OL473" s="75"/>
      <c r="OM473" s="75"/>
      <c r="ON473" s="75"/>
      <c r="OO473" s="75"/>
      <c r="OP473" s="75"/>
      <c r="OQ473" s="75"/>
      <c r="OR473" s="75"/>
      <c r="OS473" s="75"/>
      <c r="OT473" s="75"/>
      <c r="OU473" s="75"/>
      <c r="OV473" s="75"/>
      <c r="OW473" s="75"/>
      <c r="OX473" s="75"/>
      <c r="OY473" s="75"/>
      <c r="OZ473" s="75"/>
      <c r="PA473" s="75"/>
      <c r="PB473" s="75"/>
      <c r="PC473" s="75"/>
      <c r="PD473" s="75"/>
      <c r="PE473" s="75"/>
      <c r="PF473" s="75"/>
      <c r="PG473" s="75"/>
      <c r="PH473" s="75"/>
      <c r="PI473" s="75"/>
      <c r="PJ473" s="75"/>
      <c r="PK473" s="75"/>
      <c r="PL473" s="75"/>
      <c r="PM473" s="75"/>
      <c r="PN473" s="75"/>
      <c r="PO473" s="75"/>
      <c r="PP473" s="75"/>
      <c r="PQ473" s="75"/>
      <c r="PR473" s="75"/>
      <c r="PS473" s="75"/>
      <c r="PT473" s="75"/>
      <c r="PU473" s="75"/>
      <c r="PV473" s="75"/>
      <c r="PW473" s="75"/>
      <c r="PX473" s="75"/>
      <c r="PY473" s="75"/>
      <c r="PZ473" s="75"/>
      <c r="QA473" s="75"/>
      <c r="QB473" s="75"/>
      <c r="QC473" s="75"/>
      <c r="QD473" s="75"/>
      <c r="QE473" s="75"/>
      <c r="QF473" s="75"/>
      <c r="QG473" s="75"/>
      <c r="QH473" s="75"/>
      <c r="QI473" s="75"/>
      <c r="QJ473" s="75"/>
      <c r="QK473" s="75"/>
      <c r="QL473" s="75"/>
      <c r="QM473" s="75"/>
      <c r="QN473" s="75"/>
      <c r="QO473" s="75"/>
      <c r="QP473" s="75"/>
      <c r="QQ473" s="75"/>
      <c r="QR473" s="75"/>
      <c r="QS473" s="75"/>
      <c r="QT473" s="75"/>
      <c r="QU473" s="75"/>
      <c r="QV473" s="75"/>
      <c r="QW473" s="75"/>
      <c r="QX473" s="75"/>
      <c r="QY473" s="75"/>
      <c r="QZ473" s="75"/>
      <c r="RA473" s="75"/>
      <c r="RB473" s="75"/>
      <c r="RC473" s="75"/>
      <c r="RD473" s="75"/>
      <c r="RE473" s="75"/>
      <c r="RF473" s="75"/>
      <c r="RG473" s="75"/>
      <c r="RH473" s="75"/>
      <c r="RI473" s="75"/>
      <c r="RJ473" s="75"/>
      <c r="RK473" s="75"/>
      <c r="RL473" s="75"/>
      <c r="RM473" s="75"/>
      <c r="RN473" s="75"/>
      <c r="RO473" s="75"/>
      <c r="RP473" s="75"/>
      <c r="RQ473" s="75"/>
      <c r="RR473" s="75"/>
      <c r="RS473" s="75"/>
      <c r="RT473" s="75"/>
      <c r="RU473" s="75"/>
      <c r="RV473" s="75"/>
      <c r="RW473" s="75"/>
      <c r="RX473" s="75"/>
      <c r="RY473" s="75"/>
      <c r="RZ473" s="75"/>
      <c r="SA473" s="75"/>
      <c r="SB473" s="75"/>
      <c r="SC473" s="75"/>
      <c r="SD473" s="75"/>
      <c r="SE473" s="75"/>
      <c r="SF473" s="75"/>
      <c r="SG473" s="75"/>
      <c r="SH473" s="75"/>
      <c r="SI473" s="75"/>
      <c r="SJ473" s="75"/>
      <c r="SK473" s="75"/>
      <c r="SL473" s="75"/>
      <c r="SM473" s="75"/>
      <c r="SN473" s="75"/>
      <c r="SO473" s="75"/>
      <c r="SP473" s="75"/>
      <c r="SQ473" s="75"/>
      <c r="SR473" s="75"/>
      <c r="SS473" s="75"/>
      <c r="ST473" s="75"/>
      <c r="SU473" s="75"/>
      <c r="SV473" s="75"/>
      <c r="SW473" s="75"/>
      <c r="SX473" s="75"/>
      <c r="SY473" s="75"/>
      <c r="SZ473" s="75"/>
      <c r="TA473" s="75"/>
      <c r="TB473" s="75"/>
      <c r="TC473" s="75"/>
      <c r="TD473" s="75"/>
      <c r="TE473" s="75"/>
      <c r="TF473" s="75"/>
      <c r="TG473" s="75"/>
      <c r="TH473" s="75"/>
      <c r="TI473" s="75"/>
      <c r="TJ473" s="75"/>
      <c r="TK473" s="75"/>
      <c r="TL473" s="75"/>
      <c r="TM473" s="75"/>
      <c r="TN473" s="75"/>
      <c r="TO473" s="75"/>
      <c r="TP473" s="75"/>
      <c r="TQ473" s="75"/>
      <c r="TR473" s="75"/>
      <c r="TS473" s="75"/>
      <c r="TT473" s="75"/>
      <c r="TU473" s="75"/>
      <c r="TV473" s="75"/>
      <c r="TW473" s="75"/>
      <c r="TX473" s="75"/>
      <c r="TY473" s="75"/>
      <c r="TZ473" s="75"/>
      <c r="UA473" s="75"/>
      <c r="UB473" s="75"/>
      <c r="UC473" s="75"/>
      <c r="UD473" s="75"/>
      <c r="UE473" s="75"/>
      <c r="UF473" s="75"/>
      <c r="UG473" s="75"/>
      <c r="UH473" s="75"/>
      <c r="UI473" s="75"/>
      <c r="UJ473" s="75"/>
      <c r="UK473" s="75"/>
      <c r="UL473" s="75"/>
      <c r="UM473" s="75"/>
      <c r="UN473" s="75"/>
      <c r="UO473" s="75"/>
      <c r="UP473" s="75"/>
      <c r="UQ473" s="75"/>
      <c r="UR473" s="75"/>
      <c r="US473" s="75"/>
      <c r="UT473" s="75"/>
      <c r="UU473" s="75"/>
      <c r="UV473" s="75"/>
      <c r="UW473" s="75"/>
      <c r="UX473" s="75"/>
      <c r="UY473" s="75"/>
      <c r="UZ473" s="75"/>
      <c r="VA473" s="75"/>
      <c r="VB473" s="75"/>
      <c r="VC473" s="75"/>
      <c r="VD473" s="75"/>
      <c r="VE473" s="75"/>
      <c r="VF473" s="75"/>
      <c r="VG473" s="75"/>
      <c r="VH473" s="75"/>
      <c r="VI473" s="75"/>
      <c r="VJ473" s="75"/>
      <c r="VK473" s="75"/>
      <c r="VL473" s="75"/>
      <c r="VM473" s="75"/>
      <c r="VN473" s="75"/>
      <c r="VO473" s="75"/>
      <c r="VP473" s="75"/>
      <c r="VQ473" s="75"/>
      <c r="VR473" s="75"/>
      <c r="VS473" s="75"/>
      <c r="VT473" s="75"/>
      <c r="VU473" s="75"/>
      <c r="VV473" s="75"/>
      <c r="VW473" s="75"/>
      <c r="VX473" s="75"/>
      <c r="VY473" s="75"/>
      <c r="VZ473" s="75"/>
      <c r="WA473" s="75"/>
      <c r="WB473" s="75"/>
      <c r="WC473" s="75"/>
      <c r="WD473" s="75"/>
      <c r="WE473" s="75"/>
      <c r="WF473" s="75"/>
      <c r="WG473" s="75"/>
      <c r="WH473" s="75"/>
      <c r="WI473" s="75"/>
      <c r="WJ473" s="75"/>
      <c r="WK473" s="75"/>
      <c r="WL473" s="75"/>
      <c r="WM473" s="75"/>
      <c r="WN473" s="75"/>
      <c r="WO473" s="75"/>
      <c r="WP473" s="75"/>
      <c r="WQ473" s="75"/>
      <c r="WR473" s="75"/>
      <c r="WS473" s="75"/>
      <c r="WT473" s="75"/>
      <c r="WU473" s="75"/>
      <c r="WV473" s="75"/>
      <c r="WW473" s="75"/>
      <c r="WX473" s="75"/>
      <c r="WY473" s="75"/>
      <c r="WZ473" s="75"/>
      <c r="XA473" s="75"/>
      <c r="XB473" s="75"/>
      <c r="XC473" s="75"/>
      <c r="XD473" s="75"/>
      <c r="XE473" s="75"/>
      <c r="XF473" s="75"/>
      <c r="XG473" s="75"/>
      <c r="XH473" s="75"/>
      <c r="XI473" s="75"/>
      <c r="XJ473" s="75"/>
      <c r="XK473" s="75"/>
      <c r="XL473" s="75"/>
      <c r="XM473" s="75"/>
      <c r="XN473" s="75"/>
      <c r="XO473" s="75"/>
      <c r="XP473" s="75"/>
      <c r="XQ473" s="75"/>
      <c r="XR473" s="75"/>
      <c r="XS473" s="75"/>
      <c r="XT473" s="75"/>
      <c r="XU473" s="75"/>
      <c r="XV473" s="75"/>
      <c r="XW473" s="75"/>
      <c r="XX473" s="75"/>
      <c r="XY473" s="75"/>
      <c r="XZ473" s="75"/>
      <c r="YA473" s="75"/>
      <c r="YB473" s="75"/>
      <c r="YC473" s="75"/>
      <c r="YD473" s="75"/>
      <c r="YE473" s="75"/>
      <c r="YF473" s="75"/>
      <c r="YG473" s="75"/>
      <c r="YH473" s="75"/>
      <c r="YI473" s="75"/>
      <c r="YJ473" s="75"/>
      <c r="YK473" s="75"/>
      <c r="YL473" s="75"/>
      <c r="YM473" s="75"/>
      <c r="YN473" s="75"/>
      <c r="YO473" s="75"/>
      <c r="YP473" s="75"/>
      <c r="YQ473" s="75"/>
      <c r="YR473" s="75"/>
      <c r="YS473" s="75"/>
      <c r="YT473" s="75"/>
      <c r="YU473" s="75"/>
      <c r="YV473" s="75"/>
      <c r="YW473" s="75"/>
      <c r="YX473" s="75"/>
      <c r="YY473" s="75"/>
      <c r="YZ473" s="75"/>
      <c r="ZA473" s="75"/>
      <c r="ZB473" s="75"/>
      <c r="ZC473" s="75"/>
      <c r="ZD473" s="75"/>
      <c r="ZE473" s="75"/>
      <c r="ZF473" s="75"/>
      <c r="ZG473" s="75"/>
      <c r="ZH473" s="75"/>
      <c r="ZI473" s="75"/>
      <c r="ZJ473" s="75"/>
      <c r="ZK473" s="75"/>
      <c r="ZL473" s="75"/>
      <c r="ZM473" s="75"/>
      <c r="ZN473" s="75"/>
      <c r="ZO473" s="75"/>
      <c r="ZP473" s="75"/>
      <c r="ZQ473" s="75"/>
      <c r="ZR473" s="75"/>
      <c r="ZS473" s="75"/>
      <c r="ZT473" s="75"/>
      <c r="ZU473" s="75"/>
      <c r="ZV473" s="75"/>
      <c r="ZW473" s="75"/>
      <c r="ZX473" s="75"/>
      <c r="ZY473" s="75"/>
      <c r="ZZ473" s="75"/>
      <c r="AAA473" s="75"/>
      <c r="AAB473" s="75"/>
      <c r="AAC473" s="75"/>
      <c r="AAD473" s="75"/>
      <c r="AAE473" s="75"/>
      <c r="AAF473" s="75"/>
      <c r="AAG473" s="75"/>
      <c r="AAH473" s="75"/>
      <c r="AAI473" s="75"/>
      <c r="AAJ473" s="75"/>
      <c r="AAK473" s="75"/>
      <c r="AAL473" s="75"/>
      <c r="AAM473" s="75"/>
      <c r="AAN473" s="75"/>
      <c r="AAO473" s="75"/>
      <c r="AAP473" s="75"/>
      <c r="AAQ473" s="75"/>
      <c r="AAR473" s="75"/>
      <c r="AAS473" s="75"/>
      <c r="AAT473" s="75"/>
      <c r="AAU473" s="75"/>
      <c r="AAV473" s="75"/>
      <c r="AAW473" s="75"/>
      <c r="AAX473" s="75"/>
      <c r="AAY473" s="75"/>
      <c r="AAZ473" s="75"/>
      <c r="ABA473" s="75"/>
      <c r="ABB473" s="75"/>
      <c r="ABC473" s="75"/>
      <c r="ABD473" s="75"/>
      <c r="ABE473" s="75"/>
      <c r="ABF473" s="75"/>
      <c r="ABG473" s="75"/>
      <c r="ABH473" s="75"/>
      <c r="ABI473" s="75"/>
      <c r="ABJ473" s="75"/>
      <c r="ABK473" s="75"/>
      <c r="ABL473" s="75"/>
      <c r="ABM473" s="75"/>
      <c r="ABN473" s="75"/>
      <c r="ABO473" s="75"/>
      <c r="ABP473" s="75"/>
      <c r="ABQ473" s="75"/>
      <c r="ABR473" s="75"/>
      <c r="ABS473" s="75"/>
      <c r="ABT473" s="75"/>
      <c r="ABU473" s="75"/>
      <c r="ABV473" s="75"/>
      <c r="ABW473" s="75"/>
      <c r="ABX473" s="75"/>
      <c r="ABY473" s="75"/>
      <c r="ABZ473" s="75"/>
      <c r="ACA473" s="75"/>
      <c r="ACB473" s="75"/>
      <c r="ACC473" s="75"/>
      <c r="ACD473" s="75"/>
      <c r="ACE473" s="75"/>
      <c r="ACF473" s="75"/>
      <c r="ACG473" s="75"/>
      <c r="ACH473" s="75"/>
      <c r="ACI473" s="75"/>
      <c r="ACJ473" s="75"/>
      <c r="ACK473" s="75"/>
      <c r="ACL473" s="75"/>
      <c r="ACM473" s="75"/>
      <c r="ACN473" s="75"/>
      <c r="ACO473" s="75"/>
      <c r="ACP473" s="75"/>
      <c r="ACQ473" s="75"/>
      <c r="ACR473" s="75"/>
      <c r="ACS473" s="75"/>
      <c r="ACT473" s="75"/>
      <c r="ACU473" s="75"/>
      <c r="ACV473" s="75"/>
      <c r="ACW473" s="75"/>
      <c r="ACX473" s="75"/>
      <c r="ACY473" s="75"/>
      <c r="ACZ473" s="75"/>
      <c r="ADA473" s="75"/>
      <c r="ADB473" s="75"/>
      <c r="ADC473" s="75"/>
      <c r="ADD473" s="75"/>
      <c r="ADE473" s="75"/>
      <c r="ADF473" s="75"/>
      <c r="ADG473" s="75"/>
      <c r="ADH473" s="75"/>
      <c r="ADI473" s="75"/>
      <c r="ADJ473" s="75"/>
      <c r="ADK473" s="75"/>
      <c r="ADL473" s="75"/>
      <c r="ADM473" s="75"/>
      <c r="ADN473" s="75"/>
      <c r="ADO473" s="75"/>
      <c r="ADP473" s="75"/>
      <c r="ADQ473" s="75"/>
      <c r="ADR473" s="75"/>
      <c r="ADS473" s="75"/>
      <c r="ADT473" s="75"/>
      <c r="ADU473" s="75"/>
      <c r="ADV473" s="75"/>
      <c r="ADW473" s="75"/>
      <c r="ADX473" s="75"/>
      <c r="ADY473" s="75"/>
      <c r="ADZ473" s="75"/>
      <c r="AEA473" s="75"/>
      <c r="AEB473" s="75"/>
      <c r="AEC473" s="75"/>
      <c r="AED473" s="75"/>
      <c r="AEE473" s="75"/>
      <c r="AEF473" s="75"/>
      <c r="AEG473" s="75"/>
      <c r="AEH473" s="75"/>
      <c r="AEI473" s="75"/>
      <c r="AEJ473" s="75"/>
      <c r="AEK473" s="75"/>
      <c r="AEL473" s="75"/>
      <c r="AEM473" s="75"/>
      <c r="AEN473" s="75"/>
      <c r="AEO473" s="75"/>
      <c r="AEP473" s="75"/>
      <c r="AEQ473" s="75"/>
      <c r="AER473" s="75"/>
      <c r="AES473" s="75"/>
      <c r="AET473" s="75"/>
      <c r="AEU473" s="75"/>
      <c r="AEV473" s="75"/>
      <c r="AEW473" s="75"/>
      <c r="AEX473" s="75"/>
      <c r="AEY473" s="75"/>
      <c r="AEZ473" s="75"/>
      <c r="AFA473" s="75"/>
      <c r="AFB473" s="75"/>
      <c r="AFC473" s="75"/>
      <c r="AFD473" s="75"/>
      <c r="AFE473" s="75"/>
      <c r="AFF473" s="75"/>
      <c r="AFG473" s="75"/>
      <c r="AFH473" s="75"/>
      <c r="AFI473" s="75"/>
      <c r="AFJ473" s="75"/>
      <c r="AFK473" s="75"/>
      <c r="AFL473" s="75"/>
      <c r="AFM473" s="75"/>
      <c r="AFN473" s="75"/>
      <c r="AFO473" s="75"/>
      <c r="AFP473" s="75"/>
      <c r="AFQ473" s="75"/>
      <c r="AFR473" s="75"/>
      <c r="AFS473" s="75"/>
      <c r="AFT473" s="75"/>
      <c r="AFU473" s="75"/>
      <c r="AFV473" s="75"/>
      <c r="AFW473" s="75"/>
      <c r="AFX473" s="75"/>
      <c r="AFY473" s="75"/>
      <c r="AFZ473" s="75"/>
      <c r="AGA473" s="75"/>
      <c r="AGB473" s="75"/>
      <c r="AGC473" s="75"/>
      <c r="AGD473" s="75"/>
      <c r="AGE473" s="75"/>
      <c r="AGF473" s="75"/>
      <c r="AGG473" s="75"/>
      <c r="AGH473" s="75"/>
      <c r="AGI473" s="75"/>
      <c r="AGJ473" s="75"/>
      <c r="AGK473" s="75"/>
      <c r="AGL473" s="75"/>
      <c r="AGM473" s="75"/>
      <c r="AGN473" s="75"/>
      <c r="AGO473" s="75"/>
      <c r="AGP473" s="75"/>
      <c r="AGQ473" s="75"/>
      <c r="AGR473" s="75"/>
      <c r="AGS473" s="75"/>
      <c r="AGT473" s="75"/>
      <c r="AGU473" s="75"/>
      <c r="AGV473" s="75"/>
      <c r="AGW473" s="75"/>
      <c r="AGX473" s="75"/>
      <c r="AGY473" s="75"/>
      <c r="AGZ473" s="75"/>
      <c r="AHA473" s="75"/>
      <c r="AHB473" s="75"/>
      <c r="AHC473" s="75"/>
      <c r="AHD473" s="75"/>
      <c r="AHE473" s="75"/>
      <c r="AHF473" s="75"/>
      <c r="AHG473" s="75"/>
      <c r="AHH473" s="75"/>
      <c r="AHI473" s="75"/>
      <c r="AHJ473" s="75"/>
      <c r="AHK473" s="75"/>
      <c r="AHL473" s="75"/>
      <c r="AHM473" s="75"/>
      <c r="AHN473" s="75"/>
      <c r="AHO473" s="75"/>
      <c r="AHP473" s="75"/>
      <c r="AHQ473" s="75"/>
      <c r="AHR473" s="75"/>
      <c r="AHS473" s="75"/>
      <c r="AHT473" s="75"/>
      <c r="AHU473" s="75"/>
      <c r="AHV473" s="75"/>
      <c r="AHW473" s="75"/>
      <c r="AHX473" s="75"/>
      <c r="AHY473" s="75"/>
      <c r="AHZ473" s="75"/>
      <c r="AIA473" s="75"/>
      <c r="AIB473" s="75"/>
      <c r="AIC473" s="75"/>
      <c r="AID473" s="75"/>
      <c r="AIE473" s="75"/>
      <c r="AIF473" s="75"/>
      <c r="AIG473" s="75"/>
      <c r="AIH473" s="75"/>
      <c r="AII473" s="75"/>
      <c r="AIJ473" s="75"/>
      <c r="AIK473" s="75"/>
      <c r="AIL473" s="75"/>
      <c r="AIM473" s="75"/>
      <c r="AIN473" s="75"/>
      <c r="AIO473" s="75"/>
      <c r="AIP473" s="75"/>
      <c r="AIQ473" s="75"/>
      <c r="AIR473" s="75"/>
      <c r="AIS473" s="75"/>
      <c r="AIT473" s="75"/>
      <c r="AIU473" s="75"/>
      <c r="AIV473" s="75"/>
      <c r="AIW473" s="75"/>
      <c r="AIX473" s="75"/>
      <c r="AIY473" s="75"/>
      <c r="AIZ473" s="75"/>
      <c r="AJA473" s="75"/>
      <c r="AJB473" s="75"/>
      <c r="AJC473" s="75"/>
      <c r="AJD473" s="75"/>
      <c r="AJE473" s="75"/>
      <c r="AJF473" s="75"/>
      <c r="AJG473" s="75"/>
      <c r="AJH473" s="75"/>
      <c r="AJI473" s="75"/>
      <c r="AJJ473" s="75"/>
      <c r="AJK473" s="75"/>
      <c r="AJL473" s="75"/>
      <c r="AJM473" s="75"/>
      <c r="AJN473" s="75"/>
      <c r="AJO473" s="75"/>
      <c r="AJP473" s="75"/>
      <c r="AJQ473" s="75"/>
      <c r="AJR473" s="75"/>
      <c r="AJS473" s="75"/>
      <c r="AJT473" s="75"/>
      <c r="AJU473" s="75"/>
      <c r="AJV473" s="75"/>
      <c r="AJW473" s="75"/>
      <c r="AJX473" s="75"/>
      <c r="AJY473" s="75"/>
      <c r="AJZ473" s="75"/>
      <c r="AKA473" s="75"/>
      <c r="AKB473" s="75"/>
      <c r="AKC473" s="75"/>
      <c r="AKD473" s="75"/>
      <c r="AKE473" s="75"/>
      <c r="AKF473" s="75"/>
      <c r="AKG473" s="75"/>
      <c r="AKH473" s="75"/>
      <c r="AKI473" s="75"/>
      <c r="AKJ473" s="75"/>
      <c r="AKK473" s="75"/>
      <c r="AKL473" s="75"/>
      <c r="AKM473" s="75"/>
      <c r="AKN473" s="75"/>
      <c r="AKO473" s="75"/>
      <c r="AKP473" s="75"/>
      <c r="AKQ473" s="75"/>
      <c r="AKR473" s="75"/>
      <c r="AKS473" s="75"/>
      <c r="AKT473" s="75"/>
      <c r="AKU473" s="75"/>
      <c r="AKV473" s="75"/>
      <c r="AKW473" s="75"/>
      <c r="AKX473" s="75"/>
      <c r="AKY473" s="75"/>
      <c r="AKZ473" s="75"/>
      <c r="ALA473" s="75"/>
      <c r="ALB473" s="75"/>
      <c r="ALC473" s="75"/>
      <c r="ALD473" s="75"/>
      <c r="ALE473" s="75"/>
      <c r="ALF473" s="75"/>
      <c r="ALG473" s="75"/>
      <c r="ALH473" s="75"/>
      <c r="ALI473" s="75"/>
      <c r="ALJ473" s="75"/>
      <c r="ALK473" s="75"/>
      <c r="ALL473" s="75"/>
      <c r="ALM473" s="75"/>
      <c r="ALN473" s="75"/>
      <c r="ALO473" s="75"/>
    </row>
    <row r="474" spans="1:1003" s="235" customFormat="1" ht="14.55" customHeight="1" outlineLevel="1" x14ac:dyDescent="0.25">
      <c r="A474" s="230" t="s">
        <v>1422</v>
      </c>
      <c r="B474" s="343" t="str">
        <f>"13.01"</f>
        <v>13.01</v>
      </c>
      <c r="C474" s="75" t="s">
        <v>2136</v>
      </c>
      <c r="D474" s="127" t="s">
        <v>2137</v>
      </c>
      <c r="E474" s="232"/>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c r="AY474" s="75"/>
      <c r="AZ474" s="75"/>
      <c r="BA474" s="75"/>
      <c r="BB474" s="75"/>
      <c r="BC474" s="75"/>
      <c r="BD474" s="75"/>
      <c r="BE474" s="75"/>
      <c r="BF474" s="75"/>
      <c r="BG474" s="75"/>
      <c r="BH474" s="75"/>
      <c r="BI474" s="75"/>
      <c r="BJ474" s="75"/>
      <c r="BK474" s="75"/>
      <c r="BL474" s="75"/>
      <c r="BM474" s="75"/>
      <c r="BN474" s="75"/>
      <c r="BO474" s="75"/>
      <c r="BP474" s="75"/>
      <c r="BQ474" s="75"/>
      <c r="BR474" s="75"/>
      <c r="BS474" s="75"/>
      <c r="BT474" s="75"/>
      <c r="BU474" s="75"/>
      <c r="BV474" s="75"/>
      <c r="BW474" s="75"/>
      <c r="BX474" s="75"/>
      <c r="BY474" s="75"/>
      <c r="BZ474" s="75"/>
      <c r="CA474" s="75"/>
      <c r="CB474" s="75"/>
      <c r="CC474" s="75"/>
      <c r="CD474" s="75"/>
      <c r="CE474" s="75"/>
      <c r="CF474" s="75"/>
      <c r="CG474" s="75"/>
      <c r="CH474" s="75"/>
      <c r="CI474" s="75"/>
      <c r="CJ474" s="75"/>
      <c r="CK474" s="75"/>
      <c r="CL474" s="75"/>
      <c r="CM474" s="75"/>
      <c r="CN474" s="75"/>
      <c r="CO474" s="75"/>
      <c r="CP474" s="75"/>
      <c r="CQ474" s="75"/>
      <c r="CR474" s="75"/>
      <c r="CS474" s="75"/>
      <c r="CT474" s="75"/>
      <c r="CU474" s="75"/>
      <c r="CV474" s="75"/>
      <c r="CW474" s="75"/>
      <c r="CX474" s="75"/>
      <c r="CY474" s="75"/>
      <c r="CZ474" s="75"/>
      <c r="DA474" s="75"/>
      <c r="DB474" s="75"/>
      <c r="DC474" s="75"/>
      <c r="DD474" s="75"/>
      <c r="DE474" s="75"/>
      <c r="DF474" s="75"/>
      <c r="DG474" s="75"/>
      <c r="DH474" s="75"/>
      <c r="DI474" s="75"/>
      <c r="DJ474" s="75"/>
      <c r="DK474" s="75"/>
      <c r="DL474" s="75"/>
      <c r="DM474" s="75"/>
      <c r="DN474" s="75"/>
      <c r="DO474" s="75"/>
      <c r="DP474" s="75"/>
      <c r="DQ474" s="75"/>
      <c r="DR474" s="75"/>
      <c r="DS474" s="75"/>
      <c r="DT474" s="75"/>
      <c r="DU474" s="75"/>
      <c r="DV474" s="75"/>
      <c r="DW474" s="75"/>
      <c r="DX474" s="75"/>
      <c r="DY474" s="75"/>
      <c r="DZ474" s="75"/>
      <c r="EA474" s="75"/>
      <c r="EB474" s="75"/>
      <c r="EC474" s="75"/>
      <c r="ED474" s="75"/>
      <c r="EE474" s="75"/>
      <c r="EF474" s="75"/>
      <c r="EG474" s="75"/>
      <c r="EH474" s="75"/>
      <c r="EI474" s="75"/>
      <c r="EJ474" s="75"/>
      <c r="EK474" s="75"/>
      <c r="EL474" s="75"/>
      <c r="EM474" s="75"/>
      <c r="EN474" s="75"/>
      <c r="EO474" s="75"/>
      <c r="EP474" s="75"/>
      <c r="EQ474" s="75"/>
      <c r="ER474" s="75"/>
      <c r="ES474" s="75"/>
      <c r="ET474" s="75"/>
      <c r="EU474" s="75"/>
      <c r="EV474" s="75"/>
      <c r="EW474" s="75"/>
      <c r="EX474" s="75"/>
      <c r="EY474" s="75"/>
      <c r="EZ474" s="75"/>
      <c r="FA474" s="75"/>
      <c r="FB474" s="75"/>
      <c r="FC474" s="75"/>
      <c r="FD474" s="75"/>
      <c r="FE474" s="75"/>
      <c r="FF474" s="75"/>
      <c r="FG474" s="75"/>
      <c r="FH474" s="75"/>
      <c r="FI474" s="75"/>
      <c r="FJ474" s="75"/>
      <c r="FK474" s="75"/>
      <c r="FL474" s="75"/>
      <c r="FM474" s="75"/>
      <c r="FN474" s="75"/>
      <c r="FO474" s="75"/>
      <c r="FP474" s="75"/>
      <c r="FQ474" s="75"/>
      <c r="FR474" s="75"/>
      <c r="FS474" s="75"/>
      <c r="FT474" s="75"/>
      <c r="FU474" s="75"/>
      <c r="FV474" s="75"/>
      <c r="FW474" s="75"/>
      <c r="FX474" s="75"/>
      <c r="FY474" s="75"/>
      <c r="FZ474" s="75"/>
      <c r="GA474" s="75"/>
      <c r="GB474" s="75"/>
      <c r="GC474" s="75"/>
      <c r="GD474" s="75"/>
      <c r="GE474" s="75"/>
      <c r="GF474" s="75"/>
      <c r="GG474" s="75"/>
      <c r="GH474" s="75"/>
      <c r="GI474" s="75"/>
      <c r="GJ474" s="75"/>
      <c r="GK474" s="75"/>
      <c r="GL474" s="75"/>
      <c r="GM474" s="75"/>
      <c r="GN474" s="75"/>
      <c r="GO474" s="75"/>
      <c r="GP474" s="75"/>
      <c r="GQ474" s="75"/>
      <c r="GR474" s="75"/>
      <c r="GS474" s="75"/>
      <c r="GT474" s="75"/>
      <c r="GU474" s="75"/>
      <c r="GV474" s="75"/>
      <c r="GW474" s="75"/>
      <c r="GX474" s="75"/>
      <c r="GY474" s="75"/>
      <c r="GZ474" s="75"/>
      <c r="HA474" s="75"/>
      <c r="HB474" s="75"/>
      <c r="HC474" s="75"/>
      <c r="HD474" s="75"/>
      <c r="HE474" s="75"/>
      <c r="HF474" s="75"/>
      <c r="HG474" s="75"/>
      <c r="HH474" s="75"/>
      <c r="HI474" s="75"/>
      <c r="HJ474" s="75"/>
      <c r="HK474" s="75"/>
      <c r="HL474" s="75"/>
      <c r="HM474" s="75"/>
      <c r="HN474" s="75"/>
      <c r="HO474" s="75"/>
      <c r="HP474" s="75"/>
      <c r="HQ474" s="75"/>
      <c r="HR474" s="75"/>
      <c r="HS474" s="75"/>
      <c r="HT474" s="75"/>
      <c r="HU474" s="75"/>
      <c r="HV474" s="75"/>
      <c r="HW474" s="75"/>
      <c r="HX474" s="75"/>
      <c r="HY474" s="75"/>
      <c r="HZ474" s="75"/>
      <c r="IA474" s="75"/>
      <c r="IB474" s="75"/>
      <c r="IC474" s="75"/>
      <c r="ID474" s="75"/>
      <c r="IE474" s="75"/>
      <c r="IF474" s="75"/>
      <c r="IG474" s="75"/>
      <c r="IH474" s="75"/>
      <c r="II474" s="75"/>
      <c r="IJ474" s="75"/>
      <c r="IK474" s="75"/>
      <c r="IL474" s="75"/>
      <c r="IM474" s="75"/>
      <c r="IN474" s="75"/>
      <c r="IO474" s="75"/>
      <c r="IP474" s="75"/>
      <c r="IQ474" s="75"/>
      <c r="IR474" s="75"/>
      <c r="IS474" s="75"/>
      <c r="IT474" s="75"/>
      <c r="IU474" s="75"/>
      <c r="IV474" s="75"/>
      <c r="IW474" s="75"/>
      <c r="IX474" s="75"/>
      <c r="IY474" s="75"/>
      <c r="IZ474" s="75"/>
      <c r="JA474" s="75"/>
      <c r="JB474" s="75"/>
      <c r="JC474" s="75"/>
      <c r="JD474" s="75"/>
      <c r="JE474" s="75"/>
      <c r="JF474" s="75"/>
      <c r="JG474" s="75"/>
      <c r="JH474" s="75"/>
      <c r="JI474" s="75"/>
      <c r="JJ474" s="75"/>
      <c r="JK474" s="75"/>
      <c r="JL474" s="75"/>
      <c r="JM474" s="75"/>
      <c r="JN474" s="75"/>
      <c r="JO474" s="75"/>
      <c r="JP474" s="75"/>
      <c r="JQ474" s="75"/>
      <c r="JR474" s="75"/>
      <c r="JS474" s="75"/>
      <c r="JT474" s="75"/>
      <c r="JU474" s="75"/>
      <c r="JV474" s="75"/>
      <c r="JW474" s="75"/>
      <c r="JX474" s="75"/>
      <c r="JY474" s="75"/>
      <c r="JZ474" s="75"/>
      <c r="KA474" s="75"/>
      <c r="KB474" s="75"/>
      <c r="KC474" s="75"/>
      <c r="KD474" s="75"/>
      <c r="KE474" s="75"/>
      <c r="KF474" s="75"/>
      <c r="KG474" s="75"/>
      <c r="KH474" s="75"/>
      <c r="KI474" s="75"/>
      <c r="KJ474" s="75"/>
      <c r="KK474" s="75"/>
      <c r="KL474" s="75"/>
      <c r="KM474" s="75"/>
      <c r="KN474" s="75"/>
      <c r="KO474" s="75"/>
      <c r="KP474" s="75"/>
      <c r="KQ474" s="75"/>
      <c r="KR474" s="75"/>
      <c r="KS474" s="75"/>
      <c r="KT474" s="75"/>
      <c r="KU474" s="75"/>
      <c r="KV474" s="75"/>
      <c r="KW474" s="75"/>
      <c r="KX474" s="75"/>
      <c r="KY474" s="75"/>
      <c r="KZ474" s="75"/>
      <c r="LA474" s="75"/>
      <c r="LB474" s="75"/>
      <c r="LC474" s="75"/>
      <c r="LD474" s="75"/>
      <c r="LE474" s="75"/>
      <c r="LF474" s="75"/>
      <c r="LG474" s="75"/>
      <c r="LH474" s="75"/>
      <c r="LI474" s="75"/>
      <c r="LJ474" s="75"/>
      <c r="LK474" s="75"/>
      <c r="LL474" s="75"/>
      <c r="LM474" s="75"/>
      <c r="LN474" s="75"/>
      <c r="LO474" s="75"/>
      <c r="LP474" s="75"/>
      <c r="LQ474" s="75"/>
      <c r="LR474" s="75"/>
      <c r="LS474" s="75"/>
      <c r="LT474" s="75"/>
      <c r="LU474" s="75"/>
      <c r="LV474" s="75"/>
      <c r="LW474" s="75"/>
      <c r="LX474" s="75"/>
      <c r="LY474" s="75"/>
      <c r="LZ474" s="75"/>
      <c r="MA474" s="75"/>
      <c r="MB474" s="75"/>
      <c r="MC474" s="75"/>
      <c r="MD474" s="75"/>
      <c r="ME474" s="75"/>
      <c r="MF474" s="75"/>
      <c r="MG474" s="75"/>
      <c r="MH474" s="75"/>
      <c r="MI474" s="75"/>
      <c r="MJ474" s="75"/>
      <c r="MK474" s="75"/>
      <c r="ML474" s="75"/>
      <c r="MM474" s="75"/>
      <c r="MN474" s="75"/>
      <c r="MO474" s="75"/>
      <c r="MP474" s="75"/>
      <c r="MQ474" s="75"/>
      <c r="MR474" s="75"/>
      <c r="MS474" s="75"/>
      <c r="MT474" s="75"/>
      <c r="MU474" s="75"/>
      <c r="MV474" s="75"/>
      <c r="MW474" s="75"/>
      <c r="MX474" s="75"/>
      <c r="MY474" s="75"/>
      <c r="MZ474" s="75"/>
      <c r="NA474" s="75"/>
      <c r="NB474" s="75"/>
      <c r="NC474" s="75"/>
      <c r="ND474" s="75"/>
      <c r="NE474" s="75"/>
      <c r="NF474" s="75"/>
      <c r="NG474" s="75"/>
      <c r="NH474" s="75"/>
      <c r="NI474" s="75"/>
      <c r="NJ474" s="75"/>
      <c r="NK474" s="75"/>
      <c r="NL474" s="75"/>
      <c r="NM474" s="75"/>
      <c r="NN474" s="75"/>
      <c r="NO474" s="75"/>
      <c r="NP474" s="75"/>
      <c r="NQ474" s="75"/>
      <c r="NR474" s="75"/>
      <c r="NS474" s="75"/>
      <c r="NT474" s="75"/>
      <c r="NU474" s="75"/>
      <c r="NV474" s="75"/>
      <c r="NW474" s="75"/>
      <c r="NX474" s="75"/>
      <c r="NY474" s="75"/>
      <c r="NZ474" s="75"/>
      <c r="OA474" s="75"/>
      <c r="OB474" s="75"/>
      <c r="OC474" s="75"/>
      <c r="OD474" s="75"/>
      <c r="OE474" s="75"/>
      <c r="OF474" s="75"/>
      <c r="OG474" s="75"/>
      <c r="OH474" s="75"/>
      <c r="OI474" s="75"/>
      <c r="OJ474" s="75"/>
      <c r="OK474" s="75"/>
      <c r="OL474" s="75"/>
      <c r="OM474" s="75"/>
      <c r="ON474" s="75"/>
      <c r="OO474" s="75"/>
      <c r="OP474" s="75"/>
      <c r="OQ474" s="75"/>
      <c r="OR474" s="75"/>
      <c r="OS474" s="75"/>
      <c r="OT474" s="75"/>
      <c r="OU474" s="75"/>
      <c r="OV474" s="75"/>
      <c r="OW474" s="75"/>
      <c r="OX474" s="75"/>
      <c r="OY474" s="75"/>
      <c r="OZ474" s="75"/>
      <c r="PA474" s="75"/>
      <c r="PB474" s="75"/>
      <c r="PC474" s="75"/>
      <c r="PD474" s="75"/>
      <c r="PE474" s="75"/>
      <c r="PF474" s="75"/>
      <c r="PG474" s="75"/>
      <c r="PH474" s="75"/>
      <c r="PI474" s="75"/>
      <c r="PJ474" s="75"/>
      <c r="PK474" s="75"/>
      <c r="PL474" s="75"/>
      <c r="PM474" s="75"/>
      <c r="PN474" s="75"/>
      <c r="PO474" s="75"/>
      <c r="PP474" s="75"/>
      <c r="PQ474" s="75"/>
      <c r="PR474" s="75"/>
      <c r="PS474" s="75"/>
      <c r="PT474" s="75"/>
      <c r="PU474" s="75"/>
      <c r="PV474" s="75"/>
      <c r="PW474" s="75"/>
      <c r="PX474" s="75"/>
      <c r="PY474" s="75"/>
      <c r="PZ474" s="75"/>
      <c r="QA474" s="75"/>
      <c r="QB474" s="75"/>
      <c r="QC474" s="75"/>
      <c r="QD474" s="75"/>
      <c r="QE474" s="75"/>
      <c r="QF474" s="75"/>
      <c r="QG474" s="75"/>
      <c r="QH474" s="75"/>
      <c r="QI474" s="75"/>
      <c r="QJ474" s="75"/>
      <c r="QK474" s="75"/>
      <c r="QL474" s="75"/>
      <c r="QM474" s="75"/>
      <c r="QN474" s="75"/>
      <c r="QO474" s="75"/>
      <c r="QP474" s="75"/>
      <c r="QQ474" s="75"/>
      <c r="QR474" s="75"/>
      <c r="QS474" s="75"/>
      <c r="QT474" s="75"/>
      <c r="QU474" s="75"/>
      <c r="QV474" s="75"/>
      <c r="QW474" s="75"/>
      <c r="QX474" s="75"/>
      <c r="QY474" s="75"/>
      <c r="QZ474" s="75"/>
      <c r="RA474" s="75"/>
      <c r="RB474" s="75"/>
      <c r="RC474" s="75"/>
      <c r="RD474" s="75"/>
      <c r="RE474" s="75"/>
      <c r="RF474" s="75"/>
      <c r="RG474" s="75"/>
      <c r="RH474" s="75"/>
      <c r="RI474" s="75"/>
      <c r="RJ474" s="75"/>
      <c r="RK474" s="75"/>
      <c r="RL474" s="75"/>
      <c r="RM474" s="75"/>
      <c r="RN474" s="75"/>
      <c r="RO474" s="75"/>
      <c r="RP474" s="75"/>
      <c r="RQ474" s="75"/>
      <c r="RR474" s="75"/>
      <c r="RS474" s="75"/>
      <c r="RT474" s="75"/>
      <c r="RU474" s="75"/>
      <c r="RV474" s="75"/>
      <c r="RW474" s="75"/>
      <c r="RX474" s="75"/>
      <c r="RY474" s="75"/>
      <c r="RZ474" s="75"/>
      <c r="SA474" s="75"/>
      <c r="SB474" s="75"/>
      <c r="SC474" s="75"/>
      <c r="SD474" s="75"/>
      <c r="SE474" s="75"/>
      <c r="SF474" s="75"/>
      <c r="SG474" s="75"/>
      <c r="SH474" s="75"/>
      <c r="SI474" s="75"/>
      <c r="SJ474" s="75"/>
      <c r="SK474" s="75"/>
      <c r="SL474" s="75"/>
      <c r="SM474" s="75"/>
      <c r="SN474" s="75"/>
      <c r="SO474" s="75"/>
      <c r="SP474" s="75"/>
      <c r="SQ474" s="75"/>
      <c r="SR474" s="75"/>
      <c r="SS474" s="75"/>
      <c r="ST474" s="75"/>
      <c r="SU474" s="75"/>
      <c r="SV474" s="75"/>
      <c r="SW474" s="75"/>
      <c r="SX474" s="75"/>
      <c r="SY474" s="75"/>
      <c r="SZ474" s="75"/>
      <c r="TA474" s="75"/>
      <c r="TB474" s="75"/>
      <c r="TC474" s="75"/>
      <c r="TD474" s="75"/>
      <c r="TE474" s="75"/>
      <c r="TF474" s="75"/>
      <c r="TG474" s="75"/>
      <c r="TH474" s="75"/>
      <c r="TI474" s="75"/>
      <c r="TJ474" s="75"/>
      <c r="TK474" s="75"/>
      <c r="TL474" s="75"/>
      <c r="TM474" s="75"/>
      <c r="TN474" s="75"/>
      <c r="TO474" s="75"/>
      <c r="TP474" s="75"/>
      <c r="TQ474" s="75"/>
      <c r="TR474" s="75"/>
      <c r="TS474" s="75"/>
      <c r="TT474" s="75"/>
      <c r="TU474" s="75"/>
      <c r="TV474" s="75"/>
      <c r="TW474" s="75"/>
      <c r="TX474" s="75"/>
      <c r="TY474" s="75"/>
      <c r="TZ474" s="75"/>
      <c r="UA474" s="75"/>
      <c r="UB474" s="75"/>
      <c r="UC474" s="75"/>
      <c r="UD474" s="75"/>
      <c r="UE474" s="75"/>
      <c r="UF474" s="75"/>
      <c r="UG474" s="75"/>
      <c r="UH474" s="75"/>
      <c r="UI474" s="75"/>
      <c r="UJ474" s="75"/>
      <c r="UK474" s="75"/>
      <c r="UL474" s="75"/>
      <c r="UM474" s="75"/>
      <c r="UN474" s="75"/>
      <c r="UO474" s="75"/>
      <c r="UP474" s="75"/>
      <c r="UQ474" s="75"/>
      <c r="UR474" s="75"/>
      <c r="US474" s="75"/>
      <c r="UT474" s="75"/>
      <c r="UU474" s="75"/>
      <c r="UV474" s="75"/>
      <c r="UW474" s="75"/>
      <c r="UX474" s="75"/>
      <c r="UY474" s="75"/>
      <c r="UZ474" s="75"/>
      <c r="VA474" s="75"/>
      <c r="VB474" s="75"/>
      <c r="VC474" s="75"/>
      <c r="VD474" s="75"/>
      <c r="VE474" s="75"/>
      <c r="VF474" s="75"/>
      <c r="VG474" s="75"/>
      <c r="VH474" s="75"/>
      <c r="VI474" s="75"/>
      <c r="VJ474" s="75"/>
      <c r="VK474" s="75"/>
      <c r="VL474" s="75"/>
      <c r="VM474" s="75"/>
      <c r="VN474" s="75"/>
      <c r="VO474" s="75"/>
      <c r="VP474" s="75"/>
      <c r="VQ474" s="75"/>
      <c r="VR474" s="75"/>
      <c r="VS474" s="75"/>
      <c r="VT474" s="75"/>
      <c r="VU474" s="75"/>
      <c r="VV474" s="75"/>
      <c r="VW474" s="75"/>
      <c r="VX474" s="75"/>
      <c r="VY474" s="75"/>
      <c r="VZ474" s="75"/>
      <c r="WA474" s="75"/>
      <c r="WB474" s="75"/>
      <c r="WC474" s="75"/>
      <c r="WD474" s="75"/>
      <c r="WE474" s="75"/>
      <c r="WF474" s="75"/>
      <c r="WG474" s="75"/>
      <c r="WH474" s="75"/>
      <c r="WI474" s="75"/>
      <c r="WJ474" s="75"/>
      <c r="WK474" s="75"/>
      <c r="WL474" s="75"/>
      <c r="WM474" s="75"/>
      <c r="WN474" s="75"/>
      <c r="WO474" s="75"/>
      <c r="WP474" s="75"/>
      <c r="WQ474" s="75"/>
      <c r="WR474" s="75"/>
      <c r="WS474" s="75"/>
      <c r="WT474" s="75"/>
      <c r="WU474" s="75"/>
      <c r="WV474" s="75"/>
      <c r="WW474" s="75"/>
      <c r="WX474" s="75"/>
      <c r="WY474" s="75"/>
      <c r="WZ474" s="75"/>
      <c r="XA474" s="75"/>
      <c r="XB474" s="75"/>
      <c r="XC474" s="75"/>
      <c r="XD474" s="75"/>
      <c r="XE474" s="75"/>
      <c r="XF474" s="75"/>
      <c r="XG474" s="75"/>
      <c r="XH474" s="75"/>
      <c r="XI474" s="75"/>
      <c r="XJ474" s="75"/>
      <c r="XK474" s="75"/>
      <c r="XL474" s="75"/>
      <c r="XM474" s="75"/>
      <c r="XN474" s="75"/>
      <c r="XO474" s="75"/>
      <c r="XP474" s="75"/>
      <c r="XQ474" s="75"/>
      <c r="XR474" s="75"/>
      <c r="XS474" s="75"/>
      <c r="XT474" s="75"/>
      <c r="XU474" s="75"/>
      <c r="XV474" s="75"/>
      <c r="XW474" s="75"/>
      <c r="XX474" s="75"/>
      <c r="XY474" s="75"/>
      <c r="XZ474" s="75"/>
      <c r="YA474" s="75"/>
      <c r="YB474" s="75"/>
      <c r="YC474" s="75"/>
      <c r="YD474" s="75"/>
      <c r="YE474" s="75"/>
      <c r="YF474" s="75"/>
      <c r="YG474" s="75"/>
      <c r="YH474" s="75"/>
      <c r="YI474" s="75"/>
      <c r="YJ474" s="75"/>
      <c r="YK474" s="75"/>
      <c r="YL474" s="75"/>
      <c r="YM474" s="75"/>
      <c r="YN474" s="75"/>
      <c r="YO474" s="75"/>
      <c r="YP474" s="75"/>
      <c r="YQ474" s="75"/>
      <c r="YR474" s="75"/>
      <c r="YS474" s="75"/>
      <c r="YT474" s="75"/>
      <c r="YU474" s="75"/>
      <c r="YV474" s="75"/>
      <c r="YW474" s="75"/>
      <c r="YX474" s="75"/>
      <c r="YY474" s="75"/>
      <c r="YZ474" s="75"/>
      <c r="ZA474" s="75"/>
      <c r="ZB474" s="75"/>
      <c r="ZC474" s="75"/>
      <c r="ZD474" s="75"/>
      <c r="ZE474" s="75"/>
      <c r="ZF474" s="75"/>
      <c r="ZG474" s="75"/>
      <c r="ZH474" s="75"/>
      <c r="ZI474" s="75"/>
      <c r="ZJ474" s="75"/>
      <c r="ZK474" s="75"/>
      <c r="ZL474" s="75"/>
      <c r="ZM474" s="75"/>
      <c r="ZN474" s="75"/>
      <c r="ZO474" s="75"/>
      <c r="ZP474" s="75"/>
      <c r="ZQ474" s="75"/>
      <c r="ZR474" s="75"/>
      <c r="ZS474" s="75"/>
      <c r="ZT474" s="75"/>
      <c r="ZU474" s="75"/>
      <c r="ZV474" s="75"/>
      <c r="ZW474" s="75"/>
      <c r="ZX474" s="75"/>
      <c r="ZY474" s="75"/>
      <c r="ZZ474" s="75"/>
      <c r="AAA474" s="75"/>
      <c r="AAB474" s="75"/>
      <c r="AAC474" s="75"/>
      <c r="AAD474" s="75"/>
      <c r="AAE474" s="75"/>
      <c r="AAF474" s="75"/>
      <c r="AAG474" s="75"/>
      <c r="AAH474" s="75"/>
      <c r="AAI474" s="75"/>
      <c r="AAJ474" s="75"/>
      <c r="AAK474" s="75"/>
      <c r="AAL474" s="75"/>
      <c r="AAM474" s="75"/>
      <c r="AAN474" s="75"/>
      <c r="AAO474" s="75"/>
      <c r="AAP474" s="75"/>
      <c r="AAQ474" s="75"/>
      <c r="AAR474" s="75"/>
      <c r="AAS474" s="75"/>
      <c r="AAT474" s="75"/>
      <c r="AAU474" s="75"/>
      <c r="AAV474" s="75"/>
      <c r="AAW474" s="75"/>
      <c r="AAX474" s="75"/>
      <c r="AAY474" s="75"/>
      <c r="AAZ474" s="75"/>
      <c r="ABA474" s="75"/>
      <c r="ABB474" s="75"/>
      <c r="ABC474" s="75"/>
      <c r="ABD474" s="75"/>
      <c r="ABE474" s="75"/>
      <c r="ABF474" s="75"/>
      <c r="ABG474" s="75"/>
      <c r="ABH474" s="75"/>
      <c r="ABI474" s="75"/>
      <c r="ABJ474" s="75"/>
      <c r="ABK474" s="75"/>
      <c r="ABL474" s="75"/>
      <c r="ABM474" s="75"/>
      <c r="ABN474" s="75"/>
      <c r="ABO474" s="75"/>
      <c r="ABP474" s="75"/>
      <c r="ABQ474" s="75"/>
      <c r="ABR474" s="75"/>
      <c r="ABS474" s="75"/>
      <c r="ABT474" s="75"/>
      <c r="ABU474" s="75"/>
      <c r="ABV474" s="75"/>
      <c r="ABW474" s="75"/>
      <c r="ABX474" s="75"/>
      <c r="ABY474" s="75"/>
      <c r="ABZ474" s="75"/>
      <c r="ACA474" s="75"/>
      <c r="ACB474" s="75"/>
      <c r="ACC474" s="75"/>
      <c r="ACD474" s="75"/>
      <c r="ACE474" s="75"/>
      <c r="ACF474" s="75"/>
      <c r="ACG474" s="75"/>
      <c r="ACH474" s="75"/>
      <c r="ACI474" s="75"/>
      <c r="ACJ474" s="75"/>
      <c r="ACK474" s="75"/>
      <c r="ACL474" s="75"/>
      <c r="ACM474" s="75"/>
      <c r="ACN474" s="75"/>
      <c r="ACO474" s="75"/>
      <c r="ACP474" s="75"/>
      <c r="ACQ474" s="75"/>
      <c r="ACR474" s="75"/>
      <c r="ACS474" s="75"/>
      <c r="ACT474" s="75"/>
      <c r="ACU474" s="75"/>
      <c r="ACV474" s="75"/>
      <c r="ACW474" s="75"/>
      <c r="ACX474" s="75"/>
      <c r="ACY474" s="75"/>
      <c r="ACZ474" s="75"/>
      <c r="ADA474" s="75"/>
      <c r="ADB474" s="75"/>
      <c r="ADC474" s="75"/>
      <c r="ADD474" s="75"/>
      <c r="ADE474" s="75"/>
      <c r="ADF474" s="75"/>
      <c r="ADG474" s="75"/>
      <c r="ADH474" s="75"/>
      <c r="ADI474" s="75"/>
      <c r="ADJ474" s="75"/>
      <c r="ADK474" s="75"/>
      <c r="ADL474" s="75"/>
      <c r="ADM474" s="75"/>
      <c r="ADN474" s="75"/>
      <c r="ADO474" s="75"/>
      <c r="ADP474" s="75"/>
      <c r="ADQ474" s="75"/>
      <c r="ADR474" s="75"/>
      <c r="ADS474" s="75"/>
      <c r="ADT474" s="75"/>
      <c r="ADU474" s="75"/>
      <c r="ADV474" s="75"/>
      <c r="ADW474" s="75"/>
      <c r="ADX474" s="75"/>
      <c r="ADY474" s="75"/>
      <c r="ADZ474" s="75"/>
      <c r="AEA474" s="75"/>
      <c r="AEB474" s="75"/>
      <c r="AEC474" s="75"/>
      <c r="AED474" s="75"/>
      <c r="AEE474" s="75"/>
      <c r="AEF474" s="75"/>
      <c r="AEG474" s="75"/>
      <c r="AEH474" s="75"/>
      <c r="AEI474" s="75"/>
      <c r="AEJ474" s="75"/>
      <c r="AEK474" s="75"/>
      <c r="AEL474" s="75"/>
      <c r="AEM474" s="75"/>
      <c r="AEN474" s="75"/>
      <c r="AEO474" s="75"/>
      <c r="AEP474" s="75"/>
      <c r="AEQ474" s="75"/>
      <c r="AER474" s="75"/>
      <c r="AES474" s="75"/>
      <c r="AET474" s="75"/>
      <c r="AEU474" s="75"/>
      <c r="AEV474" s="75"/>
      <c r="AEW474" s="75"/>
      <c r="AEX474" s="75"/>
      <c r="AEY474" s="75"/>
      <c r="AEZ474" s="75"/>
      <c r="AFA474" s="75"/>
      <c r="AFB474" s="75"/>
      <c r="AFC474" s="75"/>
      <c r="AFD474" s="75"/>
      <c r="AFE474" s="75"/>
      <c r="AFF474" s="75"/>
      <c r="AFG474" s="75"/>
      <c r="AFH474" s="75"/>
      <c r="AFI474" s="75"/>
      <c r="AFJ474" s="75"/>
      <c r="AFK474" s="75"/>
      <c r="AFL474" s="75"/>
      <c r="AFM474" s="75"/>
      <c r="AFN474" s="75"/>
      <c r="AFO474" s="75"/>
      <c r="AFP474" s="75"/>
      <c r="AFQ474" s="75"/>
      <c r="AFR474" s="75"/>
      <c r="AFS474" s="75"/>
      <c r="AFT474" s="75"/>
      <c r="AFU474" s="75"/>
      <c r="AFV474" s="75"/>
      <c r="AFW474" s="75"/>
      <c r="AFX474" s="75"/>
      <c r="AFY474" s="75"/>
      <c r="AFZ474" s="75"/>
      <c r="AGA474" s="75"/>
      <c r="AGB474" s="75"/>
      <c r="AGC474" s="75"/>
      <c r="AGD474" s="75"/>
      <c r="AGE474" s="75"/>
      <c r="AGF474" s="75"/>
      <c r="AGG474" s="75"/>
      <c r="AGH474" s="75"/>
      <c r="AGI474" s="75"/>
      <c r="AGJ474" s="75"/>
      <c r="AGK474" s="75"/>
      <c r="AGL474" s="75"/>
      <c r="AGM474" s="75"/>
      <c r="AGN474" s="75"/>
      <c r="AGO474" s="75"/>
      <c r="AGP474" s="75"/>
      <c r="AGQ474" s="75"/>
      <c r="AGR474" s="75"/>
      <c r="AGS474" s="75"/>
      <c r="AGT474" s="75"/>
      <c r="AGU474" s="75"/>
      <c r="AGV474" s="75"/>
      <c r="AGW474" s="75"/>
      <c r="AGX474" s="75"/>
      <c r="AGY474" s="75"/>
      <c r="AGZ474" s="75"/>
      <c r="AHA474" s="75"/>
      <c r="AHB474" s="75"/>
      <c r="AHC474" s="75"/>
      <c r="AHD474" s="75"/>
      <c r="AHE474" s="75"/>
      <c r="AHF474" s="75"/>
      <c r="AHG474" s="75"/>
      <c r="AHH474" s="75"/>
      <c r="AHI474" s="75"/>
      <c r="AHJ474" s="75"/>
      <c r="AHK474" s="75"/>
      <c r="AHL474" s="75"/>
      <c r="AHM474" s="75"/>
      <c r="AHN474" s="75"/>
      <c r="AHO474" s="75"/>
      <c r="AHP474" s="75"/>
      <c r="AHQ474" s="75"/>
      <c r="AHR474" s="75"/>
      <c r="AHS474" s="75"/>
      <c r="AHT474" s="75"/>
      <c r="AHU474" s="75"/>
      <c r="AHV474" s="75"/>
      <c r="AHW474" s="75"/>
      <c r="AHX474" s="75"/>
      <c r="AHY474" s="75"/>
      <c r="AHZ474" s="75"/>
      <c r="AIA474" s="75"/>
      <c r="AIB474" s="75"/>
      <c r="AIC474" s="75"/>
      <c r="AID474" s="75"/>
      <c r="AIE474" s="75"/>
      <c r="AIF474" s="75"/>
      <c r="AIG474" s="75"/>
      <c r="AIH474" s="75"/>
      <c r="AII474" s="75"/>
      <c r="AIJ474" s="75"/>
      <c r="AIK474" s="75"/>
      <c r="AIL474" s="75"/>
      <c r="AIM474" s="75"/>
      <c r="AIN474" s="75"/>
      <c r="AIO474" s="75"/>
      <c r="AIP474" s="75"/>
      <c r="AIQ474" s="75"/>
      <c r="AIR474" s="75"/>
      <c r="AIS474" s="75"/>
      <c r="AIT474" s="75"/>
      <c r="AIU474" s="75"/>
      <c r="AIV474" s="75"/>
      <c r="AIW474" s="75"/>
      <c r="AIX474" s="75"/>
      <c r="AIY474" s="75"/>
      <c r="AIZ474" s="75"/>
      <c r="AJA474" s="75"/>
      <c r="AJB474" s="75"/>
      <c r="AJC474" s="75"/>
      <c r="AJD474" s="75"/>
      <c r="AJE474" s="75"/>
      <c r="AJF474" s="75"/>
      <c r="AJG474" s="75"/>
      <c r="AJH474" s="75"/>
      <c r="AJI474" s="75"/>
      <c r="AJJ474" s="75"/>
      <c r="AJK474" s="75"/>
      <c r="AJL474" s="75"/>
      <c r="AJM474" s="75"/>
      <c r="AJN474" s="75"/>
      <c r="AJO474" s="75"/>
      <c r="AJP474" s="75"/>
      <c r="AJQ474" s="75"/>
      <c r="AJR474" s="75"/>
      <c r="AJS474" s="75"/>
      <c r="AJT474" s="75"/>
      <c r="AJU474" s="75"/>
      <c r="AJV474" s="75"/>
      <c r="AJW474" s="75"/>
      <c r="AJX474" s="75"/>
      <c r="AJY474" s="75"/>
      <c r="AJZ474" s="75"/>
      <c r="AKA474" s="75"/>
      <c r="AKB474" s="75"/>
      <c r="AKC474" s="75"/>
      <c r="AKD474" s="75"/>
      <c r="AKE474" s="75"/>
      <c r="AKF474" s="75"/>
      <c r="AKG474" s="75"/>
      <c r="AKH474" s="75"/>
      <c r="AKI474" s="75"/>
      <c r="AKJ474" s="75"/>
      <c r="AKK474" s="75"/>
      <c r="AKL474" s="75"/>
      <c r="AKM474" s="75"/>
      <c r="AKN474" s="75"/>
      <c r="AKO474" s="75"/>
      <c r="AKP474" s="75"/>
      <c r="AKQ474" s="75"/>
      <c r="AKR474" s="75"/>
      <c r="AKS474" s="75"/>
      <c r="AKT474" s="75"/>
      <c r="AKU474" s="75"/>
      <c r="AKV474" s="75"/>
      <c r="AKW474" s="75"/>
      <c r="AKX474" s="75"/>
      <c r="AKY474" s="75"/>
      <c r="AKZ474" s="75"/>
      <c r="ALA474" s="75"/>
      <c r="ALB474" s="75"/>
      <c r="ALC474" s="75"/>
      <c r="ALD474" s="75"/>
      <c r="ALE474" s="75"/>
      <c r="ALF474" s="75"/>
      <c r="ALG474" s="75"/>
      <c r="ALH474" s="75"/>
      <c r="ALI474" s="75"/>
      <c r="ALJ474" s="75"/>
      <c r="ALK474" s="75"/>
      <c r="ALL474" s="75"/>
      <c r="ALM474" s="75"/>
      <c r="ALN474" s="75"/>
      <c r="ALO474" s="75"/>
    </row>
    <row r="475" spans="1:1003" s="235" customFormat="1" ht="14.55" customHeight="1" outlineLevel="1" x14ac:dyDescent="0.25">
      <c r="A475" s="230" t="s">
        <v>1422</v>
      </c>
      <c r="B475" s="343" t="str">
        <f>"13.0101"</f>
        <v>13.0101</v>
      </c>
      <c r="C475" s="75" t="s">
        <v>2136</v>
      </c>
      <c r="D475" s="127" t="s">
        <v>2138</v>
      </c>
      <c r="E475" s="232"/>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c r="AY475" s="75"/>
      <c r="AZ475" s="75"/>
      <c r="BA475" s="75"/>
      <c r="BB475" s="75"/>
      <c r="BC475" s="75"/>
      <c r="BD475" s="75"/>
      <c r="BE475" s="75"/>
      <c r="BF475" s="75"/>
      <c r="BG475" s="75"/>
      <c r="BH475" s="75"/>
      <c r="BI475" s="75"/>
      <c r="BJ475" s="75"/>
      <c r="BK475" s="75"/>
      <c r="BL475" s="75"/>
      <c r="BM475" s="75"/>
      <c r="BN475" s="75"/>
      <c r="BO475" s="75"/>
      <c r="BP475" s="75"/>
      <c r="BQ475" s="75"/>
      <c r="BR475" s="75"/>
      <c r="BS475" s="75"/>
      <c r="BT475" s="75"/>
      <c r="BU475" s="75"/>
      <c r="BV475" s="75"/>
      <c r="BW475" s="75"/>
      <c r="BX475" s="75"/>
      <c r="BY475" s="75"/>
      <c r="BZ475" s="75"/>
      <c r="CA475" s="75"/>
      <c r="CB475" s="75"/>
      <c r="CC475" s="75"/>
      <c r="CD475" s="75"/>
      <c r="CE475" s="75"/>
      <c r="CF475" s="75"/>
      <c r="CG475" s="75"/>
      <c r="CH475" s="75"/>
      <c r="CI475" s="75"/>
      <c r="CJ475" s="75"/>
      <c r="CK475" s="75"/>
      <c r="CL475" s="75"/>
      <c r="CM475" s="75"/>
      <c r="CN475" s="75"/>
      <c r="CO475" s="75"/>
      <c r="CP475" s="75"/>
      <c r="CQ475" s="75"/>
      <c r="CR475" s="75"/>
      <c r="CS475" s="75"/>
      <c r="CT475" s="75"/>
      <c r="CU475" s="75"/>
      <c r="CV475" s="75"/>
      <c r="CW475" s="75"/>
      <c r="CX475" s="75"/>
      <c r="CY475" s="75"/>
      <c r="CZ475" s="75"/>
      <c r="DA475" s="75"/>
      <c r="DB475" s="75"/>
      <c r="DC475" s="75"/>
      <c r="DD475" s="75"/>
      <c r="DE475" s="75"/>
      <c r="DF475" s="75"/>
      <c r="DG475" s="75"/>
      <c r="DH475" s="75"/>
      <c r="DI475" s="75"/>
      <c r="DJ475" s="75"/>
      <c r="DK475" s="75"/>
      <c r="DL475" s="75"/>
      <c r="DM475" s="75"/>
      <c r="DN475" s="75"/>
      <c r="DO475" s="75"/>
      <c r="DP475" s="75"/>
      <c r="DQ475" s="75"/>
      <c r="DR475" s="75"/>
      <c r="DS475" s="75"/>
      <c r="DT475" s="75"/>
      <c r="DU475" s="75"/>
      <c r="DV475" s="75"/>
      <c r="DW475" s="75"/>
      <c r="DX475" s="75"/>
      <c r="DY475" s="75"/>
      <c r="DZ475" s="75"/>
      <c r="EA475" s="75"/>
      <c r="EB475" s="75"/>
      <c r="EC475" s="75"/>
      <c r="ED475" s="75"/>
      <c r="EE475" s="75"/>
      <c r="EF475" s="75"/>
      <c r="EG475" s="75"/>
      <c r="EH475" s="75"/>
      <c r="EI475" s="75"/>
      <c r="EJ475" s="75"/>
      <c r="EK475" s="75"/>
      <c r="EL475" s="75"/>
      <c r="EM475" s="75"/>
      <c r="EN475" s="75"/>
      <c r="EO475" s="75"/>
      <c r="EP475" s="75"/>
      <c r="EQ475" s="75"/>
      <c r="ER475" s="75"/>
      <c r="ES475" s="75"/>
      <c r="ET475" s="75"/>
      <c r="EU475" s="75"/>
      <c r="EV475" s="75"/>
      <c r="EW475" s="75"/>
      <c r="EX475" s="75"/>
      <c r="EY475" s="75"/>
      <c r="EZ475" s="75"/>
      <c r="FA475" s="75"/>
      <c r="FB475" s="75"/>
      <c r="FC475" s="75"/>
      <c r="FD475" s="75"/>
      <c r="FE475" s="75"/>
      <c r="FF475" s="75"/>
      <c r="FG475" s="75"/>
      <c r="FH475" s="75"/>
      <c r="FI475" s="75"/>
      <c r="FJ475" s="75"/>
      <c r="FK475" s="75"/>
      <c r="FL475" s="75"/>
      <c r="FM475" s="75"/>
      <c r="FN475" s="75"/>
      <c r="FO475" s="75"/>
      <c r="FP475" s="75"/>
      <c r="FQ475" s="75"/>
      <c r="FR475" s="75"/>
      <c r="FS475" s="75"/>
      <c r="FT475" s="75"/>
      <c r="FU475" s="75"/>
      <c r="FV475" s="75"/>
      <c r="FW475" s="75"/>
      <c r="FX475" s="75"/>
      <c r="FY475" s="75"/>
      <c r="FZ475" s="75"/>
      <c r="GA475" s="75"/>
      <c r="GB475" s="75"/>
      <c r="GC475" s="75"/>
      <c r="GD475" s="75"/>
      <c r="GE475" s="75"/>
      <c r="GF475" s="75"/>
      <c r="GG475" s="75"/>
      <c r="GH475" s="75"/>
      <c r="GI475" s="75"/>
      <c r="GJ475" s="75"/>
      <c r="GK475" s="75"/>
      <c r="GL475" s="75"/>
      <c r="GM475" s="75"/>
      <c r="GN475" s="75"/>
      <c r="GO475" s="75"/>
      <c r="GP475" s="75"/>
      <c r="GQ475" s="75"/>
      <c r="GR475" s="75"/>
      <c r="GS475" s="75"/>
      <c r="GT475" s="75"/>
      <c r="GU475" s="75"/>
      <c r="GV475" s="75"/>
      <c r="GW475" s="75"/>
      <c r="GX475" s="75"/>
      <c r="GY475" s="75"/>
      <c r="GZ475" s="75"/>
      <c r="HA475" s="75"/>
      <c r="HB475" s="75"/>
      <c r="HC475" s="75"/>
      <c r="HD475" s="75"/>
      <c r="HE475" s="75"/>
      <c r="HF475" s="75"/>
      <c r="HG475" s="75"/>
      <c r="HH475" s="75"/>
      <c r="HI475" s="75"/>
      <c r="HJ475" s="75"/>
      <c r="HK475" s="75"/>
      <c r="HL475" s="75"/>
      <c r="HM475" s="75"/>
      <c r="HN475" s="75"/>
      <c r="HO475" s="75"/>
      <c r="HP475" s="75"/>
      <c r="HQ475" s="75"/>
      <c r="HR475" s="75"/>
      <c r="HS475" s="75"/>
      <c r="HT475" s="75"/>
      <c r="HU475" s="75"/>
      <c r="HV475" s="75"/>
      <c r="HW475" s="75"/>
      <c r="HX475" s="75"/>
      <c r="HY475" s="75"/>
      <c r="HZ475" s="75"/>
      <c r="IA475" s="75"/>
      <c r="IB475" s="75"/>
      <c r="IC475" s="75"/>
      <c r="ID475" s="75"/>
      <c r="IE475" s="75"/>
      <c r="IF475" s="75"/>
      <c r="IG475" s="75"/>
      <c r="IH475" s="75"/>
      <c r="II475" s="75"/>
      <c r="IJ475" s="75"/>
      <c r="IK475" s="75"/>
      <c r="IL475" s="75"/>
      <c r="IM475" s="75"/>
      <c r="IN475" s="75"/>
      <c r="IO475" s="75"/>
      <c r="IP475" s="75"/>
      <c r="IQ475" s="75"/>
      <c r="IR475" s="75"/>
      <c r="IS475" s="75"/>
      <c r="IT475" s="75"/>
      <c r="IU475" s="75"/>
      <c r="IV475" s="75"/>
      <c r="IW475" s="75"/>
      <c r="IX475" s="75"/>
      <c r="IY475" s="75"/>
      <c r="IZ475" s="75"/>
      <c r="JA475" s="75"/>
      <c r="JB475" s="75"/>
      <c r="JC475" s="75"/>
      <c r="JD475" s="75"/>
      <c r="JE475" s="75"/>
      <c r="JF475" s="75"/>
      <c r="JG475" s="75"/>
      <c r="JH475" s="75"/>
      <c r="JI475" s="75"/>
      <c r="JJ475" s="75"/>
      <c r="JK475" s="75"/>
      <c r="JL475" s="75"/>
      <c r="JM475" s="75"/>
      <c r="JN475" s="75"/>
      <c r="JO475" s="75"/>
      <c r="JP475" s="75"/>
      <c r="JQ475" s="75"/>
      <c r="JR475" s="75"/>
      <c r="JS475" s="75"/>
      <c r="JT475" s="75"/>
      <c r="JU475" s="75"/>
      <c r="JV475" s="75"/>
      <c r="JW475" s="75"/>
      <c r="JX475" s="75"/>
      <c r="JY475" s="75"/>
      <c r="JZ475" s="75"/>
      <c r="KA475" s="75"/>
      <c r="KB475" s="75"/>
      <c r="KC475" s="75"/>
      <c r="KD475" s="75"/>
      <c r="KE475" s="75"/>
      <c r="KF475" s="75"/>
      <c r="KG475" s="75"/>
      <c r="KH475" s="75"/>
      <c r="KI475" s="75"/>
      <c r="KJ475" s="75"/>
      <c r="KK475" s="75"/>
      <c r="KL475" s="75"/>
      <c r="KM475" s="75"/>
      <c r="KN475" s="75"/>
      <c r="KO475" s="75"/>
      <c r="KP475" s="75"/>
      <c r="KQ475" s="75"/>
      <c r="KR475" s="75"/>
      <c r="KS475" s="75"/>
      <c r="KT475" s="75"/>
      <c r="KU475" s="75"/>
      <c r="KV475" s="75"/>
      <c r="KW475" s="75"/>
      <c r="KX475" s="75"/>
      <c r="KY475" s="75"/>
      <c r="KZ475" s="75"/>
      <c r="LA475" s="75"/>
      <c r="LB475" s="75"/>
      <c r="LC475" s="75"/>
      <c r="LD475" s="75"/>
      <c r="LE475" s="75"/>
      <c r="LF475" s="75"/>
      <c r="LG475" s="75"/>
      <c r="LH475" s="75"/>
      <c r="LI475" s="75"/>
      <c r="LJ475" s="75"/>
      <c r="LK475" s="75"/>
      <c r="LL475" s="75"/>
      <c r="LM475" s="75"/>
      <c r="LN475" s="75"/>
      <c r="LO475" s="75"/>
      <c r="LP475" s="75"/>
      <c r="LQ475" s="75"/>
      <c r="LR475" s="75"/>
      <c r="LS475" s="75"/>
      <c r="LT475" s="75"/>
      <c r="LU475" s="75"/>
      <c r="LV475" s="75"/>
      <c r="LW475" s="75"/>
      <c r="LX475" s="75"/>
      <c r="LY475" s="75"/>
      <c r="LZ475" s="75"/>
      <c r="MA475" s="75"/>
      <c r="MB475" s="75"/>
      <c r="MC475" s="75"/>
      <c r="MD475" s="75"/>
      <c r="ME475" s="75"/>
      <c r="MF475" s="75"/>
      <c r="MG475" s="75"/>
      <c r="MH475" s="75"/>
      <c r="MI475" s="75"/>
      <c r="MJ475" s="75"/>
      <c r="MK475" s="75"/>
      <c r="ML475" s="75"/>
      <c r="MM475" s="75"/>
      <c r="MN475" s="75"/>
      <c r="MO475" s="75"/>
      <c r="MP475" s="75"/>
      <c r="MQ475" s="75"/>
      <c r="MR475" s="75"/>
      <c r="MS475" s="75"/>
      <c r="MT475" s="75"/>
      <c r="MU475" s="75"/>
      <c r="MV475" s="75"/>
      <c r="MW475" s="75"/>
      <c r="MX475" s="75"/>
      <c r="MY475" s="75"/>
      <c r="MZ475" s="75"/>
      <c r="NA475" s="75"/>
      <c r="NB475" s="75"/>
      <c r="NC475" s="75"/>
      <c r="ND475" s="75"/>
      <c r="NE475" s="75"/>
      <c r="NF475" s="75"/>
      <c r="NG475" s="75"/>
      <c r="NH475" s="75"/>
      <c r="NI475" s="75"/>
      <c r="NJ475" s="75"/>
      <c r="NK475" s="75"/>
      <c r="NL475" s="75"/>
      <c r="NM475" s="75"/>
      <c r="NN475" s="75"/>
      <c r="NO475" s="75"/>
      <c r="NP475" s="75"/>
      <c r="NQ475" s="75"/>
      <c r="NR475" s="75"/>
      <c r="NS475" s="75"/>
      <c r="NT475" s="75"/>
      <c r="NU475" s="75"/>
      <c r="NV475" s="75"/>
      <c r="NW475" s="75"/>
      <c r="NX475" s="75"/>
      <c r="NY475" s="75"/>
      <c r="NZ475" s="75"/>
      <c r="OA475" s="75"/>
      <c r="OB475" s="75"/>
      <c r="OC475" s="75"/>
      <c r="OD475" s="75"/>
      <c r="OE475" s="75"/>
      <c r="OF475" s="75"/>
      <c r="OG475" s="75"/>
      <c r="OH475" s="75"/>
      <c r="OI475" s="75"/>
      <c r="OJ475" s="75"/>
      <c r="OK475" s="75"/>
      <c r="OL475" s="75"/>
      <c r="OM475" s="75"/>
      <c r="ON475" s="75"/>
      <c r="OO475" s="75"/>
      <c r="OP475" s="75"/>
      <c r="OQ475" s="75"/>
      <c r="OR475" s="75"/>
      <c r="OS475" s="75"/>
      <c r="OT475" s="75"/>
      <c r="OU475" s="75"/>
      <c r="OV475" s="75"/>
      <c r="OW475" s="75"/>
      <c r="OX475" s="75"/>
      <c r="OY475" s="75"/>
      <c r="OZ475" s="75"/>
      <c r="PA475" s="75"/>
      <c r="PB475" s="75"/>
      <c r="PC475" s="75"/>
      <c r="PD475" s="75"/>
      <c r="PE475" s="75"/>
      <c r="PF475" s="75"/>
      <c r="PG475" s="75"/>
      <c r="PH475" s="75"/>
      <c r="PI475" s="75"/>
      <c r="PJ475" s="75"/>
      <c r="PK475" s="75"/>
      <c r="PL475" s="75"/>
      <c r="PM475" s="75"/>
      <c r="PN475" s="75"/>
      <c r="PO475" s="75"/>
      <c r="PP475" s="75"/>
      <c r="PQ475" s="75"/>
      <c r="PR475" s="75"/>
      <c r="PS475" s="75"/>
      <c r="PT475" s="75"/>
      <c r="PU475" s="75"/>
      <c r="PV475" s="75"/>
      <c r="PW475" s="75"/>
      <c r="PX475" s="75"/>
      <c r="PY475" s="75"/>
      <c r="PZ475" s="75"/>
      <c r="QA475" s="75"/>
      <c r="QB475" s="75"/>
      <c r="QC475" s="75"/>
      <c r="QD475" s="75"/>
      <c r="QE475" s="75"/>
      <c r="QF475" s="75"/>
      <c r="QG475" s="75"/>
      <c r="QH475" s="75"/>
      <c r="QI475" s="75"/>
      <c r="QJ475" s="75"/>
      <c r="QK475" s="75"/>
      <c r="QL475" s="75"/>
      <c r="QM475" s="75"/>
      <c r="QN475" s="75"/>
      <c r="QO475" s="75"/>
      <c r="QP475" s="75"/>
      <c r="QQ475" s="75"/>
      <c r="QR475" s="75"/>
      <c r="QS475" s="75"/>
      <c r="QT475" s="75"/>
      <c r="QU475" s="75"/>
      <c r="QV475" s="75"/>
      <c r="QW475" s="75"/>
      <c r="QX475" s="75"/>
      <c r="QY475" s="75"/>
      <c r="QZ475" s="75"/>
      <c r="RA475" s="75"/>
      <c r="RB475" s="75"/>
      <c r="RC475" s="75"/>
      <c r="RD475" s="75"/>
      <c r="RE475" s="75"/>
      <c r="RF475" s="75"/>
      <c r="RG475" s="75"/>
      <c r="RH475" s="75"/>
      <c r="RI475" s="75"/>
      <c r="RJ475" s="75"/>
      <c r="RK475" s="75"/>
      <c r="RL475" s="75"/>
      <c r="RM475" s="75"/>
      <c r="RN475" s="75"/>
      <c r="RO475" s="75"/>
      <c r="RP475" s="75"/>
      <c r="RQ475" s="75"/>
      <c r="RR475" s="75"/>
      <c r="RS475" s="75"/>
      <c r="RT475" s="75"/>
      <c r="RU475" s="75"/>
      <c r="RV475" s="75"/>
      <c r="RW475" s="75"/>
      <c r="RX475" s="75"/>
      <c r="RY475" s="75"/>
      <c r="RZ475" s="75"/>
      <c r="SA475" s="75"/>
      <c r="SB475" s="75"/>
      <c r="SC475" s="75"/>
      <c r="SD475" s="75"/>
      <c r="SE475" s="75"/>
      <c r="SF475" s="75"/>
      <c r="SG475" s="75"/>
      <c r="SH475" s="75"/>
      <c r="SI475" s="75"/>
      <c r="SJ475" s="75"/>
      <c r="SK475" s="75"/>
      <c r="SL475" s="75"/>
      <c r="SM475" s="75"/>
      <c r="SN475" s="75"/>
      <c r="SO475" s="75"/>
      <c r="SP475" s="75"/>
      <c r="SQ475" s="75"/>
      <c r="SR475" s="75"/>
      <c r="SS475" s="75"/>
      <c r="ST475" s="75"/>
      <c r="SU475" s="75"/>
      <c r="SV475" s="75"/>
      <c r="SW475" s="75"/>
      <c r="SX475" s="75"/>
      <c r="SY475" s="75"/>
      <c r="SZ475" s="75"/>
      <c r="TA475" s="75"/>
      <c r="TB475" s="75"/>
      <c r="TC475" s="75"/>
      <c r="TD475" s="75"/>
      <c r="TE475" s="75"/>
      <c r="TF475" s="75"/>
      <c r="TG475" s="75"/>
      <c r="TH475" s="75"/>
      <c r="TI475" s="75"/>
      <c r="TJ475" s="75"/>
      <c r="TK475" s="75"/>
      <c r="TL475" s="75"/>
      <c r="TM475" s="75"/>
      <c r="TN475" s="75"/>
      <c r="TO475" s="75"/>
      <c r="TP475" s="75"/>
      <c r="TQ475" s="75"/>
      <c r="TR475" s="75"/>
      <c r="TS475" s="75"/>
      <c r="TT475" s="75"/>
      <c r="TU475" s="75"/>
      <c r="TV475" s="75"/>
      <c r="TW475" s="75"/>
      <c r="TX475" s="75"/>
      <c r="TY475" s="75"/>
      <c r="TZ475" s="75"/>
      <c r="UA475" s="75"/>
      <c r="UB475" s="75"/>
      <c r="UC475" s="75"/>
      <c r="UD475" s="75"/>
      <c r="UE475" s="75"/>
      <c r="UF475" s="75"/>
      <c r="UG475" s="75"/>
      <c r="UH475" s="75"/>
      <c r="UI475" s="75"/>
      <c r="UJ475" s="75"/>
      <c r="UK475" s="75"/>
      <c r="UL475" s="75"/>
      <c r="UM475" s="75"/>
      <c r="UN475" s="75"/>
      <c r="UO475" s="75"/>
      <c r="UP475" s="75"/>
      <c r="UQ475" s="75"/>
      <c r="UR475" s="75"/>
      <c r="US475" s="75"/>
      <c r="UT475" s="75"/>
      <c r="UU475" s="75"/>
      <c r="UV475" s="75"/>
      <c r="UW475" s="75"/>
      <c r="UX475" s="75"/>
      <c r="UY475" s="75"/>
      <c r="UZ475" s="75"/>
      <c r="VA475" s="75"/>
      <c r="VB475" s="75"/>
      <c r="VC475" s="75"/>
      <c r="VD475" s="75"/>
      <c r="VE475" s="75"/>
      <c r="VF475" s="75"/>
      <c r="VG475" s="75"/>
      <c r="VH475" s="75"/>
      <c r="VI475" s="75"/>
      <c r="VJ475" s="75"/>
      <c r="VK475" s="75"/>
      <c r="VL475" s="75"/>
      <c r="VM475" s="75"/>
      <c r="VN475" s="75"/>
      <c r="VO475" s="75"/>
      <c r="VP475" s="75"/>
      <c r="VQ475" s="75"/>
      <c r="VR475" s="75"/>
      <c r="VS475" s="75"/>
      <c r="VT475" s="75"/>
      <c r="VU475" s="75"/>
      <c r="VV475" s="75"/>
      <c r="VW475" s="75"/>
      <c r="VX475" s="75"/>
      <c r="VY475" s="75"/>
      <c r="VZ475" s="75"/>
      <c r="WA475" s="75"/>
      <c r="WB475" s="75"/>
      <c r="WC475" s="75"/>
      <c r="WD475" s="75"/>
      <c r="WE475" s="75"/>
      <c r="WF475" s="75"/>
      <c r="WG475" s="75"/>
      <c r="WH475" s="75"/>
      <c r="WI475" s="75"/>
      <c r="WJ475" s="75"/>
      <c r="WK475" s="75"/>
      <c r="WL475" s="75"/>
      <c r="WM475" s="75"/>
      <c r="WN475" s="75"/>
      <c r="WO475" s="75"/>
      <c r="WP475" s="75"/>
      <c r="WQ475" s="75"/>
      <c r="WR475" s="75"/>
      <c r="WS475" s="75"/>
      <c r="WT475" s="75"/>
      <c r="WU475" s="75"/>
      <c r="WV475" s="75"/>
      <c r="WW475" s="75"/>
      <c r="WX475" s="75"/>
      <c r="WY475" s="75"/>
      <c r="WZ475" s="75"/>
      <c r="XA475" s="75"/>
      <c r="XB475" s="75"/>
      <c r="XC475" s="75"/>
      <c r="XD475" s="75"/>
      <c r="XE475" s="75"/>
      <c r="XF475" s="75"/>
      <c r="XG475" s="75"/>
      <c r="XH475" s="75"/>
      <c r="XI475" s="75"/>
      <c r="XJ475" s="75"/>
      <c r="XK475" s="75"/>
      <c r="XL475" s="75"/>
      <c r="XM475" s="75"/>
      <c r="XN475" s="75"/>
      <c r="XO475" s="75"/>
      <c r="XP475" s="75"/>
      <c r="XQ475" s="75"/>
      <c r="XR475" s="75"/>
      <c r="XS475" s="75"/>
      <c r="XT475" s="75"/>
      <c r="XU475" s="75"/>
      <c r="XV475" s="75"/>
      <c r="XW475" s="75"/>
      <c r="XX475" s="75"/>
      <c r="XY475" s="75"/>
      <c r="XZ475" s="75"/>
      <c r="YA475" s="75"/>
      <c r="YB475" s="75"/>
      <c r="YC475" s="75"/>
      <c r="YD475" s="75"/>
      <c r="YE475" s="75"/>
      <c r="YF475" s="75"/>
      <c r="YG475" s="75"/>
      <c r="YH475" s="75"/>
      <c r="YI475" s="75"/>
      <c r="YJ475" s="75"/>
      <c r="YK475" s="75"/>
      <c r="YL475" s="75"/>
      <c r="YM475" s="75"/>
      <c r="YN475" s="75"/>
      <c r="YO475" s="75"/>
      <c r="YP475" s="75"/>
      <c r="YQ475" s="75"/>
      <c r="YR475" s="75"/>
      <c r="YS475" s="75"/>
      <c r="YT475" s="75"/>
      <c r="YU475" s="75"/>
      <c r="YV475" s="75"/>
      <c r="YW475" s="75"/>
      <c r="YX475" s="75"/>
      <c r="YY475" s="75"/>
      <c r="YZ475" s="75"/>
      <c r="ZA475" s="75"/>
      <c r="ZB475" s="75"/>
      <c r="ZC475" s="75"/>
      <c r="ZD475" s="75"/>
      <c r="ZE475" s="75"/>
      <c r="ZF475" s="75"/>
      <c r="ZG475" s="75"/>
      <c r="ZH475" s="75"/>
      <c r="ZI475" s="75"/>
      <c r="ZJ475" s="75"/>
      <c r="ZK475" s="75"/>
      <c r="ZL475" s="75"/>
      <c r="ZM475" s="75"/>
      <c r="ZN475" s="75"/>
      <c r="ZO475" s="75"/>
      <c r="ZP475" s="75"/>
      <c r="ZQ475" s="75"/>
      <c r="ZR475" s="75"/>
      <c r="ZS475" s="75"/>
      <c r="ZT475" s="75"/>
      <c r="ZU475" s="75"/>
      <c r="ZV475" s="75"/>
      <c r="ZW475" s="75"/>
      <c r="ZX475" s="75"/>
      <c r="ZY475" s="75"/>
      <c r="ZZ475" s="75"/>
      <c r="AAA475" s="75"/>
      <c r="AAB475" s="75"/>
      <c r="AAC475" s="75"/>
      <c r="AAD475" s="75"/>
      <c r="AAE475" s="75"/>
      <c r="AAF475" s="75"/>
      <c r="AAG475" s="75"/>
      <c r="AAH475" s="75"/>
      <c r="AAI475" s="75"/>
      <c r="AAJ475" s="75"/>
      <c r="AAK475" s="75"/>
      <c r="AAL475" s="75"/>
      <c r="AAM475" s="75"/>
      <c r="AAN475" s="75"/>
      <c r="AAO475" s="75"/>
      <c r="AAP475" s="75"/>
      <c r="AAQ475" s="75"/>
      <c r="AAR475" s="75"/>
      <c r="AAS475" s="75"/>
      <c r="AAT475" s="75"/>
      <c r="AAU475" s="75"/>
      <c r="AAV475" s="75"/>
      <c r="AAW475" s="75"/>
      <c r="AAX475" s="75"/>
      <c r="AAY475" s="75"/>
      <c r="AAZ475" s="75"/>
      <c r="ABA475" s="75"/>
      <c r="ABB475" s="75"/>
      <c r="ABC475" s="75"/>
      <c r="ABD475" s="75"/>
      <c r="ABE475" s="75"/>
      <c r="ABF475" s="75"/>
      <c r="ABG475" s="75"/>
      <c r="ABH475" s="75"/>
      <c r="ABI475" s="75"/>
      <c r="ABJ475" s="75"/>
      <c r="ABK475" s="75"/>
      <c r="ABL475" s="75"/>
      <c r="ABM475" s="75"/>
      <c r="ABN475" s="75"/>
      <c r="ABO475" s="75"/>
      <c r="ABP475" s="75"/>
      <c r="ABQ475" s="75"/>
      <c r="ABR475" s="75"/>
      <c r="ABS475" s="75"/>
      <c r="ABT475" s="75"/>
      <c r="ABU475" s="75"/>
      <c r="ABV475" s="75"/>
      <c r="ABW475" s="75"/>
      <c r="ABX475" s="75"/>
      <c r="ABY475" s="75"/>
      <c r="ABZ475" s="75"/>
      <c r="ACA475" s="75"/>
      <c r="ACB475" s="75"/>
      <c r="ACC475" s="75"/>
      <c r="ACD475" s="75"/>
      <c r="ACE475" s="75"/>
      <c r="ACF475" s="75"/>
      <c r="ACG475" s="75"/>
      <c r="ACH475" s="75"/>
      <c r="ACI475" s="75"/>
      <c r="ACJ475" s="75"/>
      <c r="ACK475" s="75"/>
      <c r="ACL475" s="75"/>
      <c r="ACM475" s="75"/>
      <c r="ACN475" s="75"/>
      <c r="ACO475" s="75"/>
      <c r="ACP475" s="75"/>
      <c r="ACQ475" s="75"/>
      <c r="ACR475" s="75"/>
      <c r="ACS475" s="75"/>
      <c r="ACT475" s="75"/>
      <c r="ACU475" s="75"/>
      <c r="ACV475" s="75"/>
      <c r="ACW475" s="75"/>
      <c r="ACX475" s="75"/>
      <c r="ACY475" s="75"/>
      <c r="ACZ475" s="75"/>
      <c r="ADA475" s="75"/>
      <c r="ADB475" s="75"/>
      <c r="ADC475" s="75"/>
      <c r="ADD475" s="75"/>
      <c r="ADE475" s="75"/>
      <c r="ADF475" s="75"/>
      <c r="ADG475" s="75"/>
      <c r="ADH475" s="75"/>
      <c r="ADI475" s="75"/>
      <c r="ADJ475" s="75"/>
      <c r="ADK475" s="75"/>
      <c r="ADL475" s="75"/>
      <c r="ADM475" s="75"/>
      <c r="ADN475" s="75"/>
      <c r="ADO475" s="75"/>
      <c r="ADP475" s="75"/>
      <c r="ADQ475" s="75"/>
      <c r="ADR475" s="75"/>
      <c r="ADS475" s="75"/>
      <c r="ADT475" s="75"/>
      <c r="ADU475" s="75"/>
      <c r="ADV475" s="75"/>
      <c r="ADW475" s="75"/>
      <c r="ADX475" s="75"/>
      <c r="ADY475" s="75"/>
      <c r="ADZ475" s="75"/>
      <c r="AEA475" s="75"/>
      <c r="AEB475" s="75"/>
      <c r="AEC475" s="75"/>
      <c r="AED475" s="75"/>
      <c r="AEE475" s="75"/>
      <c r="AEF475" s="75"/>
      <c r="AEG475" s="75"/>
      <c r="AEH475" s="75"/>
      <c r="AEI475" s="75"/>
      <c r="AEJ475" s="75"/>
      <c r="AEK475" s="75"/>
      <c r="AEL475" s="75"/>
      <c r="AEM475" s="75"/>
      <c r="AEN475" s="75"/>
      <c r="AEO475" s="75"/>
      <c r="AEP475" s="75"/>
      <c r="AEQ475" s="75"/>
      <c r="AER475" s="75"/>
      <c r="AES475" s="75"/>
      <c r="AET475" s="75"/>
      <c r="AEU475" s="75"/>
      <c r="AEV475" s="75"/>
      <c r="AEW475" s="75"/>
      <c r="AEX475" s="75"/>
      <c r="AEY475" s="75"/>
      <c r="AEZ475" s="75"/>
      <c r="AFA475" s="75"/>
      <c r="AFB475" s="75"/>
      <c r="AFC475" s="75"/>
      <c r="AFD475" s="75"/>
      <c r="AFE475" s="75"/>
      <c r="AFF475" s="75"/>
      <c r="AFG475" s="75"/>
      <c r="AFH475" s="75"/>
      <c r="AFI475" s="75"/>
      <c r="AFJ475" s="75"/>
      <c r="AFK475" s="75"/>
      <c r="AFL475" s="75"/>
      <c r="AFM475" s="75"/>
      <c r="AFN475" s="75"/>
      <c r="AFO475" s="75"/>
      <c r="AFP475" s="75"/>
      <c r="AFQ475" s="75"/>
      <c r="AFR475" s="75"/>
      <c r="AFS475" s="75"/>
      <c r="AFT475" s="75"/>
      <c r="AFU475" s="75"/>
      <c r="AFV475" s="75"/>
      <c r="AFW475" s="75"/>
      <c r="AFX475" s="75"/>
      <c r="AFY475" s="75"/>
      <c r="AFZ475" s="75"/>
      <c r="AGA475" s="75"/>
      <c r="AGB475" s="75"/>
      <c r="AGC475" s="75"/>
      <c r="AGD475" s="75"/>
      <c r="AGE475" s="75"/>
      <c r="AGF475" s="75"/>
      <c r="AGG475" s="75"/>
      <c r="AGH475" s="75"/>
      <c r="AGI475" s="75"/>
      <c r="AGJ475" s="75"/>
      <c r="AGK475" s="75"/>
      <c r="AGL475" s="75"/>
      <c r="AGM475" s="75"/>
      <c r="AGN475" s="75"/>
      <c r="AGO475" s="75"/>
      <c r="AGP475" s="75"/>
      <c r="AGQ475" s="75"/>
      <c r="AGR475" s="75"/>
      <c r="AGS475" s="75"/>
      <c r="AGT475" s="75"/>
      <c r="AGU475" s="75"/>
      <c r="AGV475" s="75"/>
      <c r="AGW475" s="75"/>
      <c r="AGX475" s="75"/>
      <c r="AGY475" s="75"/>
      <c r="AGZ475" s="75"/>
      <c r="AHA475" s="75"/>
      <c r="AHB475" s="75"/>
      <c r="AHC475" s="75"/>
      <c r="AHD475" s="75"/>
      <c r="AHE475" s="75"/>
      <c r="AHF475" s="75"/>
      <c r="AHG475" s="75"/>
      <c r="AHH475" s="75"/>
      <c r="AHI475" s="75"/>
      <c r="AHJ475" s="75"/>
      <c r="AHK475" s="75"/>
      <c r="AHL475" s="75"/>
      <c r="AHM475" s="75"/>
      <c r="AHN475" s="75"/>
      <c r="AHO475" s="75"/>
      <c r="AHP475" s="75"/>
      <c r="AHQ475" s="75"/>
      <c r="AHR475" s="75"/>
      <c r="AHS475" s="75"/>
      <c r="AHT475" s="75"/>
      <c r="AHU475" s="75"/>
      <c r="AHV475" s="75"/>
      <c r="AHW475" s="75"/>
      <c r="AHX475" s="75"/>
      <c r="AHY475" s="75"/>
      <c r="AHZ475" s="75"/>
      <c r="AIA475" s="75"/>
      <c r="AIB475" s="75"/>
      <c r="AIC475" s="75"/>
      <c r="AID475" s="75"/>
      <c r="AIE475" s="75"/>
      <c r="AIF475" s="75"/>
      <c r="AIG475" s="75"/>
      <c r="AIH475" s="75"/>
      <c r="AII475" s="75"/>
      <c r="AIJ475" s="75"/>
      <c r="AIK475" s="75"/>
      <c r="AIL475" s="75"/>
      <c r="AIM475" s="75"/>
      <c r="AIN475" s="75"/>
      <c r="AIO475" s="75"/>
      <c r="AIP475" s="75"/>
      <c r="AIQ475" s="75"/>
      <c r="AIR475" s="75"/>
      <c r="AIS475" s="75"/>
      <c r="AIT475" s="75"/>
      <c r="AIU475" s="75"/>
      <c r="AIV475" s="75"/>
      <c r="AIW475" s="75"/>
      <c r="AIX475" s="75"/>
      <c r="AIY475" s="75"/>
      <c r="AIZ475" s="75"/>
      <c r="AJA475" s="75"/>
      <c r="AJB475" s="75"/>
      <c r="AJC475" s="75"/>
      <c r="AJD475" s="75"/>
      <c r="AJE475" s="75"/>
      <c r="AJF475" s="75"/>
      <c r="AJG475" s="75"/>
      <c r="AJH475" s="75"/>
      <c r="AJI475" s="75"/>
      <c r="AJJ475" s="75"/>
      <c r="AJK475" s="75"/>
      <c r="AJL475" s="75"/>
      <c r="AJM475" s="75"/>
      <c r="AJN475" s="75"/>
      <c r="AJO475" s="75"/>
      <c r="AJP475" s="75"/>
      <c r="AJQ475" s="75"/>
      <c r="AJR475" s="75"/>
      <c r="AJS475" s="75"/>
      <c r="AJT475" s="75"/>
      <c r="AJU475" s="75"/>
      <c r="AJV475" s="75"/>
      <c r="AJW475" s="75"/>
      <c r="AJX475" s="75"/>
      <c r="AJY475" s="75"/>
      <c r="AJZ475" s="75"/>
      <c r="AKA475" s="75"/>
      <c r="AKB475" s="75"/>
      <c r="AKC475" s="75"/>
      <c r="AKD475" s="75"/>
      <c r="AKE475" s="75"/>
      <c r="AKF475" s="75"/>
      <c r="AKG475" s="75"/>
      <c r="AKH475" s="75"/>
      <c r="AKI475" s="75"/>
      <c r="AKJ475" s="75"/>
      <c r="AKK475" s="75"/>
      <c r="AKL475" s="75"/>
      <c r="AKM475" s="75"/>
      <c r="AKN475" s="75"/>
      <c r="AKO475" s="75"/>
      <c r="AKP475" s="75"/>
      <c r="AKQ475" s="75"/>
      <c r="AKR475" s="75"/>
      <c r="AKS475" s="75"/>
      <c r="AKT475" s="75"/>
      <c r="AKU475" s="75"/>
      <c r="AKV475" s="75"/>
      <c r="AKW475" s="75"/>
      <c r="AKX475" s="75"/>
      <c r="AKY475" s="75"/>
      <c r="AKZ475" s="75"/>
      <c r="ALA475" s="75"/>
      <c r="ALB475" s="75"/>
      <c r="ALC475" s="75"/>
      <c r="ALD475" s="75"/>
      <c r="ALE475" s="75"/>
      <c r="ALF475" s="75"/>
      <c r="ALG475" s="75"/>
      <c r="ALH475" s="75"/>
      <c r="ALI475" s="75"/>
      <c r="ALJ475" s="75"/>
      <c r="ALK475" s="75"/>
      <c r="ALL475" s="75"/>
      <c r="ALM475" s="75"/>
      <c r="ALN475" s="75"/>
      <c r="ALO475" s="75"/>
    </row>
    <row r="476" spans="1:1003" s="235" customFormat="1" ht="14.55" customHeight="1" outlineLevel="1" x14ac:dyDescent="0.25">
      <c r="A476" s="230" t="s">
        <v>1422</v>
      </c>
      <c r="B476" s="343" t="str">
        <f>"13.02"</f>
        <v>13.02</v>
      </c>
      <c r="C476" s="75" t="s">
        <v>2139</v>
      </c>
      <c r="D476" s="127" t="s">
        <v>2140</v>
      </c>
      <c r="E476" s="232"/>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c r="AY476" s="75"/>
      <c r="AZ476" s="75"/>
      <c r="BA476" s="75"/>
      <c r="BB476" s="75"/>
      <c r="BC476" s="75"/>
      <c r="BD476" s="75"/>
      <c r="BE476" s="75"/>
      <c r="BF476" s="75"/>
      <c r="BG476" s="75"/>
      <c r="BH476" s="75"/>
      <c r="BI476" s="75"/>
      <c r="BJ476" s="75"/>
      <c r="BK476" s="75"/>
      <c r="BL476" s="75"/>
      <c r="BM476" s="75"/>
      <c r="BN476" s="75"/>
      <c r="BO476" s="75"/>
      <c r="BP476" s="75"/>
      <c r="BQ476" s="75"/>
      <c r="BR476" s="75"/>
      <c r="BS476" s="75"/>
      <c r="BT476" s="75"/>
      <c r="BU476" s="75"/>
      <c r="BV476" s="75"/>
      <c r="BW476" s="75"/>
      <c r="BX476" s="75"/>
      <c r="BY476" s="75"/>
      <c r="BZ476" s="75"/>
      <c r="CA476" s="75"/>
      <c r="CB476" s="75"/>
      <c r="CC476" s="75"/>
      <c r="CD476" s="75"/>
      <c r="CE476" s="75"/>
      <c r="CF476" s="75"/>
      <c r="CG476" s="75"/>
      <c r="CH476" s="75"/>
      <c r="CI476" s="75"/>
      <c r="CJ476" s="75"/>
      <c r="CK476" s="75"/>
      <c r="CL476" s="75"/>
      <c r="CM476" s="75"/>
      <c r="CN476" s="75"/>
      <c r="CO476" s="75"/>
      <c r="CP476" s="75"/>
      <c r="CQ476" s="75"/>
      <c r="CR476" s="75"/>
      <c r="CS476" s="75"/>
      <c r="CT476" s="75"/>
      <c r="CU476" s="75"/>
      <c r="CV476" s="75"/>
      <c r="CW476" s="75"/>
      <c r="CX476" s="75"/>
      <c r="CY476" s="75"/>
      <c r="CZ476" s="75"/>
      <c r="DA476" s="75"/>
      <c r="DB476" s="75"/>
      <c r="DC476" s="75"/>
      <c r="DD476" s="75"/>
      <c r="DE476" s="75"/>
      <c r="DF476" s="75"/>
      <c r="DG476" s="75"/>
      <c r="DH476" s="75"/>
      <c r="DI476" s="75"/>
      <c r="DJ476" s="75"/>
      <c r="DK476" s="75"/>
      <c r="DL476" s="75"/>
      <c r="DM476" s="75"/>
      <c r="DN476" s="75"/>
      <c r="DO476" s="75"/>
      <c r="DP476" s="75"/>
      <c r="DQ476" s="75"/>
      <c r="DR476" s="75"/>
      <c r="DS476" s="75"/>
      <c r="DT476" s="75"/>
      <c r="DU476" s="75"/>
      <c r="DV476" s="75"/>
      <c r="DW476" s="75"/>
      <c r="DX476" s="75"/>
      <c r="DY476" s="75"/>
      <c r="DZ476" s="75"/>
      <c r="EA476" s="75"/>
      <c r="EB476" s="75"/>
      <c r="EC476" s="75"/>
      <c r="ED476" s="75"/>
      <c r="EE476" s="75"/>
      <c r="EF476" s="75"/>
      <c r="EG476" s="75"/>
      <c r="EH476" s="75"/>
      <c r="EI476" s="75"/>
      <c r="EJ476" s="75"/>
      <c r="EK476" s="75"/>
      <c r="EL476" s="75"/>
      <c r="EM476" s="75"/>
      <c r="EN476" s="75"/>
      <c r="EO476" s="75"/>
      <c r="EP476" s="75"/>
      <c r="EQ476" s="75"/>
      <c r="ER476" s="75"/>
      <c r="ES476" s="75"/>
      <c r="ET476" s="75"/>
      <c r="EU476" s="75"/>
      <c r="EV476" s="75"/>
      <c r="EW476" s="75"/>
      <c r="EX476" s="75"/>
      <c r="EY476" s="75"/>
      <c r="EZ476" s="75"/>
      <c r="FA476" s="75"/>
      <c r="FB476" s="75"/>
      <c r="FC476" s="75"/>
      <c r="FD476" s="75"/>
      <c r="FE476" s="75"/>
      <c r="FF476" s="75"/>
      <c r="FG476" s="75"/>
      <c r="FH476" s="75"/>
      <c r="FI476" s="75"/>
      <c r="FJ476" s="75"/>
      <c r="FK476" s="75"/>
      <c r="FL476" s="75"/>
      <c r="FM476" s="75"/>
      <c r="FN476" s="75"/>
      <c r="FO476" s="75"/>
      <c r="FP476" s="75"/>
      <c r="FQ476" s="75"/>
      <c r="FR476" s="75"/>
      <c r="FS476" s="75"/>
      <c r="FT476" s="75"/>
      <c r="FU476" s="75"/>
      <c r="FV476" s="75"/>
      <c r="FW476" s="75"/>
      <c r="FX476" s="75"/>
      <c r="FY476" s="75"/>
      <c r="FZ476" s="75"/>
      <c r="GA476" s="75"/>
      <c r="GB476" s="75"/>
      <c r="GC476" s="75"/>
      <c r="GD476" s="75"/>
      <c r="GE476" s="75"/>
      <c r="GF476" s="75"/>
      <c r="GG476" s="75"/>
      <c r="GH476" s="75"/>
      <c r="GI476" s="75"/>
      <c r="GJ476" s="75"/>
      <c r="GK476" s="75"/>
      <c r="GL476" s="75"/>
      <c r="GM476" s="75"/>
      <c r="GN476" s="75"/>
      <c r="GO476" s="75"/>
      <c r="GP476" s="75"/>
      <c r="GQ476" s="75"/>
      <c r="GR476" s="75"/>
      <c r="GS476" s="75"/>
      <c r="GT476" s="75"/>
      <c r="GU476" s="75"/>
      <c r="GV476" s="75"/>
      <c r="GW476" s="75"/>
      <c r="GX476" s="75"/>
      <c r="GY476" s="75"/>
      <c r="GZ476" s="75"/>
      <c r="HA476" s="75"/>
      <c r="HB476" s="75"/>
      <c r="HC476" s="75"/>
      <c r="HD476" s="75"/>
      <c r="HE476" s="75"/>
      <c r="HF476" s="75"/>
      <c r="HG476" s="75"/>
      <c r="HH476" s="75"/>
      <c r="HI476" s="75"/>
      <c r="HJ476" s="75"/>
      <c r="HK476" s="75"/>
      <c r="HL476" s="75"/>
      <c r="HM476" s="75"/>
      <c r="HN476" s="75"/>
      <c r="HO476" s="75"/>
      <c r="HP476" s="75"/>
      <c r="HQ476" s="75"/>
      <c r="HR476" s="75"/>
      <c r="HS476" s="75"/>
      <c r="HT476" s="75"/>
      <c r="HU476" s="75"/>
      <c r="HV476" s="75"/>
      <c r="HW476" s="75"/>
      <c r="HX476" s="75"/>
      <c r="HY476" s="75"/>
      <c r="HZ476" s="75"/>
      <c r="IA476" s="75"/>
      <c r="IB476" s="75"/>
      <c r="IC476" s="75"/>
      <c r="ID476" s="75"/>
      <c r="IE476" s="75"/>
      <c r="IF476" s="75"/>
      <c r="IG476" s="75"/>
      <c r="IH476" s="75"/>
      <c r="II476" s="75"/>
      <c r="IJ476" s="75"/>
      <c r="IK476" s="75"/>
      <c r="IL476" s="75"/>
      <c r="IM476" s="75"/>
      <c r="IN476" s="75"/>
      <c r="IO476" s="75"/>
      <c r="IP476" s="75"/>
      <c r="IQ476" s="75"/>
      <c r="IR476" s="75"/>
      <c r="IS476" s="75"/>
      <c r="IT476" s="75"/>
      <c r="IU476" s="75"/>
      <c r="IV476" s="75"/>
      <c r="IW476" s="75"/>
      <c r="IX476" s="75"/>
      <c r="IY476" s="75"/>
      <c r="IZ476" s="75"/>
      <c r="JA476" s="75"/>
      <c r="JB476" s="75"/>
      <c r="JC476" s="75"/>
      <c r="JD476" s="75"/>
      <c r="JE476" s="75"/>
      <c r="JF476" s="75"/>
      <c r="JG476" s="75"/>
      <c r="JH476" s="75"/>
      <c r="JI476" s="75"/>
      <c r="JJ476" s="75"/>
      <c r="JK476" s="75"/>
      <c r="JL476" s="75"/>
      <c r="JM476" s="75"/>
      <c r="JN476" s="75"/>
      <c r="JO476" s="75"/>
      <c r="JP476" s="75"/>
      <c r="JQ476" s="75"/>
      <c r="JR476" s="75"/>
      <c r="JS476" s="75"/>
      <c r="JT476" s="75"/>
      <c r="JU476" s="75"/>
      <c r="JV476" s="75"/>
      <c r="JW476" s="75"/>
      <c r="JX476" s="75"/>
      <c r="JY476" s="75"/>
      <c r="JZ476" s="75"/>
      <c r="KA476" s="75"/>
      <c r="KB476" s="75"/>
      <c r="KC476" s="75"/>
      <c r="KD476" s="75"/>
      <c r="KE476" s="75"/>
      <c r="KF476" s="75"/>
      <c r="KG476" s="75"/>
      <c r="KH476" s="75"/>
      <c r="KI476" s="75"/>
      <c r="KJ476" s="75"/>
      <c r="KK476" s="75"/>
      <c r="KL476" s="75"/>
      <c r="KM476" s="75"/>
      <c r="KN476" s="75"/>
      <c r="KO476" s="75"/>
      <c r="KP476" s="75"/>
      <c r="KQ476" s="75"/>
      <c r="KR476" s="75"/>
      <c r="KS476" s="75"/>
      <c r="KT476" s="75"/>
      <c r="KU476" s="75"/>
      <c r="KV476" s="75"/>
      <c r="KW476" s="75"/>
      <c r="KX476" s="75"/>
      <c r="KY476" s="75"/>
      <c r="KZ476" s="75"/>
      <c r="LA476" s="75"/>
      <c r="LB476" s="75"/>
      <c r="LC476" s="75"/>
      <c r="LD476" s="75"/>
      <c r="LE476" s="75"/>
      <c r="LF476" s="75"/>
      <c r="LG476" s="75"/>
      <c r="LH476" s="75"/>
      <c r="LI476" s="75"/>
      <c r="LJ476" s="75"/>
      <c r="LK476" s="75"/>
      <c r="LL476" s="75"/>
      <c r="LM476" s="75"/>
      <c r="LN476" s="75"/>
      <c r="LO476" s="75"/>
      <c r="LP476" s="75"/>
      <c r="LQ476" s="75"/>
      <c r="LR476" s="75"/>
      <c r="LS476" s="75"/>
      <c r="LT476" s="75"/>
      <c r="LU476" s="75"/>
      <c r="LV476" s="75"/>
      <c r="LW476" s="75"/>
      <c r="LX476" s="75"/>
      <c r="LY476" s="75"/>
      <c r="LZ476" s="75"/>
      <c r="MA476" s="75"/>
      <c r="MB476" s="75"/>
      <c r="MC476" s="75"/>
      <c r="MD476" s="75"/>
      <c r="ME476" s="75"/>
      <c r="MF476" s="75"/>
      <c r="MG476" s="75"/>
      <c r="MH476" s="75"/>
      <c r="MI476" s="75"/>
      <c r="MJ476" s="75"/>
      <c r="MK476" s="75"/>
      <c r="ML476" s="75"/>
      <c r="MM476" s="75"/>
      <c r="MN476" s="75"/>
      <c r="MO476" s="75"/>
      <c r="MP476" s="75"/>
      <c r="MQ476" s="75"/>
      <c r="MR476" s="75"/>
      <c r="MS476" s="75"/>
      <c r="MT476" s="75"/>
      <c r="MU476" s="75"/>
      <c r="MV476" s="75"/>
      <c r="MW476" s="75"/>
      <c r="MX476" s="75"/>
      <c r="MY476" s="75"/>
      <c r="MZ476" s="75"/>
      <c r="NA476" s="75"/>
      <c r="NB476" s="75"/>
      <c r="NC476" s="75"/>
      <c r="ND476" s="75"/>
      <c r="NE476" s="75"/>
      <c r="NF476" s="75"/>
      <c r="NG476" s="75"/>
      <c r="NH476" s="75"/>
      <c r="NI476" s="75"/>
      <c r="NJ476" s="75"/>
      <c r="NK476" s="75"/>
      <c r="NL476" s="75"/>
      <c r="NM476" s="75"/>
      <c r="NN476" s="75"/>
      <c r="NO476" s="75"/>
      <c r="NP476" s="75"/>
      <c r="NQ476" s="75"/>
      <c r="NR476" s="75"/>
      <c r="NS476" s="75"/>
      <c r="NT476" s="75"/>
      <c r="NU476" s="75"/>
      <c r="NV476" s="75"/>
      <c r="NW476" s="75"/>
      <c r="NX476" s="75"/>
      <c r="NY476" s="75"/>
      <c r="NZ476" s="75"/>
      <c r="OA476" s="75"/>
      <c r="OB476" s="75"/>
      <c r="OC476" s="75"/>
      <c r="OD476" s="75"/>
      <c r="OE476" s="75"/>
      <c r="OF476" s="75"/>
      <c r="OG476" s="75"/>
      <c r="OH476" s="75"/>
      <c r="OI476" s="75"/>
      <c r="OJ476" s="75"/>
      <c r="OK476" s="75"/>
      <c r="OL476" s="75"/>
      <c r="OM476" s="75"/>
      <c r="ON476" s="75"/>
      <c r="OO476" s="75"/>
      <c r="OP476" s="75"/>
      <c r="OQ476" s="75"/>
      <c r="OR476" s="75"/>
      <c r="OS476" s="75"/>
      <c r="OT476" s="75"/>
      <c r="OU476" s="75"/>
      <c r="OV476" s="75"/>
      <c r="OW476" s="75"/>
      <c r="OX476" s="75"/>
      <c r="OY476" s="75"/>
      <c r="OZ476" s="75"/>
      <c r="PA476" s="75"/>
      <c r="PB476" s="75"/>
      <c r="PC476" s="75"/>
      <c r="PD476" s="75"/>
      <c r="PE476" s="75"/>
      <c r="PF476" s="75"/>
      <c r="PG476" s="75"/>
      <c r="PH476" s="75"/>
      <c r="PI476" s="75"/>
      <c r="PJ476" s="75"/>
      <c r="PK476" s="75"/>
      <c r="PL476" s="75"/>
      <c r="PM476" s="75"/>
      <c r="PN476" s="75"/>
      <c r="PO476" s="75"/>
      <c r="PP476" s="75"/>
      <c r="PQ476" s="75"/>
      <c r="PR476" s="75"/>
      <c r="PS476" s="75"/>
      <c r="PT476" s="75"/>
      <c r="PU476" s="75"/>
      <c r="PV476" s="75"/>
      <c r="PW476" s="75"/>
      <c r="PX476" s="75"/>
      <c r="PY476" s="75"/>
      <c r="PZ476" s="75"/>
      <c r="QA476" s="75"/>
      <c r="QB476" s="75"/>
      <c r="QC476" s="75"/>
      <c r="QD476" s="75"/>
      <c r="QE476" s="75"/>
      <c r="QF476" s="75"/>
      <c r="QG476" s="75"/>
      <c r="QH476" s="75"/>
      <c r="QI476" s="75"/>
      <c r="QJ476" s="75"/>
      <c r="QK476" s="75"/>
      <c r="QL476" s="75"/>
      <c r="QM476" s="75"/>
      <c r="QN476" s="75"/>
      <c r="QO476" s="75"/>
      <c r="QP476" s="75"/>
      <c r="QQ476" s="75"/>
      <c r="QR476" s="75"/>
      <c r="QS476" s="75"/>
      <c r="QT476" s="75"/>
      <c r="QU476" s="75"/>
      <c r="QV476" s="75"/>
      <c r="QW476" s="75"/>
      <c r="QX476" s="75"/>
      <c r="QY476" s="75"/>
      <c r="QZ476" s="75"/>
      <c r="RA476" s="75"/>
      <c r="RB476" s="75"/>
      <c r="RC476" s="75"/>
      <c r="RD476" s="75"/>
      <c r="RE476" s="75"/>
      <c r="RF476" s="75"/>
      <c r="RG476" s="75"/>
      <c r="RH476" s="75"/>
      <c r="RI476" s="75"/>
      <c r="RJ476" s="75"/>
      <c r="RK476" s="75"/>
      <c r="RL476" s="75"/>
      <c r="RM476" s="75"/>
      <c r="RN476" s="75"/>
      <c r="RO476" s="75"/>
      <c r="RP476" s="75"/>
      <c r="RQ476" s="75"/>
      <c r="RR476" s="75"/>
      <c r="RS476" s="75"/>
      <c r="RT476" s="75"/>
      <c r="RU476" s="75"/>
      <c r="RV476" s="75"/>
      <c r="RW476" s="75"/>
      <c r="RX476" s="75"/>
      <c r="RY476" s="75"/>
      <c r="RZ476" s="75"/>
      <c r="SA476" s="75"/>
      <c r="SB476" s="75"/>
      <c r="SC476" s="75"/>
      <c r="SD476" s="75"/>
      <c r="SE476" s="75"/>
      <c r="SF476" s="75"/>
      <c r="SG476" s="75"/>
      <c r="SH476" s="75"/>
      <c r="SI476" s="75"/>
      <c r="SJ476" s="75"/>
      <c r="SK476" s="75"/>
      <c r="SL476" s="75"/>
      <c r="SM476" s="75"/>
      <c r="SN476" s="75"/>
      <c r="SO476" s="75"/>
      <c r="SP476" s="75"/>
      <c r="SQ476" s="75"/>
      <c r="SR476" s="75"/>
      <c r="SS476" s="75"/>
      <c r="ST476" s="75"/>
      <c r="SU476" s="75"/>
      <c r="SV476" s="75"/>
      <c r="SW476" s="75"/>
      <c r="SX476" s="75"/>
      <c r="SY476" s="75"/>
      <c r="SZ476" s="75"/>
      <c r="TA476" s="75"/>
      <c r="TB476" s="75"/>
      <c r="TC476" s="75"/>
      <c r="TD476" s="75"/>
      <c r="TE476" s="75"/>
      <c r="TF476" s="75"/>
      <c r="TG476" s="75"/>
      <c r="TH476" s="75"/>
      <c r="TI476" s="75"/>
      <c r="TJ476" s="75"/>
      <c r="TK476" s="75"/>
      <c r="TL476" s="75"/>
      <c r="TM476" s="75"/>
      <c r="TN476" s="75"/>
      <c r="TO476" s="75"/>
      <c r="TP476" s="75"/>
      <c r="TQ476" s="75"/>
      <c r="TR476" s="75"/>
      <c r="TS476" s="75"/>
      <c r="TT476" s="75"/>
      <c r="TU476" s="75"/>
      <c r="TV476" s="75"/>
      <c r="TW476" s="75"/>
      <c r="TX476" s="75"/>
      <c r="TY476" s="75"/>
      <c r="TZ476" s="75"/>
      <c r="UA476" s="75"/>
      <c r="UB476" s="75"/>
      <c r="UC476" s="75"/>
      <c r="UD476" s="75"/>
      <c r="UE476" s="75"/>
      <c r="UF476" s="75"/>
      <c r="UG476" s="75"/>
      <c r="UH476" s="75"/>
      <c r="UI476" s="75"/>
      <c r="UJ476" s="75"/>
      <c r="UK476" s="75"/>
      <c r="UL476" s="75"/>
      <c r="UM476" s="75"/>
      <c r="UN476" s="75"/>
      <c r="UO476" s="75"/>
      <c r="UP476" s="75"/>
      <c r="UQ476" s="75"/>
      <c r="UR476" s="75"/>
      <c r="US476" s="75"/>
      <c r="UT476" s="75"/>
      <c r="UU476" s="75"/>
      <c r="UV476" s="75"/>
      <c r="UW476" s="75"/>
      <c r="UX476" s="75"/>
      <c r="UY476" s="75"/>
      <c r="UZ476" s="75"/>
      <c r="VA476" s="75"/>
      <c r="VB476" s="75"/>
      <c r="VC476" s="75"/>
      <c r="VD476" s="75"/>
      <c r="VE476" s="75"/>
      <c r="VF476" s="75"/>
      <c r="VG476" s="75"/>
      <c r="VH476" s="75"/>
      <c r="VI476" s="75"/>
      <c r="VJ476" s="75"/>
      <c r="VK476" s="75"/>
      <c r="VL476" s="75"/>
      <c r="VM476" s="75"/>
      <c r="VN476" s="75"/>
      <c r="VO476" s="75"/>
      <c r="VP476" s="75"/>
      <c r="VQ476" s="75"/>
      <c r="VR476" s="75"/>
      <c r="VS476" s="75"/>
      <c r="VT476" s="75"/>
      <c r="VU476" s="75"/>
      <c r="VV476" s="75"/>
      <c r="VW476" s="75"/>
      <c r="VX476" s="75"/>
      <c r="VY476" s="75"/>
      <c r="VZ476" s="75"/>
      <c r="WA476" s="75"/>
      <c r="WB476" s="75"/>
      <c r="WC476" s="75"/>
      <c r="WD476" s="75"/>
      <c r="WE476" s="75"/>
      <c r="WF476" s="75"/>
      <c r="WG476" s="75"/>
      <c r="WH476" s="75"/>
      <c r="WI476" s="75"/>
      <c r="WJ476" s="75"/>
      <c r="WK476" s="75"/>
      <c r="WL476" s="75"/>
      <c r="WM476" s="75"/>
      <c r="WN476" s="75"/>
      <c r="WO476" s="75"/>
      <c r="WP476" s="75"/>
      <c r="WQ476" s="75"/>
      <c r="WR476" s="75"/>
      <c r="WS476" s="75"/>
      <c r="WT476" s="75"/>
      <c r="WU476" s="75"/>
      <c r="WV476" s="75"/>
      <c r="WW476" s="75"/>
      <c r="WX476" s="75"/>
      <c r="WY476" s="75"/>
      <c r="WZ476" s="75"/>
      <c r="XA476" s="75"/>
      <c r="XB476" s="75"/>
      <c r="XC476" s="75"/>
      <c r="XD476" s="75"/>
      <c r="XE476" s="75"/>
      <c r="XF476" s="75"/>
      <c r="XG476" s="75"/>
      <c r="XH476" s="75"/>
      <c r="XI476" s="75"/>
      <c r="XJ476" s="75"/>
      <c r="XK476" s="75"/>
      <c r="XL476" s="75"/>
      <c r="XM476" s="75"/>
      <c r="XN476" s="75"/>
      <c r="XO476" s="75"/>
      <c r="XP476" s="75"/>
      <c r="XQ476" s="75"/>
      <c r="XR476" s="75"/>
      <c r="XS476" s="75"/>
      <c r="XT476" s="75"/>
      <c r="XU476" s="75"/>
      <c r="XV476" s="75"/>
      <c r="XW476" s="75"/>
      <c r="XX476" s="75"/>
      <c r="XY476" s="75"/>
      <c r="XZ476" s="75"/>
      <c r="YA476" s="75"/>
      <c r="YB476" s="75"/>
      <c r="YC476" s="75"/>
      <c r="YD476" s="75"/>
      <c r="YE476" s="75"/>
      <c r="YF476" s="75"/>
      <c r="YG476" s="75"/>
      <c r="YH476" s="75"/>
      <c r="YI476" s="75"/>
      <c r="YJ476" s="75"/>
      <c r="YK476" s="75"/>
      <c r="YL476" s="75"/>
      <c r="YM476" s="75"/>
      <c r="YN476" s="75"/>
      <c r="YO476" s="75"/>
      <c r="YP476" s="75"/>
      <c r="YQ476" s="75"/>
      <c r="YR476" s="75"/>
      <c r="YS476" s="75"/>
      <c r="YT476" s="75"/>
      <c r="YU476" s="75"/>
      <c r="YV476" s="75"/>
      <c r="YW476" s="75"/>
      <c r="YX476" s="75"/>
      <c r="YY476" s="75"/>
      <c r="YZ476" s="75"/>
      <c r="ZA476" s="75"/>
      <c r="ZB476" s="75"/>
      <c r="ZC476" s="75"/>
      <c r="ZD476" s="75"/>
      <c r="ZE476" s="75"/>
      <c r="ZF476" s="75"/>
      <c r="ZG476" s="75"/>
      <c r="ZH476" s="75"/>
      <c r="ZI476" s="75"/>
      <c r="ZJ476" s="75"/>
      <c r="ZK476" s="75"/>
      <c r="ZL476" s="75"/>
      <c r="ZM476" s="75"/>
      <c r="ZN476" s="75"/>
      <c r="ZO476" s="75"/>
      <c r="ZP476" s="75"/>
      <c r="ZQ476" s="75"/>
      <c r="ZR476" s="75"/>
      <c r="ZS476" s="75"/>
      <c r="ZT476" s="75"/>
      <c r="ZU476" s="75"/>
      <c r="ZV476" s="75"/>
      <c r="ZW476" s="75"/>
      <c r="ZX476" s="75"/>
      <c r="ZY476" s="75"/>
      <c r="ZZ476" s="75"/>
      <c r="AAA476" s="75"/>
      <c r="AAB476" s="75"/>
      <c r="AAC476" s="75"/>
      <c r="AAD476" s="75"/>
      <c r="AAE476" s="75"/>
      <c r="AAF476" s="75"/>
      <c r="AAG476" s="75"/>
      <c r="AAH476" s="75"/>
      <c r="AAI476" s="75"/>
      <c r="AAJ476" s="75"/>
      <c r="AAK476" s="75"/>
      <c r="AAL476" s="75"/>
      <c r="AAM476" s="75"/>
      <c r="AAN476" s="75"/>
      <c r="AAO476" s="75"/>
      <c r="AAP476" s="75"/>
      <c r="AAQ476" s="75"/>
      <c r="AAR476" s="75"/>
      <c r="AAS476" s="75"/>
      <c r="AAT476" s="75"/>
      <c r="AAU476" s="75"/>
      <c r="AAV476" s="75"/>
      <c r="AAW476" s="75"/>
      <c r="AAX476" s="75"/>
      <c r="AAY476" s="75"/>
      <c r="AAZ476" s="75"/>
      <c r="ABA476" s="75"/>
      <c r="ABB476" s="75"/>
      <c r="ABC476" s="75"/>
      <c r="ABD476" s="75"/>
      <c r="ABE476" s="75"/>
      <c r="ABF476" s="75"/>
      <c r="ABG476" s="75"/>
      <c r="ABH476" s="75"/>
      <c r="ABI476" s="75"/>
      <c r="ABJ476" s="75"/>
      <c r="ABK476" s="75"/>
      <c r="ABL476" s="75"/>
      <c r="ABM476" s="75"/>
      <c r="ABN476" s="75"/>
      <c r="ABO476" s="75"/>
      <c r="ABP476" s="75"/>
      <c r="ABQ476" s="75"/>
      <c r="ABR476" s="75"/>
      <c r="ABS476" s="75"/>
      <c r="ABT476" s="75"/>
      <c r="ABU476" s="75"/>
      <c r="ABV476" s="75"/>
      <c r="ABW476" s="75"/>
      <c r="ABX476" s="75"/>
      <c r="ABY476" s="75"/>
      <c r="ABZ476" s="75"/>
      <c r="ACA476" s="75"/>
      <c r="ACB476" s="75"/>
      <c r="ACC476" s="75"/>
      <c r="ACD476" s="75"/>
      <c r="ACE476" s="75"/>
      <c r="ACF476" s="75"/>
      <c r="ACG476" s="75"/>
      <c r="ACH476" s="75"/>
      <c r="ACI476" s="75"/>
      <c r="ACJ476" s="75"/>
      <c r="ACK476" s="75"/>
      <c r="ACL476" s="75"/>
      <c r="ACM476" s="75"/>
      <c r="ACN476" s="75"/>
      <c r="ACO476" s="75"/>
      <c r="ACP476" s="75"/>
      <c r="ACQ476" s="75"/>
      <c r="ACR476" s="75"/>
      <c r="ACS476" s="75"/>
      <c r="ACT476" s="75"/>
      <c r="ACU476" s="75"/>
      <c r="ACV476" s="75"/>
      <c r="ACW476" s="75"/>
      <c r="ACX476" s="75"/>
      <c r="ACY476" s="75"/>
      <c r="ACZ476" s="75"/>
      <c r="ADA476" s="75"/>
      <c r="ADB476" s="75"/>
      <c r="ADC476" s="75"/>
      <c r="ADD476" s="75"/>
      <c r="ADE476" s="75"/>
      <c r="ADF476" s="75"/>
      <c r="ADG476" s="75"/>
      <c r="ADH476" s="75"/>
      <c r="ADI476" s="75"/>
      <c r="ADJ476" s="75"/>
      <c r="ADK476" s="75"/>
      <c r="ADL476" s="75"/>
      <c r="ADM476" s="75"/>
      <c r="ADN476" s="75"/>
      <c r="ADO476" s="75"/>
      <c r="ADP476" s="75"/>
      <c r="ADQ476" s="75"/>
      <c r="ADR476" s="75"/>
      <c r="ADS476" s="75"/>
      <c r="ADT476" s="75"/>
      <c r="ADU476" s="75"/>
      <c r="ADV476" s="75"/>
      <c r="ADW476" s="75"/>
      <c r="ADX476" s="75"/>
      <c r="ADY476" s="75"/>
      <c r="ADZ476" s="75"/>
      <c r="AEA476" s="75"/>
      <c r="AEB476" s="75"/>
      <c r="AEC476" s="75"/>
      <c r="AED476" s="75"/>
      <c r="AEE476" s="75"/>
      <c r="AEF476" s="75"/>
      <c r="AEG476" s="75"/>
      <c r="AEH476" s="75"/>
      <c r="AEI476" s="75"/>
      <c r="AEJ476" s="75"/>
      <c r="AEK476" s="75"/>
      <c r="AEL476" s="75"/>
      <c r="AEM476" s="75"/>
      <c r="AEN476" s="75"/>
      <c r="AEO476" s="75"/>
      <c r="AEP476" s="75"/>
      <c r="AEQ476" s="75"/>
      <c r="AER476" s="75"/>
      <c r="AES476" s="75"/>
      <c r="AET476" s="75"/>
      <c r="AEU476" s="75"/>
      <c r="AEV476" s="75"/>
      <c r="AEW476" s="75"/>
      <c r="AEX476" s="75"/>
      <c r="AEY476" s="75"/>
      <c r="AEZ476" s="75"/>
      <c r="AFA476" s="75"/>
      <c r="AFB476" s="75"/>
      <c r="AFC476" s="75"/>
      <c r="AFD476" s="75"/>
      <c r="AFE476" s="75"/>
      <c r="AFF476" s="75"/>
      <c r="AFG476" s="75"/>
      <c r="AFH476" s="75"/>
      <c r="AFI476" s="75"/>
      <c r="AFJ476" s="75"/>
      <c r="AFK476" s="75"/>
      <c r="AFL476" s="75"/>
      <c r="AFM476" s="75"/>
      <c r="AFN476" s="75"/>
      <c r="AFO476" s="75"/>
      <c r="AFP476" s="75"/>
      <c r="AFQ476" s="75"/>
      <c r="AFR476" s="75"/>
      <c r="AFS476" s="75"/>
      <c r="AFT476" s="75"/>
      <c r="AFU476" s="75"/>
      <c r="AFV476" s="75"/>
      <c r="AFW476" s="75"/>
      <c r="AFX476" s="75"/>
      <c r="AFY476" s="75"/>
      <c r="AFZ476" s="75"/>
      <c r="AGA476" s="75"/>
      <c r="AGB476" s="75"/>
      <c r="AGC476" s="75"/>
      <c r="AGD476" s="75"/>
      <c r="AGE476" s="75"/>
      <c r="AGF476" s="75"/>
      <c r="AGG476" s="75"/>
      <c r="AGH476" s="75"/>
      <c r="AGI476" s="75"/>
      <c r="AGJ476" s="75"/>
      <c r="AGK476" s="75"/>
      <c r="AGL476" s="75"/>
      <c r="AGM476" s="75"/>
      <c r="AGN476" s="75"/>
      <c r="AGO476" s="75"/>
      <c r="AGP476" s="75"/>
      <c r="AGQ476" s="75"/>
      <c r="AGR476" s="75"/>
      <c r="AGS476" s="75"/>
      <c r="AGT476" s="75"/>
      <c r="AGU476" s="75"/>
      <c r="AGV476" s="75"/>
      <c r="AGW476" s="75"/>
      <c r="AGX476" s="75"/>
      <c r="AGY476" s="75"/>
      <c r="AGZ476" s="75"/>
      <c r="AHA476" s="75"/>
      <c r="AHB476" s="75"/>
      <c r="AHC476" s="75"/>
      <c r="AHD476" s="75"/>
      <c r="AHE476" s="75"/>
      <c r="AHF476" s="75"/>
      <c r="AHG476" s="75"/>
      <c r="AHH476" s="75"/>
      <c r="AHI476" s="75"/>
      <c r="AHJ476" s="75"/>
      <c r="AHK476" s="75"/>
      <c r="AHL476" s="75"/>
      <c r="AHM476" s="75"/>
      <c r="AHN476" s="75"/>
      <c r="AHO476" s="75"/>
      <c r="AHP476" s="75"/>
      <c r="AHQ476" s="75"/>
      <c r="AHR476" s="75"/>
      <c r="AHS476" s="75"/>
      <c r="AHT476" s="75"/>
      <c r="AHU476" s="75"/>
      <c r="AHV476" s="75"/>
      <c r="AHW476" s="75"/>
      <c r="AHX476" s="75"/>
      <c r="AHY476" s="75"/>
      <c r="AHZ476" s="75"/>
      <c r="AIA476" s="75"/>
      <c r="AIB476" s="75"/>
      <c r="AIC476" s="75"/>
      <c r="AID476" s="75"/>
      <c r="AIE476" s="75"/>
      <c r="AIF476" s="75"/>
      <c r="AIG476" s="75"/>
      <c r="AIH476" s="75"/>
      <c r="AII476" s="75"/>
      <c r="AIJ476" s="75"/>
      <c r="AIK476" s="75"/>
      <c r="AIL476" s="75"/>
      <c r="AIM476" s="75"/>
      <c r="AIN476" s="75"/>
      <c r="AIO476" s="75"/>
      <c r="AIP476" s="75"/>
      <c r="AIQ476" s="75"/>
      <c r="AIR476" s="75"/>
      <c r="AIS476" s="75"/>
      <c r="AIT476" s="75"/>
      <c r="AIU476" s="75"/>
      <c r="AIV476" s="75"/>
      <c r="AIW476" s="75"/>
      <c r="AIX476" s="75"/>
      <c r="AIY476" s="75"/>
      <c r="AIZ476" s="75"/>
      <c r="AJA476" s="75"/>
      <c r="AJB476" s="75"/>
      <c r="AJC476" s="75"/>
      <c r="AJD476" s="75"/>
      <c r="AJE476" s="75"/>
      <c r="AJF476" s="75"/>
      <c r="AJG476" s="75"/>
      <c r="AJH476" s="75"/>
      <c r="AJI476" s="75"/>
      <c r="AJJ476" s="75"/>
      <c r="AJK476" s="75"/>
      <c r="AJL476" s="75"/>
      <c r="AJM476" s="75"/>
      <c r="AJN476" s="75"/>
      <c r="AJO476" s="75"/>
      <c r="AJP476" s="75"/>
      <c r="AJQ476" s="75"/>
      <c r="AJR476" s="75"/>
      <c r="AJS476" s="75"/>
      <c r="AJT476" s="75"/>
      <c r="AJU476" s="75"/>
      <c r="AJV476" s="75"/>
      <c r="AJW476" s="75"/>
      <c r="AJX476" s="75"/>
      <c r="AJY476" s="75"/>
      <c r="AJZ476" s="75"/>
      <c r="AKA476" s="75"/>
      <c r="AKB476" s="75"/>
      <c r="AKC476" s="75"/>
      <c r="AKD476" s="75"/>
      <c r="AKE476" s="75"/>
      <c r="AKF476" s="75"/>
      <c r="AKG476" s="75"/>
      <c r="AKH476" s="75"/>
      <c r="AKI476" s="75"/>
      <c r="AKJ476" s="75"/>
      <c r="AKK476" s="75"/>
      <c r="AKL476" s="75"/>
      <c r="AKM476" s="75"/>
      <c r="AKN476" s="75"/>
      <c r="AKO476" s="75"/>
      <c r="AKP476" s="75"/>
      <c r="AKQ476" s="75"/>
      <c r="AKR476" s="75"/>
      <c r="AKS476" s="75"/>
      <c r="AKT476" s="75"/>
      <c r="AKU476" s="75"/>
      <c r="AKV476" s="75"/>
      <c r="AKW476" s="75"/>
      <c r="AKX476" s="75"/>
      <c r="AKY476" s="75"/>
      <c r="AKZ476" s="75"/>
      <c r="ALA476" s="75"/>
      <c r="ALB476" s="75"/>
      <c r="ALC476" s="75"/>
      <c r="ALD476" s="75"/>
      <c r="ALE476" s="75"/>
      <c r="ALF476" s="75"/>
      <c r="ALG476" s="75"/>
      <c r="ALH476" s="75"/>
      <c r="ALI476" s="75"/>
      <c r="ALJ476" s="75"/>
      <c r="ALK476" s="75"/>
      <c r="ALL476" s="75"/>
      <c r="ALM476" s="75"/>
      <c r="ALN476" s="75"/>
      <c r="ALO476" s="75"/>
    </row>
    <row r="477" spans="1:1003" s="235" customFormat="1" ht="14.55" customHeight="1" outlineLevel="1" x14ac:dyDescent="0.25">
      <c r="A477" s="230" t="s">
        <v>1422</v>
      </c>
      <c r="B477" s="343" t="str">
        <f>"13.0201"</f>
        <v>13.0201</v>
      </c>
      <c r="C477" s="75" t="s">
        <v>2141</v>
      </c>
      <c r="D477" s="127" t="s">
        <v>2142</v>
      </c>
      <c r="E477" s="232"/>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c r="AY477" s="75"/>
      <c r="AZ477" s="75"/>
      <c r="BA477" s="75"/>
      <c r="BB477" s="75"/>
      <c r="BC477" s="75"/>
      <c r="BD477" s="75"/>
      <c r="BE477" s="75"/>
      <c r="BF477" s="75"/>
      <c r="BG477" s="75"/>
      <c r="BH477" s="75"/>
      <c r="BI477" s="75"/>
      <c r="BJ477" s="75"/>
      <c r="BK477" s="75"/>
      <c r="BL477" s="75"/>
      <c r="BM477" s="75"/>
      <c r="BN477" s="75"/>
      <c r="BO477" s="75"/>
      <c r="BP477" s="75"/>
      <c r="BQ477" s="75"/>
      <c r="BR477" s="75"/>
      <c r="BS477" s="75"/>
      <c r="BT477" s="75"/>
      <c r="BU477" s="75"/>
      <c r="BV477" s="75"/>
      <c r="BW477" s="75"/>
      <c r="BX477" s="75"/>
      <c r="BY477" s="75"/>
      <c r="BZ477" s="75"/>
      <c r="CA477" s="75"/>
      <c r="CB477" s="75"/>
      <c r="CC477" s="75"/>
      <c r="CD477" s="75"/>
      <c r="CE477" s="75"/>
      <c r="CF477" s="75"/>
      <c r="CG477" s="75"/>
      <c r="CH477" s="75"/>
      <c r="CI477" s="75"/>
      <c r="CJ477" s="75"/>
      <c r="CK477" s="75"/>
      <c r="CL477" s="75"/>
      <c r="CM477" s="75"/>
      <c r="CN477" s="75"/>
      <c r="CO477" s="75"/>
      <c r="CP477" s="75"/>
      <c r="CQ477" s="75"/>
      <c r="CR477" s="75"/>
      <c r="CS477" s="75"/>
      <c r="CT477" s="75"/>
      <c r="CU477" s="75"/>
      <c r="CV477" s="75"/>
      <c r="CW477" s="75"/>
      <c r="CX477" s="75"/>
      <c r="CY477" s="75"/>
      <c r="CZ477" s="75"/>
      <c r="DA477" s="75"/>
      <c r="DB477" s="75"/>
      <c r="DC477" s="75"/>
      <c r="DD477" s="75"/>
      <c r="DE477" s="75"/>
      <c r="DF477" s="75"/>
      <c r="DG477" s="75"/>
      <c r="DH477" s="75"/>
      <c r="DI477" s="75"/>
      <c r="DJ477" s="75"/>
      <c r="DK477" s="75"/>
      <c r="DL477" s="75"/>
      <c r="DM477" s="75"/>
      <c r="DN477" s="75"/>
      <c r="DO477" s="75"/>
      <c r="DP477" s="75"/>
      <c r="DQ477" s="75"/>
      <c r="DR477" s="75"/>
      <c r="DS477" s="75"/>
      <c r="DT477" s="75"/>
      <c r="DU477" s="75"/>
      <c r="DV477" s="75"/>
      <c r="DW477" s="75"/>
      <c r="DX477" s="75"/>
      <c r="DY477" s="75"/>
      <c r="DZ477" s="75"/>
      <c r="EA477" s="75"/>
      <c r="EB477" s="75"/>
      <c r="EC477" s="75"/>
      <c r="ED477" s="75"/>
      <c r="EE477" s="75"/>
      <c r="EF477" s="75"/>
      <c r="EG477" s="75"/>
      <c r="EH477" s="75"/>
      <c r="EI477" s="75"/>
      <c r="EJ477" s="75"/>
      <c r="EK477" s="75"/>
      <c r="EL477" s="75"/>
      <c r="EM477" s="75"/>
      <c r="EN477" s="75"/>
      <c r="EO477" s="75"/>
      <c r="EP477" s="75"/>
      <c r="EQ477" s="75"/>
      <c r="ER477" s="75"/>
      <c r="ES477" s="75"/>
      <c r="ET477" s="75"/>
      <c r="EU477" s="75"/>
      <c r="EV477" s="75"/>
      <c r="EW477" s="75"/>
      <c r="EX477" s="75"/>
      <c r="EY477" s="75"/>
      <c r="EZ477" s="75"/>
      <c r="FA477" s="75"/>
      <c r="FB477" s="75"/>
      <c r="FC477" s="75"/>
      <c r="FD477" s="75"/>
      <c r="FE477" s="75"/>
      <c r="FF477" s="75"/>
      <c r="FG477" s="75"/>
      <c r="FH477" s="75"/>
      <c r="FI477" s="75"/>
      <c r="FJ477" s="75"/>
      <c r="FK477" s="75"/>
      <c r="FL477" s="75"/>
      <c r="FM477" s="75"/>
      <c r="FN477" s="75"/>
      <c r="FO477" s="75"/>
      <c r="FP477" s="75"/>
      <c r="FQ477" s="75"/>
      <c r="FR477" s="75"/>
      <c r="FS477" s="75"/>
      <c r="FT477" s="75"/>
      <c r="FU477" s="75"/>
      <c r="FV477" s="75"/>
      <c r="FW477" s="75"/>
      <c r="FX477" s="75"/>
      <c r="FY477" s="75"/>
      <c r="FZ477" s="75"/>
      <c r="GA477" s="75"/>
      <c r="GB477" s="75"/>
      <c r="GC477" s="75"/>
      <c r="GD477" s="75"/>
      <c r="GE477" s="75"/>
      <c r="GF477" s="75"/>
      <c r="GG477" s="75"/>
      <c r="GH477" s="75"/>
      <c r="GI477" s="75"/>
      <c r="GJ477" s="75"/>
      <c r="GK477" s="75"/>
      <c r="GL477" s="75"/>
      <c r="GM477" s="75"/>
      <c r="GN477" s="75"/>
      <c r="GO477" s="75"/>
      <c r="GP477" s="75"/>
      <c r="GQ477" s="75"/>
      <c r="GR477" s="75"/>
      <c r="GS477" s="75"/>
      <c r="GT477" s="75"/>
      <c r="GU477" s="75"/>
      <c r="GV477" s="75"/>
      <c r="GW477" s="75"/>
      <c r="GX477" s="75"/>
      <c r="GY477" s="75"/>
      <c r="GZ477" s="75"/>
      <c r="HA477" s="75"/>
      <c r="HB477" s="75"/>
      <c r="HC477" s="75"/>
      <c r="HD477" s="75"/>
      <c r="HE477" s="75"/>
      <c r="HF477" s="75"/>
      <c r="HG477" s="75"/>
      <c r="HH477" s="75"/>
      <c r="HI477" s="75"/>
      <c r="HJ477" s="75"/>
      <c r="HK477" s="75"/>
      <c r="HL477" s="75"/>
      <c r="HM477" s="75"/>
      <c r="HN477" s="75"/>
      <c r="HO477" s="75"/>
      <c r="HP477" s="75"/>
      <c r="HQ477" s="75"/>
      <c r="HR477" s="75"/>
      <c r="HS477" s="75"/>
      <c r="HT477" s="75"/>
      <c r="HU477" s="75"/>
      <c r="HV477" s="75"/>
      <c r="HW477" s="75"/>
      <c r="HX477" s="75"/>
      <c r="HY477" s="75"/>
      <c r="HZ477" s="75"/>
      <c r="IA477" s="75"/>
      <c r="IB477" s="75"/>
      <c r="IC477" s="75"/>
      <c r="ID477" s="75"/>
      <c r="IE477" s="75"/>
      <c r="IF477" s="75"/>
      <c r="IG477" s="75"/>
      <c r="IH477" s="75"/>
      <c r="II477" s="75"/>
      <c r="IJ477" s="75"/>
      <c r="IK477" s="75"/>
      <c r="IL477" s="75"/>
      <c r="IM477" s="75"/>
      <c r="IN477" s="75"/>
      <c r="IO477" s="75"/>
      <c r="IP477" s="75"/>
      <c r="IQ477" s="75"/>
      <c r="IR477" s="75"/>
      <c r="IS477" s="75"/>
      <c r="IT477" s="75"/>
      <c r="IU477" s="75"/>
      <c r="IV477" s="75"/>
      <c r="IW477" s="75"/>
      <c r="IX477" s="75"/>
      <c r="IY477" s="75"/>
      <c r="IZ477" s="75"/>
      <c r="JA477" s="75"/>
      <c r="JB477" s="75"/>
      <c r="JC477" s="75"/>
      <c r="JD477" s="75"/>
      <c r="JE477" s="75"/>
      <c r="JF477" s="75"/>
      <c r="JG477" s="75"/>
      <c r="JH477" s="75"/>
      <c r="JI477" s="75"/>
      <c r="JJ477" s="75"/>
      <c r="JK477" s="75"/>
      <c r="JL477" s="75"/>
      <c r="JM477" s="75"/>
      <c r="JN477" s="75"/>
      <c r="JO477" s="75"/>
      <c r="JP477" s="75"/>
      <c r="JQ477" s="75"/>
      <c r="JR477" s="75"/>
      <c r="JS477" s="75"/>
      <c r="JT477" s="75"/>
      <c r="JU477" s="75"/>
      <c r="JV477" s="75"/>
      <c r="JW477" s="75"/>
      <c r="JX477" s="75"/>
      <c r="JY477" s="75"/>
      <c r="JZ477" s="75"/>
      <c r="KA477" s="75"/>
      <c r="KB477" s="75"/>
      <c r="KC477" s="75"/>
      <c r="KD477" s="75"/>
      <c r="KE477" s="75"/>
      <c r="KF477" s="75"/>
      <c r="KG477" s="75"/>
      <c r="KH477" s="75"/>
      <c r="KI477" s="75"/>
      <c r="KJ477" s="75"/>
      <c r="KK477" s="75"/>
      <c r="KL477" s="75"/>
      <c r="KM477" s="75"/>
      <c r="KN477" s="75"/>
      <c r="KO477" s="75"/>
      <c r="KP477" s="75"/>
      <c r="KQ477" s="75"/>
      <c r="KR477" s="75"/>
      <c r="KS477" s="75"/>
      <c r="KT477" s="75"/>
      <c r="KU477" s="75"/>
      <c r="KV477" s="75"/>
      <c r="KW477" s="75"/>
      <c r="KX477" s="75"/>
      <c r="KY477" s="75"/>
      <c r="KZ477" s="75"/>
      <c r="LA477" s="75"/>
      <c r="LB477" s="75"/>
      <c r="LC477" s="75"/>
      <c r="LD477" s="75"/>
      <c r="LE477" s="75"/>
      <c r="LF477" s="75"/>
      <c r="LG477" s="75"/>
      <c r="LH477" s="75"/>
      <c r="LI477" s="75"/>
      <c r="LJ477" s="75"/>
      <c r="LK477" s="75"/>
      <c r="LL477" s="75"/>
      <c r="LM477" s="75"/>
      <c r="LN477" s="75"/>
      <c r="LO477" s="75"/>
      <c r="LP477" s="75"/>
      <c r="LQ477" s="75"/>
      <c r="LR477" s="75"/>
      <c r="LS477" s="75"/>
      <c r="LT477" s="75"/>
      <c r="LU477" s="75"/>
      <c r="LV477" s="75"/>
      <c r="LW477" s="75"/>
      <c r="LX477" s="75"/>
      <c r="LY477" s="75"/>
      <c r="LZ477" s="75"/>
      <c r="MA477" s="75"/>
      <c r="MB477" s="75"/>
      <c r="MC477" s="75"/>
      <c r="MD477" s="75"/>
      <c r="ME477" s="75"/>
      <c r="MF477" s="75"/>
      <c r="MG477" s="75"/>
      <c r="MH477" s="75"/>
      <c r="MI477" s="75"/>
      <c r="MJ477" s="75"/>
      <c r="MK477" s="75"/>
      <c r="ML477" s="75"/>
      <c r="MM477" s="75"/>
      <c r="MN477" s="75"/>
      <c r="MO477" s="75"/>
      <c r="MP477" s="75"/>
      <c r="MQ477" s="75"/>
      <c r="MR477" s="75"/>
      <c r="MS477" s="75"/>
      <c r="MT477" s="75"/>
      <c r="MU477" s="75"/>
      <c r="MV477" s="75"/>
      <c r="MW477" s="75"/>
      <c r="MX477" s="75"/>
      <c r="MY477" s="75"/>
      <c r="MZ477" s="75"/>
      <c r="NA477" s="75"/>
      <c r="NB477" s="75"/>
      <c r="NC477" s="75"/>
      <c r="ND477" s="75"/>
      <c r="NE477" s="75"/>
      <c r="NF477" s="75"/>
      <c r="NG477" s="75"/>
      <c r="NH477" s="75"/>
      <c r="NI477" s="75"/>
      <c r="NJ477" s="75"/>
      <c r="NK477" s="75"/>
      <c r="NL477" s="75"/>
      <c r="NM477" s="75"/>
      <c r="NN477" s="75"/>
      <c r="NO477" s="75"/>
      <c r="NP477" s="75"/>
      <c r="NQ477" s="75"/>
      <c r="NR477" s="75"/>
      <c r="NS477" s="75"/>
      <c r="NT477" s="75"/>
      <c r="NU477" s="75"/>
      <c r="NV477" s="75"/>
      <c r="NW477" s="75"/>
      <c r="NX477" s="75"/>
      <c r="NY477" s="75"/>
      <c r="NZ477" s="75"/>
      <c r="OA477" s="75"/>
      <c r="OB477" s="75"/>
      <c r="OC477" s="75"/>
      <c r="OD477" s="75"/>
      <c r="OE477" s="75"/>
      <c r="OF477" s="75"/>
      <c r="OG477" s="75"/>
      <c r="OH477" s="75"/>
      <c r="OI477" s="75"/>
      <c r="OJ477" s="75"/>
      <c r="OK477" s="75"/>
      <c r="OL477" s="75"/>
      <c r="OM477" s="75"/>
      <c r="ON477" s="75"/>
      <c r="OO477" s="75"/>
      <c r="OP477" s="75"/>
      <c r="OQ477" s="75"/>
      <c r="OR477" s="75"/>
      <c r="OS477" s="75"/>
      <c r="OT477" s="75"/>
      <c r="OU477" s="75"/>
      <c r="OV477" s="75"/>
      <c r="OW477" s="75"/>
      <c r="OX477" s="75"/>
      <c r="OY477" s="75"/>
      <c r="OZ477" s="75"/>
      <c r="PA477" s="75"/>
      <c r="PB477" s="75"/>
      <c r="PC477" s="75"/>
      <c r="PD477" s="75"/>
      <c r="PE477" s="75"/>
      <c r="PF477" s="75"/>
      <c r="PG477" s="75"/>
      <c r="PH477" s="75"/>
      <c r="PI477" s="75"/>
      <c r="PJ477" s="75"/>
      <c r="PK477" s="75"/>
      <c r="PL477" s="75"/>
      <c r="PM477" s="75"/>
      <c r="PN477" s="75"/>
      <c r="PO477" s="75"/>
      <c r="PP477" s="75"/>
      <c r="PQ477" s="75"/>
      <c r="PR477" s="75"/>
      <c r="PS477" s="75"/>
      <c r="PT477" s="75"/>
      <c r="PU477" s="75"/>
      <c r="PV477" s="75"/>
      <c r="PW477" s="75"/>
      <c r="PX477" s="75"/>
      <c r="PY477" s="75"/>
      <c r="PZ477" s="75"/>
      <c r="QA477" s="75"/>
      <c r="QB477" s="75"/>
      <c r="QC477" s="75"/>
      <c r="QD477" s="75"/>
      <c r="QE477" s="75"/>
      <c r="QF477" s="75"/>
      <c r="QG477" s="75"/>
      <c r="QH477" s="75"/>
      <c r="QI477" s="75"/>
      <c r="QJ477" s="75"/>
      <c r="QK477" s="75"/>
      <c r="QL477" s="75"/>
      <c r="QM477" s="75"/>
      <c r="QN477" s="75"/>
      <c r="QO477" s="75"/>
      <c r="QP477" s="75"/>
      <c r="QQ477" s="75"/>
      <c r="QR477" s="75"/>
      <c r="QS477" s="75"/>
      <c r="QT477" s="75"/>
      <c r="QU477" s="75"/>
      <c r="QV477" s="75"/>
      <c r="QW477" s="75"/>
      <c r="QX477" s="75"/>
      <c r="QY477" s="75"/>
      <c r="QZ477" s="75"/>
      <c r="RA477" s="75"/>
      <c r="RB477" s="75"/>
      <c r="RC477" s="75"/>
      <c r="RD477" s="75"/>
      <c r="RE477" s="75"/>
      <c r="RF477" s="75"/>
      <c r="RG477" s="75"/>
      <c r="RH477" s="75"/>
      <c r="RI477" s="75"/>
      <c r="RJ477" s="75"/>
      <c r="RK477" s="75"/>
      <c r="RL477" s="75"/>
      <c r="RM477" s="75"/>
      <c r="RN477" s="75"/>
      <c r="RO477" s="75"/>
      <c r="RP477" s="75"/>
      <c r="RQ477" s="75"/>
      <c r="RR477" s="75"/>
      <c r="RS477" s="75"/>
      <c r="RT477" s="75"/>
      <c r="RU477" s="75"/>
      <c r="RV477" s="75"/>
      <c r="RW477" s="75"/>
      <c r="RX477" s="75"/>
      <c r="RY477" s="75"/>
      <c r="RZ477" s="75"/>
      <c r="SA477" s="75"/>
      <c r="SB477" s="75"/>
      <c r="SC477" s="75"/>
      <c r="SD477" s="75"/>
      <c r="SE477" s="75"/>
      <c r="SF477" s="75"/>
      <c r="SG477" s="75"/>
      <c r="SH477" s="75"/>
      <c r="SI477" s="75"/>
      <c r="SJ477" s="75"/>
      <c r="SK477" s="75"/>
      <c r="SL477" s="75"/>
      <c r="SM477" s="75"/>
      <c r="SN477" s="75"/>
      <c r="SO477" s="75"/>
      <c r="SP477" s="75"/>
      <c r="SQ477" s="75"/>
      <c r="SR477" s="75"/>
      <c r="SS477" s="75"/>
      <c r="ST477" s="75"/>
      <c r="SU477" s="75"/>
      <c r="SV477" s="75"/>
      <c r="SW477" s="75"/>
      <c r="SX477" s="75"/>
      <c r="SY477" s="75"/>
      <c r="SZ477" s="75"/>
      <c r="TA477" s="75"/>
      <c r="TB477" s="75"/>
      <c r="TC477" s="75"/>
      <c r="TD477" s="75"/>
      <c r="TE477" s="75"/>
      <c r="TF477" s="75"/>
      <c r="TG477" s="75"/>
      <c r="TH477" s="75"/>
      <c r="TI477" s="75"/>
      <c r="TJ477" s="75"/>
      <c r="TK477" s="75"/>
      <c r="TL477" s="75"/>
      <c r="TM477" s="75"/>
      <c r="TN477" s="75"/>
      <c r="TO477" s="75"/>
      <c r="TP477" s="75"/>
      <c r="TQ477" s="75"/>
      <c r="TR477" s="75"/>
      <c r="TS477" s="75"/>
      <c r="TT477" s="75"/>
      <c r="TU477" s="75"/>
      <c r="TV477" s="75"/>
      <c r="TW477" s="75"/>
      <c r="TX477" s="75"/>
      <c r="TY477" s="75"/>
      <c r="TZ477" s="75"/>
      <c r="UA477" s="75"/>
      <c r="UB477" s="75"/>
      <c r="UC477" s="75"/>
      <c r="UD477" s="75"/>
      <c r="UE477" s="75"/>
      <c r="UF477" s="75"/>
      <c r="UG477" s="75"/>
      <c r="UH477" s="75"/>
      <c r="UI477" s="75"/>
      <c r="UJ477" s="75"/>
      <c r="UK477" s="75"/>
      <c r="UL477" s="75"/>
      <c r="UM477" s="75"/>
      <c r="UN477" s="75"/>
      <c r="UO477" s="75"/>
      <c r="UP477" s="75"/>
      <c r="UQ477" s="75"/>
      <c r="UR477" s="75"/>
      <c r="US477" s="75"/>
      <c r="UT477" s="75"/>
      <c r="UU477" s="75"/>
      <c r="UV477" s="75"/>
      <c r="UW477" s="75"/>
      <c r="UX477" s="75"/>
      <c r="UY477" s="75"/>
      <c r="UZ477" s="75"/>
      <c r="VA477" s="75"/>
      <c r="VB477" s="75"/>
      <c r="VC477" s="75"/>
      <c r="VD477" s="75"/>
      <c r="VE477" s="75"/>
      <c r="VF477" s="75"/>
      <c r="VG477" s="75"/>
      <c r="VH477" s="75"/>
      <c r="VI477" s="75"/>
      <c r="VJ477" s="75"/>
      <c r="VK477" s="75"/>
      <c r="VL477" s="75"/>
      <c r="VM477" s="75"/>
      <c r="VN477" s="75"/>
      <c r="VO477" s="75"/>
      <c r="VP477" s="75"/>
      <c r="VQ477" s="75"/>
      <c r="VR477" s="75"/>
      <c r="VS477" s="75"/>
      <c r="VT477" s="75"/>
      <c r="VU477" s="75"/>
      <c r="VV477" s="75"/>
      <c r="VW477" s="75"/>
      <c r="VX477" s="75"/>
      <c r="VY477" s="75"/>
      <c r="VZ477" s="75"/>
      <c r="WA477" s="75"/>
      <c r="WB477" s="75"/>
      <c r="WC477" s="75"/>
      <c r="WD477" s="75"/>
      <c r="WE477" s="75"/>
      <c r="WF477" s="75"/>
      <c r="WG477" s="75"/>
      <c r="WH477" s="75"/>
      <c r="WI477" s="75"/>
      <c r="WJ477" s="75"/>
      <c r="WK477" s="75"/>
      <c r="WL477" s="75"/>
      <c r="WM477" s="75"/>
      <c r="WN477" s="75"/>
      <c r="WO477" s="75"/>
      <c r="WP477" s="75"/>
      <c r="WQ477" s="75"/>
      <c r="WR477" s="75"/>
      <c r="WS477" s="75"/>
      <c r="WT477" s="75"/>
      <c r="WU477" s="75"/>
      <c r="WV477" s="75"/>
      <c r="WW477" s="75"/>
      <c r="WX477" s="75"/>
      <c r="WY477" s="75"/>
      <c r="WZ477" s="75"/>
      <c r="XA477" s="75"/>
      <c r="XB477" s="75"/>
      <c r="XC477" s="75"/>
      <c r="XD477" s="75"/>
      <c r="XE477" s="75"/>
      <c r="XF477" s="75"/>
      <c r="XG477" s="75"/>
      <c r="XH477" s="75"/>
      <c r="XI477" s="75"/>
      <c r="XJ477" s="75"/>
      <c r="XK477" s="75"/>
      <c r="XL477" s="75"/>
      <c r="XM477" s="75"/>
      <c r="XN477" s="75"/>
      <c r="XO477" s="75"/>
      <c r="XP477" s="75"/>
      <c r="XQ477" s="75"/>
      <c r="XR477" s="75"/>
      <c r="XS477" s="75"/>
      <c r="XT477" s="75"/>
      <c r="XU477" s="75"/>
      <c r="XV477" s="75"/>
      <c r="XW477" s="75"/>
      <c r="XX477" s="75"/>
      <c r="XY477" s="75"/>
      <c r="XZ477" s="75"/>
      <c r="YA477" s="75"/>
      <c r="YB477" s="75"/>
      <c r="YC477" s="75"/>
      <c r="YD477" s="75"/>
      <c r="YE477" s="75"/>
      <c r="YF477" s="75"/>
      <c r="YG477" s="75"/>
      <c r="YH477" s="75"/>
      <c r="YI477" s="75"/>
      <c r="YJ477" s="75"/>
      <c r="YK477" s="75"/>
      <c r="YL477" s="75"/>
      <c r="YM477" s="75"/>
      <c r="YN477" s="75"/>
      <c r="YO477" s="75"/>
      <c r="YP477" s="75"/>
      <c r="YQ477" s="75"/>
      <c r="YR477" s="75"/>
      <c r="YS477" s="75"/>
      <c r="YT477" s="75"/>
      <c r="YU477" s="75"/>
      <c r="YV477" s="75"/>
      <c r="YW477" s="75"/>
      <c r="YX477" s="75"/>
      <c r="YY477" s="75"/>
      <c r="YZ477" s="75"/>
      <c r="ZA477" s="75"/>
      <c r="ZB477" s="75"/>
      <c r="ZC477" s="75"/>
      <c r="ZD477" s="75"/>
      <c r="ZE477" s="75"/>
      <c r="ZF477" s="75"/>
      <c r="ZG477" s="75"/>
      <c r="ZH477" s="75"/>
      <c r="ZI477" s="75"/>
      <c r="ZJ477" s="75"/>
      <c r="ZK477" s="75"/>
      <c r="ZL477" s="75"/>
      <c r="ZM477" s="75"/>
      <c r="ZN477" s="75"/>
      <c r="ZO477" s="75"/>
      <c r="ZP477" s="75"/>
      <c r="ZQ477" s="75"/>
      <c r="ZR477" s="75"/>
      <c r="ZS477" s="75"/>
      <c r="ZT477" s="75"/>
      <c r="ZU477" s="75"/>
      <c r="ZV477" s="75"/>
      <c r="ZW477" s="75"/>
      <c r="ZX477" s="75"/>
      <c r="ZY477" s="75"/>
      <c r="ZZ477" s="75"/>
      <c r="AAA477" s="75"/>
      <c r="AAB477" s="75"/>
      <c r="AAC477" s="75"/>
      <c r="AAD477" s="75"/>
      <c r="AAE477" s="75"/>
      <c r="AAF477" s="75"/>
      <c r="AAG477" s="75"/>
      <c r="AAH477" s="75"/>
      <c r="AAI477" s="75"/>
      <c r="AAJ477" s="75"/>
      <c r="AAK477" s="75"/>
      <c r="AAL477" s="75"/>
      <c r="AAM477" s="75"/>
      <c r="AAN477" s="75"/>
      <c r="AAO477" s="75"/>
      <c r="AAP477" s="75"/>
      <c r="AAQ477" s="75"/>
      <c r="AAR477" s="75"/>
      <c r="AAS477" s="75"/>
      <c r="AAT477" s="75"/>
      <c r="AAU477" s="75"/>
      <c r="AAV477" s="75"/>
      <c r="AAW477" s="75"/>
      <c r="AAX477" s="75"/>
      <c r="AAY477" s="75"/>
      <c r="AAZ477" s="75"/>
      <c r="ABA477" s="75"/>
      <c r="ABB477" s="75"/>
      <c r="ABC477" s="75"/>
      <c r="ABD477" s="75"/>
      <c r="ABE477" s="75"/>
      <c r="ABF477" s="75"/>
      <c r="ABG477" s="75"/>
      <c r="ABH477" s="75"/>
      <c r="ABI477" s="75"/>
      <c r="ABJ477" s="75"/>
      <c r="ABK477" s="75"/>
      <c r="ABL477" s="75"/>
      <c r="ABM477" s="75"/>
      <c r="ABN477" s="75"/>
      <c r="ABO477" s="75"/>
      <c r="ABP477" s="75"/>
      <c r="ABQ477" s="75"/>
      <c r="ABR477" s="75"/>
      <c r="ABS477" s="75"/>
      <c r="ABT477" s="75"/>
      <c r="ABU477" s="75"/>
      <c r="ABV477" s="75"/>
      <c r="ABW477" s="75"/>
      <c r="ABX477" s="75"/>
      <c r="ABY477" s="75"/>
      <c r="ABZ477" s="75"/>
      <c r="ACA477" s="75"/>
      <c r="ACB477" s="75"/>
      <c r="ACC477" s="75"/>
      <c r="ACD477" s="75"/>
      <c r="ACE477" s="75"/>
      <c r="ACF477" s="75"/>
      <c r="ACG477" s="75"/>
      <c r="ACH477" s="75"/>
      <c r="ACI477" s="75"/>
      <c r="ACJ477" s="75"/>
      <c r="ACK477" s="75"/>
      <c r="ACL477" s="75"/>
      <c r="ACM477" s="75"/>
      <c r="ACN477" s="75"/>
      <c r="ACO477" s="75"/>
      <c r="ACP477" s="75"/>
      <c r="ACQ477" s="75"/>
      <c r="ACR477" s="75"/>
      <c r="ACS477" s="75"/>
      <c r="ACT477" s="75"/>
      <c r="ACU477" s="75"/>
      <c r="ACV477" s="75"/>
      <c r="ACW477" s="75"/>
      <c r="ACX477" s="75"/>
      <c r="ACY477" s="75"/>
      <c r="ACZ477" s="75"/>
      <c r="ADA477" s="75"/>
      <c r="ADB477" s="75"/>
      <c r="ADC477" s="75"/>
      <c r="ADD477" s="75"/>
      <c r="ADE477" s="75"/>
      <c r="ADF477" s="75"/>
      <c r="ADG477" s="75"/>
      <c r="ADH477" s="75"/>
      <c r="ADI477" s="75"/>
      <c r="ADJ477" s="75"/>
      <c r="ADK477" s="75"/>
      <c r="ADL477" s="75"/>
      <c r="ADM477" s="75"/>
      <c r="ADN477" s="75"/>
      <c r="ADO477" s="75"/>
      <c r="ADP477" s="75"/>
      <c r="ADQ477" s="75"/>
      <c r="ADR477" s="75"/>
      <c r="ADS477" s="75"/>
      <c r="ADT477" s="75"/>
      <c r="ADU477" s="75"/>
      <c r="ADV477" s="75"/>
      <c r="ADW477" s="75"/>
      <c r="ADX477" s="75"/>
      <c r="ADY477" s="75"/>
      <c r="ADZ477" s="75"/>
      <c r="AEA477" s="75"/>
      <c r="AEB477" s="75"/>
      <c r="AEC477" s="75"/>
      <c r="AED477" s="75"/>
      <c r="AEE477" s="75"/>
      <c r="AEF477" s="75"/>
      <c r="AEG477" s="75"/>
      <c r="AEH477" s="75"/>
      <c r="AEI477" s="75"/>
      <c r="AEJ477" s="75"/>
      <c r="AEK477" s="75"/>
      <c r="AEL477" s="75"/>
      <c r="AEM477" s="75"/>
      <c r="AEN477" s="75"/>
      <c r="AEO477" s="75"/>
      <c r="AEP477" s="75"/>
      <c r="AEQ477" s="75"/>
      <c r="AER477" s="75"/>
      <c r="AES477" s="75"/>
      <c r="AET477" s="75"/>
      <c r="AEU477" s="75"/>
      <c r="AEV477" s="75"/>
      <c r="AEW477" s="75"/>
      <c r="AEX477" s="75"/>
      <c r="AEY477" s="75"/>
      <c r="AEZ477" s="75"/>
      <c r="AFA477" s="75"/>
      <c r="AFB477" s="75"/>
      <c r="AFC477" s="75"/>
      <c r="AFD477" s="75"/>
      <c r="AFE477" s="75"/>
      <c r="AFF477" s="75"/>
      <c r="AFG477" s="75"/>
      <c r="AFH477" s="75"/>
      <c r="AFI477" s="75"/>
      <c r="AFJ477" s="75"/>
      <c r="AFK477" s="75"/>
      <c r="AFL477" s="75"/>
      <c r="AFM477" s="75"/>
      <c r="AFN477" s="75"/>
      <c r="AFO477" s="75"/>
      <c r="AFP477" s="75"/>
      <c r="AFQ477" s="75"/>
      <c r="AFR477" s="75"/>
      <c r="AFS477" s="75"/>
      <c r="AFT477" s="75"/>
      <c r="AFU477" s="75"/>
      <c r="AFV477" s="75"/>
      <c r="AFW477" s="75"/>
      <c r="AFX477" s="75"/>
      <c r="AFY477" s="75"/>
      <c r="AFZ477" s="75"/>
      <c r="AGA477" s="75"/>
      <c r="AGB477" s="75"/>
      <c r="AGC477" s="75"/>
      <c r="AGD477" s="75"/>
      <c r="AGE477" s="75"/>
      <c r="AGF477" s="75"/>
      <c r="AGG477" s="75"/>
      <c r="AGH477" s="75"/>
      <c r="AGI477" s="75"/>
      <c r="AGJ477" s="75"/>
      <c r="AGK477" s="75"/>
      <c r="AGL477" s="75"/>
      <c r="AGM477" s="75"/>
      <c r="AGN477" s="75"/>
      <c r="AGO477" s="75"/>
      <c r="AGP477" s="75"/>
      <c r="AGQ477" s="75"/>
      <c r="AGR477" s="75"/>
      <c r="AGS477" s="75"/>
      <c r="AGT477" s="75"/>
      <c r="AGU477" s="75"/>
      <c r="AGV477" s="75"/>
      <c r="AGW477" s="75"/>
      <c r="AGX477" s="75"/>
      <c r="AGY477" s="75"/>
      <c r="AGZ477" s="75"/>
      <c r="AHA477" s="75"/>
      <c r="AHB477" s="75"/>
      <c r="AHC477" s="75"/>
      <c r="AHD477" s="75"/>
      <c r="AHE477" s="75"/>
      <c r="AHF477" s="75"/>
      <c r="AHG477" s="75"/>
      <c r="AHH477" s="75"/>
      <c r="AHI477" s="75"/>
      <c r="AHJ477" s="75"/>
      <c r="AHK477" s="75"/>
      <c r="AHL477" s="75"/>
      <c r="AHM477" s="75"/>
      <c r="AHN477" s="75"/>
      <c r="AHO477" s="75"/>
      <c r="AHP477" s="75"/>
      <c r="AHQ477" s="75"/>
      <c r="AHR477" s="75"/>
      <c r="AHS477" s="75"/>
      <c r="AHT477" s="75"/>
      <c r="AHU477" s="75"/>
      <c r="AHV477" s="75"/>
      <c r="AHW477" s="75"/>
      <c r="AHX477" s="75"/>
      <c r="AHY477" s="75"/>
      <c r="AHZ477" s="75"/>
      <c r="AIA477" s="75"/>
      <c r="AIB477" s="75"/>
      <c r="AIC477" s="75"/>
      <c r="AID477" s="75"/>
      <c r="AIE477" s="75"/>
      <c r="AIF477" s="75"/>
      <c r="AIG477" s="75"/>
      <c r="AIH477" s="75"/>
      <c r="AII477" s="75"/>
      <c r="AIJ477" s="75"/>
      <c r="AIK477" s="75"/>
      <c r="AIL477" s="75"/>
      <c r="AIM477" s="75"/>
      <c r="AIN477" s="75"/>
      <c r="AIO477" s="75"/>
      <c r="AIP477" s="75"/>
      <c r="AIQ477" s="75"/>
      <c r="AIR477" s="75"/>
      <c r="AIS477" s="75"/>
      <c r="AIT477" s="75"/>
      <c r="AIU477" s="75"/>
      <c r="AIV477" s="75"/>
      <c r="AIW477" s="75"/>
      <c r="AIX477" s="75"/>
      <c r="AIY477" s="75"/>
      <c r="AIZ477" s="75"/>
      <c r="AJA477" s="75"/>
      <c r="AJB477" s="75"/>
      <c r="AJC477" s="75"/>
      <c r="AJD477" s="75"/>
      <c r="AJE477" s="75"/>
      <c r="AJF477" s="75"/>
      <c r="AJG477" s="75"/>
      <c r="AJH477" s="75"/>
      <c r="AJI477" s="75"/>
      <c r="AJJ477" s="75"/>
      <c r="AJK477" s="75"/>
      <c r="AJL477" s="75"/>
      <c r="AJM477" s="75"/>
      <c r="AJN477" s="75"/>
      <c r="AJO477" s="75"/>
      <c r="AJP477" s="75"/>
      <c r="AJQ477" s="75"/>
      <c r="AJR477" s="75"/>
      <c r="AJS477" s="75"/>
      <c r="AJT477" s="75"/>
      <c r="AJU477" s="75"/>
      <c r="AJV477" s="75"/>
      <c r="AJW477" s="75"/>
      <c r="AJX477" s="75"/>
      <c r="AJY477" s="75"/>
      <c r="AJZ477" s="75"/>
      <c r="AKA477" s="75"/>
      <c r="AKB477" s="75"/>
      <c r="AKC477" s="75"/>
      <c r="AKD477" s="75"/>
      <c r="AKE477" s="75"/>
      <c r="AKF477" s="75"/>
      <c r="AKG477" s="75"/>
      <c r="AKH477" s="75"/>
      <c r="AKI477" s="75"/>
      <c r="AKJ477" s="75"/>
      <c r="AKK477" s="75"/>
      <c r="AKL477" s="75"/>
      <c r="AKM477" s="75"/>
      <c r="AKN477" s="75"/>
      <c r="AKO477" s="75"/>
      <c r="AKP477" s="75"/>
      <c r="AKQ477" s="75"/>
      <c r="AKR477" s="75"/>
      <c r="AKS477" s="75"/>
      <c r="AKT477" s="75"/>
      <c r="AKU477" s="75"/>
      <c r="AKV477" s="75"/>
      <c r="AKW477" s="75"/>
      <c r="AKX477" s="75"/>
      <c r="AKY477" s="75"/>
      <c r="AKZ477" s="75"/>
      <c r="ALA477" s="75"/>
      <c r="ALB477" s="75"/>
      <c r="ALC477" s="75"/>
      <c r="ALD477" s="75"/>
      <c r="ALE477" s="75"/>
      <c r="ALF477" s="75"/>
      <c r="ALG477" s="75"/>
      <c r="ALH477" s="75"/>
      <c r="ALI477" s="75"/>
      <c r="ALJ477" s="75"/>
      <c r="ALK477" s="75"/>
      <c r="ALL477" s="75"/>
      <c r="ALM477" s="75"/>
      <c r="ALN477" s="75"/>
      <c r="ALO477" s="75"/>
    </row>
    <row r="478" spans="1:1003" s="235" customFormat="1" ht="14.55" customHeight="1" outlineLevel="1" x14ac:dyDescent="0.25">
      <c r="A478" s="230" t="s">
        <v>1422</v>
      </c>
      <c r="B478" s="343" t="str">
        <f>"13.0202"</f>
        <v>13.0202</v>
      </c>
      <c r="C478" s="75" t="s">
        <v>2143</v>
      </c>
      <c r="D478" s="127" t="s">
        <v>2144</v>
      </c>
      <c r="E478" s="232"/>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c r="AY478" s="75"/>
      <c r="AZ478" s="75"/>
      <c r="BA478" s="75"/>
      <c r="BB478" s="75"/>
      <c r="BC478" s="75"/>
      <c r="BD478" s="75"/>
      <c r="BE478" s="75"/>
      <c r="BF478" s="75"/>
      <c r="BG478" s="75"/>
      <c r="BH478" s="75"/>
      <c r="BI478" s="75"/>
      <c r="BJ478" s="75"/>
      <c r="BK478" s="75"/>
      <c r="BL478" s="75"/>
      <c r="BM478" s="75"/>
      <c r="BN478" s="75"/>
      <c r="BO478" s="75"/>
      <c r="BP478" s="75"/>
      <c r="BQ478" s="75"/>
      <c r="BR478" s="75"/>
      <c r="BS478" s="75"/>
      <c r="BT478" s="75"/>
      <c r="BU478" s="75"/>
      <c r="BV478" s="75"/>
      <c r="BW478" s="75"/>
      <c r="BX478" s="75"/>
      <c r="BY478" s="75"/>
      <c r="BZ478" s="75"/>
      <c r="CA478" s="75"/>
      <c r="CB478" s="75"/>
      <c r="CC478" s="75"/>
      <c r="CD478" s="75"/>
      <c r="CE478" s="75"/>
      <c r="CF478" s="75"/>
      <c r="CG478" s="75"/>
      <c r="CH478" s="75"/>
      <c r="CI478" s="75"/>
      <c r="CJ478" s="75"/>
      <c r="CK478" s="75"/>
      <c r="CL478" s="75"/>
      <c r="CM478" s="75"/>
      <c r="CN478" s="75"/>
      <c r="CO478" s="75"/>
      <c r="CP478" s="75"/>
      <c r="CQ478" s="75"/>
      <c r="CR478" s="75"/>
      <c r="CS478" s="75"/>
      <c r="CT478" s="75"/>
      <c r="CU478" s="75"/>
      <c r="CV478" s="75"/>
      <c r="CW478" s="75"/>
      <c r="CX478" s="75"/>
      <c r="CY478" s="75"/>
      <c r="CZ478" s="75"/>
      <c r="DA478" s="75"/>
      <c r="DB478" s="75"/>
      <c r="DC478" s="75"/>
      <c r="DD478" s="75"/>
      <c r="DE478" s="75"/>
      <c r="DF478" s="75"/>
      <c r="DG478" s="75"/>
      <c r="DH478" s="75"/>
      <c r="DI478" s="75"/>
      <c r="DJ478" s="75"/>
      <c r="DK478" s="75"/>
      <c r="DL478" s="75"/>
      <c r="DM478" s="75"/>
      <c r="DN478" s="75"/>
      <c r="DO478" s="75"/>
      <c r="DP478" s="75"/>
      <c r="DQ478" s="75"/>
      <c r="DR478" s="75"/>
      <c r="DS478" s="75"/>
      <c r="DT478" s="75"/>
      <c r="DU478" s="75"/>
      <c r="DV478" s="75"/>
      <c r="DW478" s="75"/>
      <c r="DX478" s="75"/>
      <c r="DY478" s="75"/>
      <c r="DZ478" s="75"/>
      <c r="EA478" s="75"/>
      <c r="EB478" s="75"/>
      <c r="EC478" s="75"/>
      <c r="ED478" s="75"/>
      <c r="EE478" s="75"/>
      <c r="EF478" s="75"/>
      <c r="EG478" s="75"/>
      <c r="EH478" s="75"/>
      <c r="EI478" s="75"/>
      <c r="EJ478" s="75"/>
      <c r="EK478" s="75"/>
      <c r="EL478" s="75"/>
      <c r="EM478" s="75"/>
      <c r="EN478" s="75"/>
      <c r="EO478" s="75"/>
      <c r="EP478" s="75"/>
      <c r="EQ478" s="75"/>
      <c r="ER478" s="75"/>
      <c r="ES478" s="75"/>
      <c r="ET478" s="75"/>
      <c r="EU478" s="75"/>
      <c r="EV478" s="75"/>
      <c r="EW478" s="75"/>
      <c r="EX478" s="75"/>
      <c r="EY478" s="75"/>
      <c r="EZ478" s="75"/>
      <c r="FA478" s="75"/>
      <c r="FB478" s="75"/>
      <c r="FC478" s="75"/>
      <c r="FD478" s="75"/>
      <c r="FE478" s="75"/>
      <c r="FF478" s="75"/>
      <c r="FG478" s="75"/>
      <c r="FH478" s="75"/>
      <c r="FI478" s="75"/>
      <c r="FJ478" s="75"/>
      <c r="FK478" s="75"/>
      <c r="FL478" s="75"/>
      <c r="FM478" s="75"/>
      <c r="FN478" s="75"/>
      <c r="FO478" s="75"/>
      <c r="FP478" s="75"/>
      <c r="FQ478" s="75"/>
      <c r="FR478" s="75"/>
      <c r="FS478" s="75"/>
      <c r="FT478" s="75"/>
      <c r="FU478" s="75"/>
      <c r="FV478" s="75"/>
      <c r="FW478" s="75"/>
      <c r="FX478" s="75"/>
      <c r="FY478" s="75"/>
      <c r="FZ478" s="75"/>
      <c r="GA478" s="75"/>
      <c r="GB478" s="75"/>
      <c r="GC478" s="75"/>
      <c r="GD478" s="75"/>
      <c r="GE478" s="75"/>
      <c r="GF478" s="75"/>
      <c r="GG478" s="75"/>
      <c r="GH478" s="75"/>
      <c r="GI478" s="75"/>
      <c r="GJ478" s="75"/>
      <c r="GK478" s="75"/>
      <c r="GL478" s="75"/>
      <c r="GM478" s="75"/>
      <c r="GN478" s="75"/>
      <c r="GO478" s="75"/>
      <c r="GP478" s="75"/>
      <c r="GQ478" s="75"/>
      <c r="GR478" s="75"/>
      <c r="GS478" s="75"/>
      <c r="GT478" s="75"/>
      <c r="GU478" s="75"/>
      <c r="GV478" s="75"/>
      <c r="GW478" s="75"/>
      <c r="GX478" s="75"/>
      <c r="GY478" s="75"/>
      <c r="GZ478" s="75"/>
      <c r="HA478" s="75"/>
      <c r="HB478" s="75"/>
      <c r="HC478" s="75"/>
      <c r="HD478" s="75"/>
      <c r="HE478" s="75"/>
      <c r="HF478" s="75"/>
      <c r="HG478" s="75"/>
      <c r="HH478" s="75"/>
      <c r="HI478" s="75"/>
      <c r="HJ478" s="75"/>
      <c r="HK478" s="75"/>
      <c r="HL478" s="75"/>
      <c r="HM478" s="75"/>
      <c r="HN478" s="75"/>
      <c r="HO478" s="75"/>
      <c r="HP478" s="75"/>
      <c r="HQ478" s="75"/>
      <c r="HR478" s="75"/>
      <c r="HS478" s="75"/>
      <c r="HT478" s="75"/>
      <c r="HU478" s="75"/>
      <c r="HV478" s="75"/>
      <c r="HW478" s="75"/>
      <c r="HX478" s="75"/>
      <c r="HY478" s="75"/>
      <c r="HZ478" s="75"/>
      <c r="IA478" s="75"/>
      <c r="IB478" s="75"/>
      <c r="IC478" s="75"/>
      <c r="ID478" s="75"/>
      <c r="IE478" s="75"/>
      <c r="IF478" s="75"/>
      <c r="IG478" s="75"/>
      <c r="IH478" s="75"/>
      <c r="II478" s="75"/>
      <c r="IJ478" s="75"/>
      <c r="IK478" s="75"/>
      <c r="IL478" s="75"/>
      <c r="IM478" s="75"/>
      <c r="IN478" s="75"/>
      <c r="IO478" s="75"/>
      <c r="IP478" s="75"/>
      <c r="IQ478" s="75"/>
      <c r="IR478" s="75"/>
      <c r="IS478" s="75"/>
      <c r="IT478" s="75"/>
      <c r="IU478" s="75"/>
      <c r="IV478" s="75"/>
      <c r="IW478" s="75"/>
      <c r="IX478" s="75"/>
      <c r="IY478" s="75"/>
      <c r="IZ478" s="75"/>
      <c r="JA478" s="75"/>
      <c r="JB478" s="75"/>
      <c r="JC478" s="75"/>
      <c r="JD478" s="75"/>
      <c r="JE478" s="75"/>
      <c r="JF478" s="75"/>
      <c r="JG478" s="75"/>
      <c r="JH478" s="75"/>
      <c r="JI478" s="75"/>
      <c r="JJ478" s="75"/>
      <c r="JK478" s="75"/>
      <c r="JL478" s="75"/>
      <c r="JM478" s="75"/>
      <c r="JN478" s="75"/>
      <c r="JO478" s="75"/>
      <c r="JP478" s="75"/>
      <c r="JQ478" s="75"/>
      <c r="JR478" s="75"/>
      <c r="JS478" s="75"/>
      <c r="JT478" s="75"/>
      <c r="JU478" s="75"/>
      <c r="JV478" s="75"/>
      <c r="JW478" s="75"/>
      <c r="JX478" s="75"/>
      <c r="JY478" s="75"/>
      <c r="JZ478" s="75"/>
      <c r="KA478" s="75"/>
      <c r="KB478" s="75"/>
      <c r="KC478" s="75"/>
      <c r="KD478" s="75"/>
      <c r="KE478" s="75"/>
      <c r="KF478" s="75"/>
      <c r="KG478" s="75"/>
      <c r="KH478" s="75"/>
      <c r="KI478" s="75"/>
      <c r="KJ478" s="75"/>
      <c r="KK478" s="75"/>
      <c r="KL478" s="75"/>
      <c r="KM478" s="75"/>
      <c r="KN478" s="75"/>
      <c r="KO478" s="75"/>
      <c r="KP478" s="75"/>
      <c r="KQ478" s="75"/>
      <c r="KR478" s="75"/>
      <c r="KS478" s="75"/>
      <c r="KT478" s="75"/>
      <c r="KU478" s="75"/>
      <c r="KV478" s="75"/>
      <c r="KW478" s="75"/>
      <c r="KX478" s="75"/>
      <c r="KY478" s="75"/>
      <c r="KZ478" s="75"/>
      <c r="LA478" s="75"/>
      <c r="LB478" s="75"/>
      <c r="LC478" s="75"/>
      <c r="LD478" s="75"/>
      <c r="LE478" s="75"/>
      <c r="LF478" s="75"/>
      <c r="LG478" s="75"/>
      <c r="LH478" s="75"/>
      <c r="LI478" s="75"/>
      <c r="LJ478" s="75"/>
      <c r="LK478" s="75"/>
      <c r="LL478" s="75"/>
      <c r="LM478" s="75"/>
      <c r="LN478" s="75"/>
      <c r="LO478" s="75"/>
      <c r="LP478" s="75"/>
      <c r="LQ478" s="75"/>
      <c r="LR478" s="75"/>
      <c r="LS478" s="75"/>
      <c r="LT478" s="75"/>
      <c r="LU478" s="75"/>
      <c r="LV478" s="75"/>
      <c r="LW478" s="75"/>
      <c r="LX478" s="75"/>
      <c r="LY478" s="75"/>
      <c r="LZ478" s="75"/>
      <c r="MA478" s="75"/>
      <c r="MB478" s="75"/>
      <c r="MC478" s="75"/>
      <c r="MD478" s="75"/>
      <c r="ME478" s="75"/>
      <c r="MF478" s="75"/>
      <c r="MG478" s="75"/>
      <c r="MH478" s="75"/>
      <c r="MI478" s="75"/>
      <c r="MJ478" s="75"/>
      <c r="MK478" s="75"/>
      <c r="ML478" s="75"/>
      <c r="MM478" s="75"/>
      <c r="MN478" s="75"/>
      <c r="MO478" s="75"/>
      <c r="MP478" s="75"/>
      <c r="MQ478" s="75"/>
      <c r="MR478" s="75"/>
      <c r="MS478" s="75"/>
      <c r="MT478" s="75"/>
      <c r="MU478" s="75"/>
      <c r="MV478" s="75"/>
      <c r="MW478" s="75"/>
      <c r="MX478" s="75"/>
      <c r="MY478" s="75"/>
      <c r="MZ478" s="75"/>
      <c r="NA478" s="75"/>
      <c r="NB478" s="75"/>
      <c r="NC478" s="75"/>
      <c r="ND478" s="75"/>
      <c r="NE478" s="75"/>
      <c r="NF478" s="75"/>
      <c r="NG478" s="75"/>
      <c r="NH478" s="75"/>
      <c r="NI478" s="75"/>
      <c r="NJ478" s="75"/>
      <c r="NK478" s="75"/>
      <c r="NL478" s="75"/>
      <c r="NM478" s="75"/>
      <c r="NN478" s="75"/>
      <c r="NO478" s="75"/>
      <c r="NP478" s="75"/>
      <c r="NQ478" s="75"/>
      <c r="NR478" s="75"/>
      <c r="NS478" s="75"/>
      <c r="NT478" s="75"/>
      <c r="NU478" s="75"/>
      <c r="NV478" s="75"/>
      <c r="NW478" s="75"/>
      <c r="NX478" s="75"/>
      <c r="NY478" s="75"/>
      <c r="NZ478" s="75"/>
      <c r="OA478" s="75"/>
      <c r="OB478" s="75"/>
      <c r="OC478" s="75"/>
      <c r="OD478" s="75"/>
      <c r="OE478" s="75"/>
      <c r="OF478" s="75"/>
      <c r="OG478" s="75"/>
      <c r="OH478" s="75"/>
      <c r="OI478" s="75"/>
      <c r="OJ478" s="75"/>
      <c r="OK478" s="75"/>
      <c r="OL478" s="75"/>
      <c r="OM478" s="75"/>
      <c r="ON478" s="75"/>
      <c r="OO478" s="75"/>
      <c r="OP478" s="75"/>
      <c r="OQ478" s="75"/>
      <c r="OR478" s="75"/>
      <c r="OS478" s="75"/>
      <c r="OT478" s="75"/>
      <c r="OU478" s="75"/>
      <c r="OV478" s="75"/>
      <c r="OW478" s="75"/>
      <c r="OX478" s="75"/>
      <c r="OY478" s="75"/>
      <c r="OZ478" s="75"/>
      <c r="PA478" s="75"/>
      <c r="PB478" s="75"/>
      <c r="PC478" s="75"/>
      <c r="PD478" s="75"/>
      <c r="PE478" s="75"/>
      <c r="PF478" s="75"/>
      <c r="PG478" s="75"/>
      <c r="PH478" s="75"/>
      <c r="PI478" s="75"/>
      <c r="PJ478" s="75"/>
      <c r="PK478" s="75"/>
      <c r="PL478" s="75"/>
      <c r="PM478" s="75"/>
      <c r="PN478" s="75"/>
      <c r="PO478" s="75"/>
      <c r="PP478" s="75"/>
      <c r="PQ478" s="75"/>
      <c r="PR478" s="75"/>
      <c r="PS478" s="75"/>
      <c r="PT478" s="75"/>
      <c r="PU478" s="75"/>
      <c r="PV478" s="75"/>
      <c r="PW478" s="75"/>
      <c r="PX478" s="75"/>
      <c r="PY478" s="75"/>
      <c r="PZ478" s="75"/>
      <c r="QA478" s="75"/>
      <c r="QB478" s="75"/>
      <c r="QC478" s="75"/>
      <c r="QD478" s="75"/>
      <c r="QE478" s="75"/>
      <c r="QF478" s="75"/>
      <c r="QG478" s="75"/>
      <c r="QH478" s="75"/>
      <c r="QI478" s="75"/>
      <c r="QJ478" s="75"/>
      <c r="QK478" s="75"/>
      <c r="QL478" s="75"/>
      <c r="QM478" s="75"/>
      <c r="QN478" s="75"/>
      <c r="QO478" s="75"/>
      <c r="QP478" s="75"/>
      <c r="QQ478" s="75"/>
      <c r="QR478" s="75"/>
      <c r="QS478" s="75"/>
      <c r="QT478" s="75"/>
      <c r="QU478" s="75"/>
      <c r="QV478" s="75"/>
      <c r="QW478" s="75"/>
      <c r="QX478" s="75"/>
      <c r="QY478" s="75"/>
      <c r="QZ478" s="75"/>
      <c r="RA478" s="75"/>
      <c r="RB478" s="75"/>
      <c r="RC478" s="75"/>
      <c r="RD478" s="75"/>
      <c r="RE478" s="75"/>
      <c r="RF478" s="75"/>
      <c r="RG478" s="75"/>
      <c r="RH478" s="75"/>
      <c r="RI478" s="75"/>
      <c r="RJ478" s="75"/>
      <c r="RK478" s="75"/>
      <c r="RL478" s="75"/>
      <c r="RM478" s="75"/>
      <c r="RN478" s="75"/>
      <c r="RO478" s="75"/>
      <c r="RP478" s="75"/>
      <c r="RQ478" s="75"/>
      <c r="RR478" s="75"/>
      <c r="RS478" s="75"/>
      <c r="RT478" s="75"/>
      <c r="RU478" s="75"/>
      <c r="RV478" s="75"/>
      <c r="RW478" s="75"/>
      <c r="RX478" s="75"/>
      <c r="RY478" s="75"/>
      <c r="RZ478" s="75"/>
      <c r="SA478" s="75"/>
      <c r="SB478" s="75"/>
      <c r="SC478" s="75"/>
      <c r="SD478" s="75"/>
      <c r="SE478" s="75"/>
      <c r="SF478" s="75"/>
      <c r="SG478" s="75"/>
      <c r="SH478" s="75"/>
      <c r="SI478" s="75"/>
      <c r="SJ478" s="75"/>
      <c r="SK478" s="75"/>
      <c r="SL478" s="75"/>
      <c r="SM478" s="75"/>
      <c r="SN478" s="75"/>
      <c r="SO478" s="75"/>
      <c r="SP478" s="75"/>
      <c r="SQ478" s="75"/>
      <c r="SR478" s="75"/>
      <c r="SS478" s="75"/>
      <c r="ST478" s="75"/>
      <c r="SU478" s="75"/>
      <c r="SV478" s="75"/>
      <c r="SW478" s="75"/>
      <c r="SX478" s="75"/>
      <c r="SY478" s="75"/>
      <c r="SZ478" s="75"/>
      <c r="TA478" s="75"/>
      <c r="TB478" s="75"/>
      <c r="TC478" s="75"/>
      <c r="TD478" s="75"/>
      <c r="TE478" s="75"/>
      <c r="TF478" s="75"/>
      <c r="TG478" s="75"/>
      <c r="TH478" s="75"/>
      <c r="TI478" s="75"/>
      <c r="TJ478" s="75"/>
      <c r="TK478" s="75"/>
      <c r="TL478" s="75"/>
      <c r="TM478" s="75"/>
      <c r="TN478" s="75"/>
      <c r="TO478" s="75"/>
      <c r="TP478" s="75"/>
      <c r="TQ478" s="75"/>
      <c r="TR478" s="75"/>
      <c r="TS478" s="75"/>
      <c r="TT478" s="75"/>
      <c r="TU478" s="75"/>
      <c r="TV478" s="75"/>
      <c r="TW478" s="75"/>
      <c r="TX478" s="75"/>
      <c r="TY478" s="75"/>
      <c r="TZ478" s="75"/>
      <c r="UA478" s="75"/>
      <c r="UB478" s="75"/>
      <c r="UC478" s="75"/>
      <c r="UD478" s="75"/>
      <c r="UE478" s="75"/>
      <c r="UF478" s="75"/>
      <c r="UG478" s="75"/>
      <c r="UH478" s="75"/>
      <c r="UI478" s="75"/>
      <c r="UJ478" s="75"/>
      <c r="UK478" s="75"/>
      <c r="UL478" s="75"/>
      <c r="UM478" s="75"/>
      <c r="UN478" s="75"/>
      <c r="UO478" s="75"/>
      <c r="UP478" s="75"/>
      <c r="UQ478" s="75"/>
      <c r="UR478" s="75"/>
      <c r="US478" s="75"/>
      <c r="UT478" s="75"/>
      <c r="UU478" s="75"/>
      <c r="UV478" s="75"/>
      <c r="UW478" s="75"/>
      <c r="UX478" s="75"/>
      <c r="UY478" s="75"/>
      <c r="UZ478" s="75"/>
      <c r="VA478" s="75"/>
      <c r="VB478" s="75"/>
      <c r="VC478" s="75"/>
      <c r="VD478" s="75"/>
      <c r="VE478" s="75"/>
      <c r="VF478" s="75"/>
      <c r="VG478" s="75"/>
      <c r="VH478" s="75"/>
      <c r="VI478" s="75"/>
      <c r="VJ478" s="75"/>
      <c r="VK478" s="75"/>
      <c r="VL478" s="75"/>
      <c r="VM478" s="75"/>
      <c r="VN478" s="75"/>
      <c r="VO478" s="75"/>
      <c r="VP478" s="75"/>
      <c r="VQ478" s="75"/>
      <c r="VR478" s="75"/>
      <c r="VS478" s="75"/>
      <c r="VT478" s="75"/>
      <c r="VU478" s="75"/>
      <c r="VV478" s="75"/>
      <c r="VW478" s="75"/>
      <c r="VX478" s="75"/>
      <c r="VY478" s="75"/>
      <c r="VZ478" s="75"/>
      <c r="WA478" s="75"/>
      <c r="WB478" s="75"/>
      <c r="WC478" s="75"/>
      <c r="WD478" s="75"/>
      <c r="WE478" s="75"/>
      <c r="WF478" s="75"/>
      <c r="WG478" s="75"/>
      <c r="WH478" s="75"/>
      <c r="WI478" s="75"/>
      <c r="WJ478" s="75"/>
      <c r="WK478" s="75"/>
      <c r="WL478" s="75"/>
      <c r="WM478" s="75"/>
      <c r="WN478" s="75"/>
      <c r="WO478" s="75"/>
      <c r="WP478" s="75"/>
      <c r="WQ478" s="75"/>
      <c r="WR478" s="75"/>
      <c r="WS478" s="75"/>
      <c r="WT478" s="75"/>
      <c r="WU478" s="75"/>
      <c r="WV478" s="75"/>
      <c r="WW478" s="75"/>
      <c r="WX478" s="75"/>
      <c r="WY478" s="75"/>
      <c r="WZ478" s="75"/>
      <c r="XA478" s="75"/>
      <c r="XB478" s="75"/>
      <c r="XC478" s="75"/>
      <c r="XD478" s="75"/>
      <c r="XE478" s="75"/>
      <c r="XF478" s="75"/>
      <c r="XG478" s="75"/>
      <c r="XH478" s="75"/>
      <c r="XI478" s="75"/>
      <c r="XJ478" s="75"/>
      <c r="XK478" s="75"/>
      <c r="XL478" s="75"/>
      <c r="XM478" s="75"/>
      <c r="XN478" s="75"/>
      <c r="XO478" s="75"/>
      <c r="XP478" s="75"/>
      <c r="XQ478" s="75"/>
      <c r="XR478" s="75"/>
      <c r="XS478" s="75"/>
      <c r="XT478" s="75"/>
      <c r="XU478" s="75"/>
      <c r="XV478" s="75"/>
      <c r="XW478" s="75"/>
      <c r="XX478" s="75"/>
      <c r="XY478" s="75"/>
      <c r="XZ478" s="75"/>
      <c r="YA478" s="75"/>
      <c r="YB478" s="75"/>
      <c r="YC478" s="75"/>
      <c r="YD478" s="75"/>
      <c r="YE478" s="75"/>
      <c r="YF478" s="75"/>
      <c r="YG478" s="75"/>
      <c r="YH478" s="75"/>
      <c r="YI478" s="75"/>
      <c r="YJ478" s="75"/>
      <c r="YK478" s="75"/>
      <c r="YL478" s="75"/>
      <c r="YM478" s="75"/>
      <c r="YN478" s="75"/>
      <c r="YO478" s="75"/>
      <c r="YP478" s="75"/>
      <c r="YQ478" s="75"/>
      <c r="YR478" s="75"/>
      <c r="YS478" s="75"/>
      <c r="YT478" s="75"/>
      <c r="YU478" s="75"/>
      <c r="YV478" s="75"/>
      <c r="YW478" s="75"/>
      <c r="YX478" s="75"/>
      <c r="YY478" s="75"/>
      <c r="YZ478" s="75"/>
      <c r="ZA478" s="75"/>
      <c r="ZB478" s="75"/>
      <c r="ZC478" s="75"/>
      <c r="ZD478" s="75"/>
      <c r="ZE478" s="75"/>
      <c r="ZF478" s="75"/>
      <c r="ZG478" s="75"/>
      <c r="ZH478" s="75"/>
      <c r="ZI478" s="75"/>
      <c r="ZJ478" s="75"/>
      <c r="ZK478" s="75"/>
      <c r="ZL478" s="75"/>
      <c r="ZM478" s="75"/>
      <c r="ZN478" s="75"/>
      <c r="ZO478" s="75"/>
      <c r="ZP478" s="75"/>
      <c r="ZQ478" s="75"/>
      <c r="ZR478" s="75"/>
      <c r="ZS478" s="75"/>
      <c r="ZT478" s="75"/>
      <c r="ZU478" s="75"/>
      <c r="ZV478" s="75"/>
      <c r="ZW478" s="75"/>
      <c r="ZX478" s="75"/>
      <c r="ZY478" s="75"/>
      <c r="ZZ478" s="75"/>
      <c r="AAA478" s="75"/>
      <c r="AAB478" s="75"/>
      <c r="AAC478" s="75"/>
      <c r="AAD478" s="75"/>
      <c r="AAE478" s="75"/>
      <c r="AAF478" s="75"/>
      <c r="AAG478" s="75"/>
      <c r="AAH478" s="75"/>
      <c r="AAI478" s="75"/>
      <c r="AAJ478" s="75"/>
      <c r="AAK478" s="75"/>
      <c r="AAL478" s="75"/>
      <c r="AAM478" s="75"/>
      <c r="AAN478" s="75"/>
      <c r="AAO478" s="75"/>
      <c r="AAP478" s="75"/>
      <c r="AAQ478" s="75"/>
      <c r="AAR478" s="75"/>
      <c r="AAS478" s="75"/>
      <c r="AAT478" s="75"/>
      <c r="AAU478" s="75"/>
      <c r="AAV478" s="75"/>
      <c r="AAW478" s="75"/>
      <c r="AAX478" s="75"/>
      <c r="AAY478" s="75"/>
      <c r="AAZ478" s="75"/>
      <c r="ABA478" s="75"/>
      <c r="ABB478" s="75"/>
      <c r="ABC478" s="75"/>
      <c r="ABD478" s="75"/>
      <c r="ABE478" s="75"/>
      <c r="ABF478" s="75"/>
      <c r="ABG478" s="75"/>
      <c r="ABH478" s="75"/>
      <c r="ABI478" s="75"/>
      <c r="ABJ478" s="75"/>
      <c r="ABK478" s="75"/>
      <c r="ABL478" s="75"/>
      <c r="ABM478" s="75"/>
      <c r="ABN478" s="75"/>
      <c r="ABO478" s="75"/>
      <c r="ABP478" s="75"/>
      <c r="ABQ478" s="75"/>
      <c r="ABR478" s="75"/>
      <c r="ABS478" s="75"/>
      <c r="ABT478" s="75"/>
      <c r="ABU478" s="75"/>
      <c r="ABV478" s="75"/>
      <c r="ABW478" s="75"/>
      <c r="ABX478" s="75"/>
      <c r="ABY478" s="75"/>
      <c r="ABZ478" s="75"/>
      <c r="ACA478" s="75"/>
      <c r="ACB478" s="75"/>
      <c r="ACC478" s="75"/>
      <c r="ACD478" s="75"/>
      <c r="ACE478" s="75"/>
      <c r="ACF478" s="75"/>
      <c r="ACG478" s="75"/>
      <c r="ACH478" s="75"/>
      <c r="ACI478" s="75"/>
      <c r="ACJ478" s="75"/>
      <c r="ACK478" s="75"/>
      <c r="ACL478" s="75"/>
      <c r="ACM478" s="75"/>
      <c r="ACN478" s="75"/>
      <c r="ACO478" s="75"/>
      <c r="ACP478" s="75"/>
      <c r="ACQ478" s="75"/>
      <c r="ACR478" s="75"/>
      <c r="ACS478" s="75"/>
      <c r="ACT478" s="75"/>
      <c r="ACU478" s="75"/>
      <c r="ACV478" s="75"/>
      <c r="ACW478" s="75"/>
      <c r="ACX478" s="75"/>
      <c r="ACY478" s="75"/>
      <c r="ACZ478" s="75"/>
      <c r="ADA478" s="75"/>
      <c r="ADB478" s="75"/>
      <c r="ADC478" s="75"/>
      <c r="ADD478" s="75"/>
      <c r="ADE478" s="75"/>
      <c r="ADF478" s="75"/>
      <c r="ADG478" s="75"/>
      <c r="ADH478" s="75"/>
      <c r="ADI478" s="75"/>
      <c r="ADJ478" s="75"/>
      <c r="ADK478" s="75"/>
      <c r="ADL478" s="75"/>
      <c r="ADM478" s="75"/>
      <c r="ADN478" s="75"/>
      <c r="ADO478" s="75"/>
      <c r="ADP478" s="75"/>
      <c r="ADQ478" s="75"/>
      <c r="ADR478" s="75"/>
      <c r="ADS478" s="75"/>
      <c r="ADT478" s="75"/>
      <c r="ADU478" s="75"/>
      <c r="ADV478" s="75"/>
      <c r="ADW478" s="75"/>
      <c r="ADX478" s="75"/>
      <c r="ADY478" s="75"/>
      <c r="ADZ478" s="75"/>
      <c r="AEA478" s="75"/>
      <c r="AEB478" s="75"/>
      <c r="AEC478" s="75"/>
      <c r="AED478" s="75"/>
      <c r="AEE478" s="75"/>
      <c r="AEF478" s="75"/>
      <c r="AEG478" s="75"/>
      <c r="AEH478" s="75"/>
      <c r="AEI478" s="75"/>
      <c r="AEJ478" s="75"/>
      <c r="AEK478" s="75"/>
      <c r="AEL478" s="75"/>
      <c r="AEM478" s="75"/>
      <c r="AEN478" s="75"/>
      <c r="AEO478" s="75"/>
      <c r="AEP478" s="75"/>
      <c r="AEQ478" s="75"/>
      <c r="AER478" s="75"/>
      <c r="AES478" s="75"/>
      <c r="AET478" s="75"/>
      <c r="AEU478" s="75"/>
      <c r="AEV478" s="75"/>
      <c r="AEW478" s="75"/>
      <c r="AEX478" s="75"/>
      <c r="AEY478" s="75"/>
      <c r="AEZ478" s="75"/>
      <c r="AFA478" s="75"/>
      <c r="AFB478" s="75"/>
      <c r="AFC478" s="75"/>
      <c r="AFD478" s="75"/>
      <c r="AFE478" s="75"/>
      <c r="AFF478" s="75"/>
      <c r="AFG478" s="75"/>
      <c r="AFH478" s="75"/>
      <c r="AFI478" s="75"/>
      <c r="AFJ478" s="75"/>
      <c r="AFK478" s="75"/>
      <c r="AFL478" s="75"/>
      <c r="AFM478" s="75"/>
      <c r="AFN478" s="75"/>
      <c r="AFO478" s="75"/>
      <c r="AFP478" s="75"/>
      <c r="AFQ478" s="75"/>
      <c r="AFR478" s="75"/>
      <c r="AFS478" s="75"/>
      <c r="AFT478" s="75"/>
      <c r="AFU478" s="75"/>
      <c r="AFV478" s="75"/>
      <c r="AFW478" s="75"/>
      <c r="AFX478" s="75"/>
      <c r="AFY478" s="75"/>
      <c r="AFZ478" s="75"/>
      <c r="AGA478" s="75"/>
      <c r="AGB478" s="75"/>
      <c r="AGC478" s="75"/>
      <c r="AGD478" s="75"/>
      <c r="AGE478" s="75"/>
      <c r="AGF478" s="75"/>
      <c r="AGG478" s="75"/>
      <c r="AGH478" s="75"/>
      <c r="AGI478" s="75"/>
      <c r="AGJ478" s="75"/>
      <c r="AGK478" s="75"/>
      <c r="AGL478" s="75"/>
      <c r="AGM478" s="75"/>
      <c r="AGN478" s="75"/>
      <c r="AGO478" s="75"/>
      <c r="AGP478" s="75"/>
      <c r="AGQ478" s="75"/>
      <c r="AGR478" s="75"/>
      <c r="AGS478" s="75"/>
      <c r="AGT478" s="75"/>
      <c r="AGU478" s="75"/>
      <c r="AGV478" s="75"/>
      <c r="AGW478" s="75"/>
      <c r="AGX478" s="75"/>
      <c r="AGY478" s="75"/>
      <c r="AGZ478" s="75"/>
      <c r="AHA478" s="75"/>
      <c r="AHB478" s="75"/>
      <c r="AHC478" s="75"/>
      <c r="AHD478" s="75"/>
      <c r="AHE478" s="75"/>
      <c r="AHF478" s="75"/>
      <c r="AHG478" s="75"/>
      <c r="AHH478" s="75"/>
      <c r="AHI478" s="75"/>
      <c r="AHJ478" s="75"/>
      <c r="AHK478" s="75"/>
      <c r="AHL478" s="75"/>
      <c r="AHM478" s="75"/>
      <c r="AHN478" s="75"/>
      <c r="AHO478" s="75"/>
      <c r="AHP478" s="75"/>
      <c r="AHQ478" s="75"/>
      <c r="AHR478" s="75"/>
      <c r="AHS478" s="75"/>
      <c r="AHT478" s="75"/>
      <c r="AHU478" s="75"/>
      <c r="AHV478" s="75"/>
      <c r="AHW478" s="75"/>
      <c r="AHX478" s="75"/>
      <c r="AHY478" s="75"/>
      <c r="AHZ478" s="75"/>
      <c r="AIA478" s="75"/>
      <c r="AIB478" s="75"/>
      <c r="AIC478" s="75"/>
      <c r="AID478" s="75"/>
      <c r="AIE478" s="75"/>
      <c r="AIF478" s="75"/>
      <c r="AIG478" s="75"/>
      <c r="AIH478" s="75"/>
      <c r="AII478" s="75"/>
      <c r="AIJ478" s="75"/>
      <c r="AIK478" s="75"/>
      <c r="AIL478" s="75"/>
      <c r="AIM478" s="75"/>
      <c r="AIN478" s="75"/>
      <c r="AIO478" s="75"/>
      <c r="AIP478" s="75"/>
      <c r="AIQ478" s="75"/>
      <c r="AIR478" s="75"/>
      <c r="AIS478" s="75"/>
      <c r="AIT478" s="75"/>
      <c r="AIU478" s="75"/>
      <c r="AIV478" s="75"/>
      <c r="AIW478" s="75"/>
      <c r="AIX478" s="75"/>
      <c r="AIY478" s="75"/>
      <c r="AIZ478" s="75"/>
      <c r="AJA478" s="75"/>
      <c r="AJB478" s="75"/>
      <c r="AJC478" s="75"/>
      <c r="AJD478" s="75"/>
      <c r="AJE478" s="75"/>
      <c r="AJF478" s="75"/>
      <c r="AJG478" s="75"/>
      <c r="AJH478" s="75"/>
      <c r="AJI478" s="75"/>
      <c r="AJJ478" s="75"/>
      <c r="AJK478" s="75"/>
      <c r="AJL478" s="75"/>
      <c r="AJM478" s="75"/>
      <c r="AJN478" s="75"/>
      <c r="AJO478" s="75"/>
      <c r="AJP478" s="75"/>
      <c r="AJQ478" s="75"/>
      <c r="AJR478" s="75"/>
      <c r="AJS478" s="75"/>
      <c r="AJT478" s="75"/>
      <c r="AJU478" s="75"/>
      <c r="AJV478" s="75"/>
      <c r="AJW478" s="75"/>
      <c r="AJX478" s="75"/>
      <c r="AJY478" s="75"/>
      <c r="AJZ478" s="75"/>
      <c r="AKA478" s="75"/>
      <c r="AKB478" s="75"/>
      <c r="AKC478" s="75"/>
      <c r="AKD478" s="75"/>
      <c r="AKE478" s="75"/>
      <c r="AKF478" s="75"/>
      <c r="AKG478" s="75"/>
      <c r="AKH478" s="75"/>
      <c r="AKI478" s="75"/>
      <c r="AKJ478" s="75"/>
      <c r="AKK478" s="75"/>
      <c r="AKL478" s="75"/>
      <c r="AKM478" s="75"/>
      <c r="AKN478" s="75"/>
      <c r="AKO478" s="75"/>
      <c r="AKP478" s="75"/>
      <c r="AKQ478" s="75"/>
      <c r="AKR478" s="75"/>
      <c r="AKS478" s="75"/>
      <c r="AKT478" s="75"/>
      <c r="AKU478" s="75"/>
      <c r="AKV478" s="75"/>
      <c r="AKW478" s="75"/>
      <c r="AKX478" s="75"/>
      <c r="AKY478" s="75"/>
      <c r="AKZ478" s="75"/>
      <c r="ALA478" s="75"/>
      <c r="ALB478" s="75"/>
      <c r="ALC478" s="75"/>
      <c r="ALD478" s="75"/>
      <c r="ALE478" s="75"/>
      <c r="ALF478" s="75"/>
      <c r="ALG478" s="75"/>
      <c r="ALH478" s="75"/>
      <c r="ALI478" s="75"/>
      <c r="ALJ478" s="75"/>
      <c r="ALK478" s="75"/>
      <c r="ALL478" s="75"/>
      <c r="ALM478" s="75"/>
      <c r="ALN478" s="75"/>
      <c r="ALO478" s="75"/>
    </row>
    <row r="479" spans="1:1003" s="235" customFormat="1" ht="14.55" customHeight="1" outlineLevel="1" x14ac:dyDescent="0.25">
      <c r="A479" s="230" t="s">
        <v>1422</v>
      </c>
      <c r="B479" s="343" t="str">
        <f>"13.0203"</f>
        <v>13.0203</v>
      </c>
      <c r="C479" s="75" t="s">
        <v>2145</v>
      </c>
      <c r="D479" s="127" t="s">
        <v>2146</v>
      </c>
      <c r="E479" s="232"/>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c r="AY479" s="75"/>
      <c r="AZ479" s="75"/>
      <c r="BA479" s="75"/>
      <c r="BB479" s="75"/>
      <c r="BC479" s="75"/>
      <c r="BD479" s="75"/>
      <c r="BE479" s="75"/>
      <c r="BF479" s="75"/>
      <c r="BG479" s="75"/>
      <c r="BH479" s="75"/>
      <c r="BI479" s="75"/>
      <c r="BJ479" s="75"/>
      <c r="BK479" s="75"/>
      <c r="BL479" s="75"/>
      <c r="BM479" s="75"/>
      <c r="BN479" s="75"/>
      <c r="BO479" s="75"/>
      <c r="BP479" s="75"/>
      <c r="BQ479" s="75"/>
      <c r="BR479" s="75"/>
      <c r="BS479" s="75"/>
      <c r="BT479" s="75"/>
      <c r="BU479" s="75"/>
      <c r="BV479" s="75"/>
      <c r="BW479" s="75"/>
      <c r="BX479" s="75"/>
      <c r="BY479" s="75"/>
      <c r="BZ479" s="75"/>
      <c r="CA479" s="75"/>
      <c r="CB479" s="75"/>
      <c r="CC479" s="75"/>
      <c r="CD479" s="75"/>
      <c r="CE479" s="75"/>
      <c r="CF479" s="75"/>
      <c r="CG479" s="75"/>
      <c r="CH479" s="75"/>
      <c r="CI479" s="75"/>
      <c r="CJ479" s="75"/>
      <c r="CK479" s="75"/>
      <c r="CL479" s="75"/>
      <c r="CM479" s="75"/>
      <c r="CN479" s="75"/>
      <c r="CO479" s="75"/>
      <c r="CP479" s="75"/>
      <c r="CQ479" s="75"/>
      <c r="CR479" s="75"/>
      <c r="CS479" s="75"/>
      <c r="CT479" s="75"/>
      <c r="CU479" s="75"/>
      <c r="CV479" s="75"/>
      <c r="CW479" s="75"/>
      <c r="CX479" s="75"/>
      <c r="CY479" s="75"/>
      <c r="CZ479" s="75"/>
      <c r="DA479" s="75"/>
      <c r="DB479" s="75"/>
      <c r="DC479" s="75"/>
      <c r="DD479" s="75"/>
      <c r="DE479" s="75"/>
      <c r="DF479" s="75"/>
      <c r="DG479" s="75"/>
      <c r="DH479" s="75"/>
      <c r="DI479" s="75"/>
      <c r="DJ479" s="75"/>
      <c r="DK479" s="75"/>
      <c r="DL479" s="75"/>
      <c r="DM479" s="75"/>
      <c r="DN479" s="75"/>
      <c r="DO479" s="75"/>
      <c r="DP479" s="75"/>
      <c r="DQ479" s="75"/>
      <c r="DR479" s="75"/>
      <c r="DS479" s="75"/>
      <c r="DT479" s="75"/>
      <c r="DU479" s="75"/>
      <c r="DV479" s="75"/>
      <c r="DW479" s="75"/>
      <c r="DX479" s="75"/>
      <c r="DY479" s="75"/>
      <c r="DZ479" s="75"/>
      <c r="EA479" s="75"/>
      <c r="EB479" s="75"/>
      <c r="EC479" s="75"/>
      <c r="ED479" s="75"/>
      <c r="EE479" s="75"/>
      <c r="EF479" s="75"/>
      <c r="EG479" s="75"/>
      <c r="EH479" s="75"/>
      <c r="EI479" s="75"/>
      <c r="EJ479" s="75"/>
      <c r="EK479" s="75"/>
      <c r="EL479" s="75"/>
      <c r="EM479" s="75"/>
      <c r="EN479" s="75"/>
      <c r="EO479" s="75"/>
      <c r="EP479" s="75"/>
      <c r="EQ479" s="75"/>
      <c r="ER479" s="75"/>
      <c r="ES479" s="75"/>
      <c r="ET479" s="75"/>
      <c r="EU479" s="75"/>
      <c r="EV479" s="75"/>
      <c r="EW479" s="75"/>
      <c r="EX479" s="75"/>
      <c r="EY479" s="75"/>
      <c r="EZ479" s="75"/>
      <c r="FA479" s="75"/>
      <c r="FB479" s="75"/>
      <c r="FC479" s="75"/>
      <c r="FD479" s="75"/>
      <c r="FE479" s="75"/>
      <c r="FF479" s="75"/>
      <c r="FG479" s="75"/>
      <c r="FH479" s="75"/>
      <c r="FI479" s="75"/>
      <c r="FJ479" s="75"/>
      <c r="FK479" s="75"/>
      <c r="FL479" s="75"/>
      <c r="FM479" s="75"/>
      <c r="FN479" s="75"/>
      <c r="FO479" s="75"/>
      <c r="FP479" s="75"/>
      <c r="FQ479" s="75"/>
      <c r="FR479" s="75"/>
      <c r="FS479" s="75"/>
      <c r="FT479" s="75"/>
      <c r="FU479" s="75"/>
      <c r="FV479" s="75"/>
      <c r="FW479" s="75"/>
      <c r="FX479" s="75"/>
      <c r="FY479" s="75"/>
      <c r="FZ479" s="75"/>
      <c r="GA479" s="75"/>
      <c r="GB479" s="75"/>
      <c r="GC479" s="75"/>
      <c r="GD479" s="75"/>
      <c r="GE479" s="75"/>
      <c r="GF479" s="75"/>
      <c r="GG479" s="75"/>
      <c r="GH479" s="75"/>
      <c r="GI479" s="75"/>
      <c r="GJ479" s="75"/>
      <c r="GK479" s="75"/>
      <c r="GL479" s="75"/>
      <c r="GM479" s="75"/>
      <c r="GN479" s="75"/>
      <c r="GO479" s="75"/>
      <c r="GP479" s="75"/>
      <c r="GQ479" s="75"/>
      <c r="GR479" s="75"/>
      <c r="GS479" s="75"/>
      <c r="GT479" s="75"/>
      <c r="GU479" s="75"/>
      <c r="GV479" s="75"/>
      <c r="GW479" s="75"/>
      <c r="GX479" s="75"/>
      <c r="GY479" s="75"/>
      <c r="GZ479" s="75"/>
      <c r="HA479" s="75"/>
      <c r="HB479" s="75"/>
      <c r="HC479" s="75"/>
      <c r="HD479" s="75"/>
      <c r="HE479" s="75"/>
      <c r="HF479" s="75"/>
      <c r="HG479" s="75"/>
      <c r="HH479" s="75"/>
      <c r="HI479" s="75"/>
      <c r="HJ479" s="75"/>
      <c r="HK479" s="75"/>
      <c r="HL479" s="75"/>
      <c r="HM479" s="75"/>
      <c r="HN479" s="75"/>
      <c r="HO479" s="75"/>
      <c r="HP479" s="75"/>
      <c r="HQ479" s="75"/>
      <c r="HR479" s="75"/>
      <c r="HS479" s="75"/>
      <c r="HT479" s="75"/>
      <c r="HU479" s="75"/>
      <c r="HV479" s="75"/>
      <c r="HW479" s="75"/>
      <c r="HX479" s="75"/>
      <c r="HY479" s="75"/>
      <c r="HZ479" s="75"/>
      <c r="IA479" s="75"/>
      <c r="IB479" s="75"/>
      <c r="IC479" s="75"/>
      <c r="ID479" s="75"/>
      <c r="IE479" s="75"/>
      <c r="IF479" s="75"/>
      <c r="IG479" s="75"/>
      <c r="IH479" s="75"/>
      <c r="II479" s="75"/>
      <c r="IJ479" s="75"/>
      <c r="IK479" s="75"/>
      <c r="IL479" s="75"/>
      <c r="IM479" s="75"/>
      <c r="IN479" s="75"/>
      <c r="IO479" s="75"/>
      <c r="IP479" s="75"/>
      <c r="IQ479" s="75"/>
      <c r="IR479" s="75"/>
      <c r="IS479" s="75"/>
      <c r="IT479" s="75"/>
      <c r="IU479" s="75"/>
      <c r="IV479" s="75"/>
      <c r="IW479" s="75"/>
      <c r="IX479" s="75"/>
      <c r="IY479" s="75"/>
      <c r="IZ479" s="75"/>
      <c r="JA479" s="75"/>
      <c r="JB479" s="75"/>
      <c r="JC479" s="75"/>
      <c r="JD479" s="75"/>
      <c r="JE479" s="75"/>
      <c r="JF479" s="75"/>
      <c r="JG479" s="75"/>
      <c r="JH479" s="75"/>
      <c r="JI479" s="75"/>
      <c r="JJ479" s="75"/>
      <c r="JK479" s="75"/>
      <c r="JL479" s="75"/>
      <c r="JM479" s="75"/>
      <c r="JN479" s="75"/>
      <c r="JO479" s="75"/>
      <c r="JP479" s="75"/>
      <c r="JQ479" s="75"/>
      <c r="JR479" s="75"/>
      <c r="JS479" s="75"/>
      <c r="JT479" s="75"/>
      <c r="JU479" s="75"/>
      <c r="JV479" s="75"/>
      <c r="JW479" s="75"/>
      <c r="JX479" s="75"/>
      <c r="JY479" s="75"/>
      <c r="JZ479" s="75"/>
      <c r="KA479" s="75"/>
      <c r="KB479" s="75"/>
      <c r="KC479" s="75"/>
      <c r="KD479" s="75"/>
      <c r="KE479" s="75"/>
      <c r="KF479" s="75"/>
      <c r="KG479" s="75"/>
      <c r="KH479" s="75"/>
      <c r="KI479" s="75"/>
      <c r="KJ479" s="75"/>
      <c r="KK479" s="75"/>
      <c r="KL479" s="75"/>
      <c r="KM479" s="75"/>
      <c r="KN479" s="75"/>
      <c r="KO479" s="75"/>
      <c r="KP479" s="75"/>
      <c r="KQ479" s="75"/>
      <c r="KR479" s="75"/>
      <c r="KS479" s="75"/>
      <c r="KT479" s="75"/>
      <c r="KU479" s="75"/>
      <c r="KV479" s="75"/>
      <c r="KW479" s="75"/>
      <c r="KX479" s="75"/>
      <c r="KY479" s="75"/>
      <c r="KZ479" s="75"/>
      <c r="LA479" s="75"/>
      <c r="LB479" s="75"/>
      <c r="LC479" s="75"/>
      <c r="LD479" s="75"/>
      <c r="LE479" s="75"/>
      <c r="LF479" s="75"/>
      <c r="LG479" s="75"/>
      <c r="LH479" s="75"/>
      <c r="LI479" s="75"/>
      <c r="LJ479" s="75"/>
      <c r="LK479" s="75"/>
      <c r="LL479" s="75"/>
      <c r="LM479" s="75"/>
      <c r="LN479" s="75"/>
      <c r="LO479" s="75"/>
      <c r="LP479" s="75"/>
      <c r="LQ479" s="75"/>
      <c r="LR479" s="75"/>
      <c r="LS479" s="75"/>
      <c r="LT479" s="75"/>
      <c r="LU479" s="75"/>
      <c r="LV479" s="75"/>
      <c r="LW479" s="75"/>
      <c r="LX479" s="75"/>
      <c r="LY479" s="75"/>
      <c r="LZ479" s="75"/>
      <c r="MA479" s="75"/>
      <c r="MB479" s="75"/>
      <c r="MC479" s="75"/>
      <c r="MD479" s="75"/>
      <c r="ME479" s="75"/>
      <c r="MF479" s="75"/>
      <c r="MG479" s="75"/>
      <c r="MH479" s="75"/>
      <c r="MI479" s="75"/>
      <c r="MJ479" s="75"/>
      <c r="MK479" s="75"/>
      <c r="ML479" s="75"/>
      <c r="MM479" s="75"/>
      <c r="MN479" s="75"/>
      <c r="MO479" s="75"/>
      <c r="MP479" s="75"/>
      <c r="MQ479" s="75"/>
      <c r="MR479" s="75"/>
      <c r="MS479" s="75"/>
      <c r="MT479" s="75"/>
      <c r="MU479" s="75"/>
      <c r="MV479" s="75"/>
      <c r="MW479" s="75"/>
      <c r="MX479" s="75"/>
      <c r="MY479" s="75"/>
      <c r="MZ479" s="75"/>
      <c r="NA479" s="75"/>
      <c r="NB479" s="75"/>
      <c r="NC479" s="75"/>
      <c r="ND479" s="75"/>
      <c r="NE479" s="75"/>
      <c r="NF479" s="75"/>
      <c r="NG479" s="75"/>
      <c r="NH479" s="75"/>
      <c r="NI479" s="75"/>
      <c r="NJ479" s="75"/>
      <c r="NK479" s="75"/>
      <c r="NL479" s="75"/>
      <c r="NM479" s="75"/>
      <c r="NN479" s="75"/>
      <c r="NO479" s="75"/>
      <c r="NP479" s="75"/>
      <c r="NQ479" s="75"/>
      <c r="NR479" s="75"/>
      <c r="NS479" s="75"/>
      <c r="NT479" s="75"/>
      <c r="NU479" s="75"/>
      <c r="NV479" s="75"/>
      <c r="NW479" s="75"/>
      <c r="NX479" s="75"/>
      <c r="NY479" s="75"/>
      <c r="NZ479" s="75"/>
      <c r="OA479" s="75"/>
      <c r="OB479" s="75"/>
      <c r="OC479" s="75"/>
      <c r="OD479" s="75"/>
      <c r="OE479" s="75"/>
      <c r="OF479" s="75"/>
      <c r="OG479" s="75"/>
      <c r="OH479" s="75"/>
      <c r="OI479" s="75"/>
      <c r="OJ479" s="75"/>
      <c r="OK479" s="75"/>
      <c r="OL479" s="75"/>
      <c r="OM479" s="75"/>
      <c r="ON479" s="75"/>
      <c r="OO479" s="75"/>
      <c r="OP479" s="75"/>
      <c r="OQ479" s="75"/>
      <c r="OR479" s="75"/>
      <c r="OS479" s="75"/>
      <c r="OT479" s="75"/>
      <c r="OU479" s="75"/>
      <c r="OV479" s="75"/>
      <c r="OW479" s="75"/>
      <c r="OX479" s="75"/>
      <c r="OY479" s="75"/>
      <c r="OZ479" s="75"/>
      <c r="PA479" s="75"/>
      <c r="PB479" s="75"/>
      <c r="PC479" s="75"/>
      <c r="PD479" s="75"/>
      <c r="PE479" s="75"/>
      <c r="PF479" s="75"/>
      <c r="PG479" s="75"/>
      <c r="PH479" s="75"/>
      <c r="PI479" s="75"/>
      <c r="PJ479" s="75"/>
      <c r="PK479" s="75"/>
      <c r="PL479" s="75"/>
      <c r="PM479" s="75"/>
      <c r="PN479" s="75"/>
      <c r="PO479" s="75"/>
      <c r="PP479" s="75"/>
      <c r="PQ479" s="75"/>
      <c r="PR479" s="75"/>
      <c r="PS479" s="75"/>
      <c r="PT479" s="75"/>
      <c r="PU479" s="75"/>
      <c r="PV479" s="75"/>
      <c r="PW479" s="75"/>
      <c r="PX479" s="75"/>
      <c r="PY479" s="75"/>
      <c r="PZ479" s="75"/>
      <c r="QA479" s="75"/>
      <c r="QB479" s="75"/>
      <c r="QC479" s="75"/>
      <c r="QD479" s="75"/>
      <c r="QE479" s="75"/>
      <c r="QF479" s="75"/>
      <c r="QG479" s="75"/>
      <c r="QH479" s="75"/>
      <c r="QI479" s="75"/>
      <c r="QJ479" s="75"/>
      <c r="QK479" s="75"/>
      <c r="QL479" s="75"/>
      <c r="QM479" s="75"/>
      <c r="QN479" s="75"/>
      <c r="QO479" s="75"/>
      <c r="QP479" s="75"/>
      <c r="QQ479" s="75"/>
      <c r="QR479" s="75"/>
      <c r="QS479" s="75"/>
      <c r="QT479" s="75"/>
      <c r="QU479" s="75"/>
      <c r="QV479" s="75"/>
      <c r="QW479" s="75"/>
      <c r="QX479" s="75"/>
      <c r="QY479" s="75"/>
      <c r="QZ479" s="75"/>
      <c r="RA479" s="75"/>
      <c r="RB479" s="75"/>
      <c r="RC479" s="75"/>
      <c r="RD479" s="75"/>
      <c r="RE479" s="75"/>
      <c r="RF479" s="75"/>
      <c r="RG479" s="75"/>
      <c r="RH479" s="75"/>
      <c r="RI479" s="75"/>
      <c r="RJ479" s="75"/>
      <c r="RK479" s="75"/>
      <c r="RL479" s="75"/>
      <c r="RM479" s="75"/>
      <c r="RN479" s="75"/>
      <c r="RO479" s="75"/>
      <c r="RP479" s="75"/>
      <c r="RQ479" s="75"/>
      <c r="RR479" s="75"/>
      <c r="RS479" s="75"/>
      <c r="RT479" s="75"/>
      <c r="RU479" s="75"/>
      <c r="RV479" s="75"/>
      <c r="RW479" s="75"/>
      <c r="RX479" s="75"/>
      <c r="RY479" s="75"/>
      <c r="RZ479" s="75"/>
      <c r="SA479" s="75"/>
      <c r="SB479" s="75"/>
      <c r="SC479" s="75"/>
      <c r="SD479" s="75"/>
      <c r="SE479" s="75"/>
      <c r="SF479" s="75"/>
      <c r="SG479" s="75"/>
      <c r="SH479" s="75"/>
      <c r="SI479" s="75"/>
      <c r="SJ479" s="75"/>
      <c r="SK479" s="75"/>
      <c r="SL479" s="75"/>
      <c r="SM479" s="75"/>
      <c r="SN479" s="75"/>
      <c r="SO479" s="75"/>
      <c r="SP479" s="75"/>
      <c r="SQ479" s="75"/>
      <c r="SR479" s="75"/>
      <c r="SS479" s="75"/>
      <c r="ST479" s="75"/>
      <c r="SU479" s="75"/>
      <c r="SV479" s="75"/>
      <c r="SW479" s="75"/>
      <c r="SX479" s="75"/>
      <c r="SY479" s="75"/>
      <c r="SZ479" s="75"/>
      <c r="TA479" s="75"/>
      <c r="TB479" s="75"/>
      <c r="TC479" s="75"/>
      <c r="TD479" s="75"/>
      <c r="TE479" s="75"/>
      <c r="TF479" s="75"/>
      <c r="TG479" s="75"/>
      <c r="TH479" s="75"/>
      <c r="TI479" s="75"/>
      <c r="TJ479" s="75"/>
      <c r="TK479" s="75"/>
      <c r="TL479" s="75"/>
      <c r="TM479" s="75"/>
      <c r="TN479" s="75"/>
      <c r="TO479" s="75"/>
      <c r="TP479" s="75"/>
      <c r="TQ479" s="75"/>
      <c r="TR479" s="75"/>
      <c r="TS479" s="75"/>
      <c r="TT479" s="75"/>
      <c r="TU479" s="75"/>
      <c r="TV479" s="75"/>
      <c r="TW479" s="75"/>
      <c r="TX479" s="75"/>
      <c r="TY479" s="75"/>
      <c r="TZ479" s="75"/>
      <c r="UA479" s="75"/>
      <c r="UB479" s="75"/>
      <c r="UC479" s="75"/>
      <c r="UD479" s="75"/>
      <c r="UE479" s="75"/>
      <c r="UF479" s="75"/>
      <c r="UG479" s="75"/>
      <c r="UH479" s="75"/>
      <c r="UI479" s="75"/>
      <c r="UJ479" s="75"/>
      <c r="UK479" s="75"/>
      <c r="UL479" s="75"/>
      <c r="UM479" s="75"/>
      <c r="UN479" s="75"/>
      <c r="UO479" s="75"/>
      <c r="UP479" s="75"/>
      <c r="UQ479" s="75"/>
      <c r="UR479" s="75"/>
      <c r="US479" s="75"/>
      <c r="UT479" s="75"/>
      <c r="UU479" s="75"/>
      <c r="UV479" s="75"/>
      <c r="UW479" s="75"/>
      <c r="UX479" s="75"/>
      <c r="UY479" s="75"/>
      <c r="UZ479" s="75"/>
      <c r="VA479" s="75"/>
      <c r="VB479" s="75"/>
      <c r="VC479" s="75"/>
      <c r="VD479" s="75"/>
      <c r="VE479" s="75"/>
      <c r="VF479" s="75"/>
      <c r="VG479" s="75"/>
      <c r="VH479" s="75"/>
      <c r="VI479" s="75"/>
      <c r="VJ479" s="75"/>
      <c r="VK479" s="75"/>
      <c r="VL479" s="75"/>
      <c r="VM479" s="75"/>
      <c r="VN479" s="75"/>
      <c r="VO479" s="75"/>
      <c r="VP479" s="75"/>
      <c r="VQ479" s="75"/>
      <c r="VR479" s="75"/>
      <c r="VS479" s="75"/>
      <c r="VT479" s="75"/>
      <c r="VU479" s="75"/>
      <c r="VV479" s="75"/>
      <c r="VW479" s="75"/>
      <c r="VX479" s="75"/>
      <c r="VY479" s="75"/>
      <c r="VZ479" s="75"/>
      <c r="WA479" s="75"/>
      <c r="WB479" s="75"/>
      <c r="WC479" s="75"/>
      <c r="WD479" s="75"/>
      <c r="WE479" s="75"/>
      <c r="WF479" s="75"/>
      <c r="WG479" s="75"/>
      <c r="WH479" s="75"/>
      <c r="WI479" s="75"/>
      <c r="WJ479" s="75"/>
      <c r="WK479" s="75"/>
      <c r="WL479" s="75"/>
      <c r="WM479" s="75"/>
      <c r="WN479" s="75"/>
      <c r="WO479" s="75"/>
      <c r="WP479" s="75"/>
      <c r="WQ479" s="75"/>
      <c r="WR479" s="75"/>
      <c r="WS479" s="75"/>
      <c r="WT479" s="75"/>
      <c r="WU479" s="75"/>
      <c r="WV479" s="75"/>
      <c r="WW479" s="75"/>
      <c r="WX479" s="75"/>
      <c r="WY479" s="75"/>
      <c r="WZ479" s="75"/>
      <c r="XA479" s="75"/>
      <c r="XB479" s="75"/>
      <c r="XC479" s="75"/>
      <c r="XD479" s="75"/>
      <c r="XE479" s="75"/>
      <c r="XF479" s="75"/>
      <c r="XG479" s="75"/>
      <c r="XH479" s="75"/>
      <c r="XI479" s="75"/>
      <c r="XJ479" s="75"/>
      <c r="XK479" s="75"/>
      <c r="XL479" s="75"/>
      <c r="XM479" s="75"/>
      <c r="XN479" s="75"/>
      <c r="XO479" s="75"/>
      <c r="XP479" s="75"/>
      <c r="XQ479" s="75"/>
      <c r="XR479" s="75"/>
      <c r="XS479" s="75"/>
      <c r="XT479" s="75"/>
      <c r="XU479" s="75"/>
      <c r="XV479" s="75"/>
      <c r="XW479" s="75"/>
      <c r="XX479" s="75"/>
      <c r="XY479" s="75"/>
      <c r="XZ479" s="75"/>
      <c r="YA479" s="75"/>
      <c r="YB479" s="75"/>
      <c r="YC479" s="75"/>
      <c r="YD479" s="75"/>
      <c r="YE479" s="75"/>
      <c r="YF479" s="75"/>
      <c r="YG479" s="75"/>
      <c r="YH479" s="75"/>
      <c r="YI479" s="75"/>
      <c r="YJ479" s="75"/>
      <c r="YK479" s="75"/>
      <c r="YL479" s="75"/>
      <c r="YM479" s="75"/>
      <c r="YN479" s="75"/>
      <c r="YO479" s="75"/>
      <c r="YP479" s="75"/>
      <c r="YQ479" s="75"/>
      <c r="YR479" s="75"/>
      <c r="YS479" s="75"/>
      <c r="YT479" s="75"/>
      <c r="YU479" s="75"/>
      <c r="YV479" s="75"/>
      <c r="YW479" s="75"/>
      <c r="YX479" s="75"/>
      <c r="YY479" s="75"/>
      <c r="YZ479" s="75"/>
      <c r="ZA479" s="75"/>
      <c r="ZB479" s="75"/>
      <c r="ZC479" s="75"/>
      <c r="ZD479" s="75"/>
      <c r="ZE479" s="75"/>
      <c r="ZF479" s="75"/>
      <c r="ZG479" s="75"/>
      <c r="ZH479" s="75"/>
      <c r="ZI479" s="75"/>
      <c r="ZJ479" s="75"/>
      <c r="ZK479" s="75"/>
      <c r="ZL479" s="75"/>
      <c r="ZM479" s="75"/>
      <c r="ZN479" s="75"/>
      <c r="ZO479" s="75"/>
      <c r="ZP479" s="75"/>
      <c r="ZQ479" s="75"/>
      <c r="ZR479" s="75"/>
      <c r="ZS479" s="75"/>
      <c r="ZT479" s="75"/>
      <c r="ZU479" s="75"/>
      <c r="ZV479" s="75"/>
      <c r="ZW479" s="75"/>
      <c r="ZX479" s="75"/>
      <c r="ZY479" s="75"/>
      <c r="ZZ479" s="75"/>
      <c r="AAA479" s="75"/>
      <c r="AAB479" s="75"/>
      <c r="AAC479" s="75"/>
      <c r="AAD479" s="75"/>
      <c r="AAE479" s="75"/>
      <c r="AAF479" s="75"/>
      <c r="AAG479" s="75"/>
      <c r="AAH479" s="75"/>
      <c r="AAI479" s="75"/>
      <c r="AAJ479" s="75"/>
      <c r="AAK479" s="75"/>
      <c r="AAL479" s="75"/>
      <c r="AAM479" s="75"/>
      <c r="AAN479" s="75"/>
      <c r="AAO479" s="75"/>
      <c r="AAP479" s="75"/>
      <c r="AAQ479" s="75"/>
      <c r="AAR479" s="75"/>
      <c r="AAS479" s="75"/>
      <c r="AAT479" s="75"/>
      <c r="AAU479" s="75"/>
      <c r="AAV479" s="75"/>
      <c r="AAW479" s="75"/>
      <c r="AAX479" s="75"/>
      <c r="AAY479" s="75"/>
      <c r="AAZ479" s="75"/>
      <c r="ABA479" s="75"/>
      <c r="ABB479" s="75"/>
      <c r="ABC479" s="75"/>
      <c r="ABD479" s="75"/>
      <c r="ABE479" s="75"/>
      <c r="ABF479" s="75"/>
      <c r="ABG479" s="75"/>
      <c r="ABH479" s="75"/>
      <c r="ABI479" s="75"/>
      <c r="ABJ479" s="75"/>
      <c r="ABK479" s="75"/>
      <c r="ABL479" s="75"/>
      <c r="ABM479" s="75"/>
      <c r="ABN479" s="75"/>
      <c r="ABO479" s="75"/>
      <c r="ABP479" s="75"/>
      <c r="ABQ479" s="75"/>
      <c r="ABR479" s="75"/>
      <c r="ABS479" s="75"/>
      <c r="ABT479" s="75"/>
      <c r="ABU479" s="75"/>
      <c r="ABV479" s="75"/>
      <c r="ABW479" s="75"/>
      <c r="ABX479" s="75"/>
      <c r="ABY479" s="75"/>
      <c r="ABZ479" s="75"/>
      <c r="ACA479" s="75"/>
      <c r="ACB479" s="75"/>
      <c r="ACC479" s="75"/>
      <c r="ACD479" s="75"/>
      <c r="ACE479" s="75"/>
      <c r="ACF479" s="75"/>
      <c r="ACG479" s="75"/>
      <c r="ACH479" s="75"/>
      <c r="ACI479" s="75"/>
      <c r="ACJ479" s="75"/>
      <c r="ACK479" s="75"/>
      <c r="ACL479" s="75"/>
      <c r="ACM479" s="75"/>
      <c r="ACN479" s="75"/>
      <c r="ACO479" s="75"/>
      <c r="ACP479" s="75"/>
      <c r="ACQ479" s="75"/>
      <c r="ACR479" s="75"/>
      <c r="ACS479" s="75"/>
      <c r="ACT479" s="75"/>
      <c r="ACU479" s="75"/>
      <c r="ACV479" s="75"/>
      <c r="ACW479" s="75"/>
      <c r="ACX479" s="75"/>
      <c r="ACY479" s="75"/>
      <c r="ACZ479" s="75"/>
      <c r="ADA479" s="75"/>
      <c r="ADB479" s="75"/>
      <c r="ADC479" s="75"/>
      <c r="ADD479" s="75"/>
      <c r="ADE479" s="75"/>
      <c r="ADF479" s="75"/>
      <c r="ADG479" s="75"/>
      <c r="ADH479" s="75"/>
      <c r="ADI479" s="75"/>
      <c r="ADJ479" s="75"/>
      <c r="ADK479" s="75"/>
      <c r="ADL479" s="75"/>
      <c r="ADM479" s="75"/>
      <c r="ADN479" s="75"/>
      <c r="ADO479" s="75"/>
      <c r="ADP479" s="75"/>
      <c r="ADQ479" s="75"/>
      <c r="ADR479" s="75"/>
      <c r="ADS479" s="75"/>
      <c r="ADT479" s="75"/>
      <c r="ADU479" s="75"/>
      <c r="ADV479" s="75"/>
      <c r="ADW479" s="75"/>
      <c r="ADX479" s="75"/>
      <c r="ADY479" s="75"/>
      <c r="ADZ479" s="75"/>
      <c r="AEA479" s="75"/>
      <c r="AEB479" s="75"/>
      <c r="AEC479" s="75"/>
      <c r="AED479" s="75"/>
      <c r="AEE479" s="75"/>
      <c r="AEF479" s="75"/>
      <c r="AEG479" s="75"/>
      <c r="AEH479" s="75"/>
      <c r="AEI479" s="75"/>
      <c r="AEJ479" s="75"/>
      <c r="AEK479" s="75"/>
      <c r="AEL479" s="75"/>
      <c r="AEM479" s="75"/>
      <c r="AEN479" s="75"/>
      <c r="AEO479" s="75"/>
      <c r="AEP479" s="75"/>
      <c r="AEQ479" s="75"/>
      <c r="AER479" s="75"/>
      <c r="AES479" s="75"/>
      <c r="AET479" s="75"/>
      <c r="AEU479" s="75"/>
      <c r="AEV479" s="75"/>
      <c r="AEW479" s="75"/>
      <c r="AEX479" s="75"/>
      <c r="AEY479" s="75"/>
      <c r="AEZ479" s="75"/>
      <c r="AFA479" s="75"/>
      <c r="AFB479" s="75"/>
      <c r="AFC479" s="75"/>
      <c r="AFD479" s="75"/>
      <c r="AFE479" s="75"/>
      <c r="AFF479" s="75"/>
      <c r="AFG479" s="75"/>
      <c r="AFH479" s="75"/>
      <c r="AFI479" s="75"/>
      <c r="AFJ479" s="75"/>
      <c r="AFK479" s="75"/>
      <c r="AFL479" s="75"/>
      <c r="AFM479" s="75"/>
      <c r="AFN479" s="75"/>
      <c r="AFO479" s="75"/>
      <c r="AFP479" s="75"/>
      <c r="AFQ479" s="75"/>
      <c r="AFR479" s="75"/>
      <c r="AFS479" s="75"/>
      <c r="AFT479" s="75"/>
      <c r="AFU479" s="75"/>
      <c r="AFV479" s="75"/>
      <c r="AFW479" s="75"/>
      <c r="AFX479" s="75"/>
      <c r="AFY479" s="75"/>
      <c r="AFZ479" s="75"/>
      <c r="AGA479" s="75"/>
      <c r="AGB479" s="75"/>
      <c r="AGC479" s="75"/>
      <c r="AGD479" s="75"/>
      <c r="AGE479" s="75"/>
      <c r="AGF479" s="75"/>
      <c r="AGG479" s="75"/>
      <c r="AGH479" s="75"/>
      <c r="AGI479" s="75"/>
      <c r="AGJ479" s="75"/>
      <c r="AGK479" s="75"/>
      <c r="AGL479" s="75"/>
      <c r="AGM479" s="75"/>
      <c r="AGN479" s="75"/>
      <c r="AGO479" s="75"/>
      <c r="AGP479" s="75"/>
      <c r="AGQ479" s="75"/>
      <c r="AGR479" s="75"/>
      <c r="AGS479" s="75"/>
      <c r="AGT479" s="75"/>
      <c r="AGU479" s="75"/>
      <c r="AGV479" s="75"/>
      <c r="AGW479" s="75"/>
      <c r="AGX479" s="75"/>
      <c r="AGY479" s="75"/>
      <c r="AGZ479" s="75"/>
      <c r="AHA479" s="75"/>
      <c r="AHB479" s="75"/>
      <c r="AHC479" s="75"/>
      <c r="AHD479" s="75"/>
      <c r="AHE479" s="75"/>
      <c r="AHF479" s="75"/>
      <c r="AHG479" s="75"/>
      <c r="AHH479" s="75"/>
      <c r="AHI479" s="75"/>
      <c r="AHJ479" s="75"/>
      <c r="AHK479" s="75"/>
      <c r="AHL479" s="75"/>
      <c r="AHM479" s="75"/>
      <c r="AHN479" s="75"/>
      <c r="AHO479" s="75"/>
      <c r="AHP479" s="75"/>
      <c r="AHQ479" s="75"/>
      <c r="AHR479" s="75"/>
      <c r="AHS479" s="75"/>
      <c r="AHT479" s="75"/>
      <c r="AHU479" s="75"/>
      <c r="AHV479" s="75"/>
      <c r="AHW479" s="75"/>
      <c r="AHX479" s="75"/>
      <c r="AHY479" s="75"/>
      <c r="AHZ479" s="75"/>
      <c r="AIA479" s="75"/>
      <c r="AIB479" s="75"/>
      <c r="AIC479" s="75"/>
      <c r="AID479" s="75"/>
      <c r="AIE479" s="75"/>
      <c r="AIF479" s="75"/>
      <c r="AIG479" s="75"/>
      <c r="AIH479" s="75"/>
      <c r="AII479" s="75"/>
      <c r="AIJ479" s="75"/>
      <c r="AIK479" s="75"/>
      <c r="AIL479" s="75"/>
      <c r="AIM479" s="75"/>
      <c r="AIN479" s="75"/>
      <c r="AIO479" s="75"/>
      <c r="AIP479" s="75"/>
      <c r="AIQ479" s="75"/>
      <c r="AIR479" s="75"/>
      <c r="AIS479" s="75"/>
      <c r="AIT479" s="75"/>
      <c r="AIU479" s="75"/>
      <c r="AIV479" s="75"/>
      <c r="AIW479" s="75"/>
      <c r="AIX479" s="75"/>
      <c r="AIY479" s="75"/>
      <c r="AIZ479" s="75"/>
      <c r="AJA479" s="75"/>
      <c r="AJB479" s="75"/>
      <c r="AJC479" s="75"/>
      <c r="AJD479" s="75"/>
      <c r="AJE479" s="75"/>
      <c r="AJF479" s="75"/>
      <c r="AJG479" s="75"/>
      <c r="AJH479" s="75"/>
      <c r="AJI479" s="75"/>
      <c r="AJJ479" s="75"/>
      <c r="AJK479" s="75"/>
      <c r="AJL479" s="75"/>
      <c r="AJM479" s="75"/>
      <c r="AJN479" s="75"/>
      <c r="AJO479" s="75"/>
      <c r="AJP479" s="75"/>
      <c r="AJQ479" s="75"/>
      <c r="AJR479" s="75"/>
      <c r="AJS479" s="75"/>
      <c r="AJT479" s="75"/>
      <c r="AJU479" s="75"/>
      <c r="AJV479" s="75"/>
      <c r="AJW479" s="75"/>
      <c r="AJX479" s="75"/>
      <c r="AJY479" s="75"/>
      <c r="AJZ479" s="75"/>
      <c r="AKA479" s="75"/>
      <c r="AKB479" s="75"/>
      <c r="AKC479" s="75"/>
      <c r="AKD479" s="75"/>
      <c r="AKE479" s="75"/>
      <c r="AKF479" s="75"/>
      <c r="AKG479" s="75"/>
      <c r="AKH479" s="75"/>
      <c r="AKI479" s="75"/>
      <c r="AKJ479" s="75"/>
      <c r="AKK479" s="75"/>
      <c r="AKL479" s="75"/>
      <c r="AKM479" s="75"/>
      <c r="AKN479" s="75"/>
      <c r="AKO479" s="75"/>
      <c r="AKP479" s="75"/>
      <c r="AKQ479" s="75"/>
      <c r="AKR479" s="75"/>
      <c r="AKS479" s="75"/>
      <c r="AKT479" s="75"/>
      <c r="AKU479" s="75"/>
      <c r="AKV479" s="75"/>
      <c r="AKW479" s="75"/>
      <c r="AKX479" s="75"/>
      <c r="AKY479" s="75"/>
      <c r="AKZ479" s="75"/>
      <c r="ALA479" s="75"/>
      <c r="ALB479" s="75"/>
      <c r="ALC479" s="75"/>
      <c r="ALD479" s="75"/>
      <c r="ALE479" s="75"/>
      <c r="ALF479" s="75"/>
      <c r="ALG479" s="75"/>
      <c r="ALH479" s="75"/>
      <c r="ALI479" s="75"/>
      <c r="ALJ479" s="75"/>
      <c r="ALK479" s="75"/>
      <c r="ALL479" s="75"/>
      <c r="ALM479" s="75"/>
      <c r="ALN479" s="75"/>
      <c r="ALO479" s="75"/>
    </row>
    <row r="480" spans="1:1003" s="235" customFormat="1" ht="14.55" customHeight="1" outlineLevel="1" x14ac:dyDescent="0.25">
      <c r="A480" s="230" t="s">
        <v>1422</v>
      </c>
      <c r="B480" s="343" t="str">
        <f>"13.0299"</f>
        <v>13.0299</v>
      </c>
      <c r="C480" s="75" t="s">
        <v>2147</v>
      </c>
      <c r="D480" s="127" t="s">
        <v>2148</v>
      </c>
      <c r="E480" s="232"/>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c r="AY480" s="75"/>
      <c r="AZ480" s="75"/>
      <c r="BA480" s="75"/>
      <c r="BB480" s="75"/>
      <c r="BC480" s="75"/>
      <c r="BD480" s="75"/>
      <c r="BE480" s="75"/>
      <c r="BF480" s="75"/>
      <c r="BG480" s="75"/>
      <c r="BH480" s="75"/>
      <c r="BI480" s="75"/>
      <c r="BJ480" s="75"/>
      <c r="BK480" s="75"/>
      <c r="BL480" s="75"/>
      <c r="BM480" s="75"/>
      <c r="BN480" s="75"/>
      <c r="BO480" s="75"/>
      <c r="BP480" s="75"/>
      <c r="BQ480" s="75"/>
      <c r="BR480" s="75"/>
      <c r="BS480" s="75"/>
      <c r="BT480" s="75"/>
      <c r="BU480" s="75"/>
      <c r="BV480" s="75"/>
      <c r="BW480" s="75"/>
      <c r="BX480" s="75"/>
      <c r="BY480" s="75"/>
      <c r="BZ480" s="75"/>
      <c r="CA480" s="75"/>
      <c r="CB480" s="75"/>
      <c r="CC480" s="75"/>
      <c r="CD480" s="75"/>
      <c r="CE480" s="75"/>
      <c r="CF480" s="75"/>
      <c r="CG480" s="75"/>
      <c r="CH480" s="75"/>
      <c r="CI480" s="75"/>
      <c r="CJ480" s="75"/>
      <c r="CK480" s="75"/>
      <c r="CL480" s="75"/>
      <c r="CM480" s="75"/>
      <c r="CN480" s="75"/>
      <c r="CO480" s="75"/>
      <c r="CP480" s="75"/>
      <c r="CQ480" s="75"/>
      <c r="CR480" s="75"/>
      <c r="CS480" s="75"/>
      <c r="CT480" s="75"/>
      <c r="CU480" s="75"/>
      <c r="CV480" s="75"/>
      <c r="CW480" s="75"/>
      <c r="CX480" s="75"/>
      <c r="CY480" s="75"/>
      <c r="CZ480" s="75"/>
      <c r="DA480" s="75"/>
      <c r="DB480" s="75"/>
      <c r="DC480" s="75"/>
      <c r="DD480" s="75"/>
      <c r="DE480" s="75"/>
      <c r="DF480" s="75"/>
      <c r="DG480" s="75"/>
      <c r="DH480" s="75"/>
      <c r="DI480" s="75"/>
      <c r="DJ480" s="75"/>
      <c r="DK480" s="75"/>
      <c r="DL480" s="75"/>
      <c r="DM480" s="75"/>
      <c r="DN480" s="75"/>
      <c r="DO480" s="75"/>
      <c r="DP480" s="75"/>
      <c r="DQ480" s="75"/>
      <c r="DR480" s="75"/>
      <c r="DS480" s="75"/>
      <c r="DT480" s="75"/>
      <c r="DU480" s="75"/>
      <c r="DV480" s="75"/>
      <c r="DW480" s="75"/>
      <c r="DX480" s="75"/>
      <c r="DY480" s="75"/>
      <c r="DZ480" s="75"/>
      <c r="EA480" s="75"/>
      <c r="EB480" s="75"/>
      <c r="EC480" s="75"/>
      <c r="ED480" s="75"/>
      <c r="EE480" s="75"/>
      <c r="EF480" s="75"/>
      <c r="EG480" s="75"/>
      <c r="EH480" s="75"/>
      <c r="EI480" s="75"/>
      <c r="EJ480" s="75"/>
      <c r="EK480" s="75"/>
      <c r="EL480" s="75"/>
      <c r="EM480" s="75"/>
      <c r="EN480" s="75"/>
      <c r="EO480" s="75"/>
      <c r="EP480" s="75"/>
      <c r="EQ480" s="75"/>
      <c r="ER480" s="75"/>
      <c r="ES480" s="75"/>
      <c r="ET480" s="75"/>
      <c r="EU480" s="75"/>
      <c r="EV480" s="75"/>
      <c r="EW480" s="75"/>
      <c r="EX480" s="75"/>
      <c r="EY480" s="75"/>
      <c r="EZ480" s="75"/>
      <c r="FA480" s="75"/>
      <c r="FB480" s="75"/>
      <c r="FC480" s="75"/>
      <c r="FD480" s="75"/>
      <c r="FE480" s="75"/>
      <c r="FF480" s="75"/>
      <c r="FG480" s="75"/>
      <c r="FH480" s="75"/>
      <c r="FI480" s="75"/>
      <c r="FJ480" s="75"/>
      <c r="FK480" s="75"/>
      <c r="FL480" s="75"/>
      <c r="FM480" s="75"/>
      <c r="FN480" s="75"/>
      <c r="FO480" s="75"/>
      <c r="FP480" s="75"/>
      <c r="FQ480" s="75"/>
      <c r="FR480" s="75"/>
      <c r="FS480" s="75"/>
      <c r="FT480" s="75"/>
      <c r="FU480" s="75"/>
      <c r="FV480" s="75"/>
      <c r="FW480" s="75"/>
      <c r="FX480" s="75"/>
      <c r="FY480" s="75"/>
      <c r="FZ480" s="75"/>
      <c r="GA480" s="75"/>
      <c r="GB480" s="75"/>
      <c r="GC480" s="75"/>
      <c r="GD480" s="75"/>
      <c r="GE480" s="75"/>
      <c r="GF480" s="75"/>
      <c r="GG480" s="75"/>
      <c r="GH480" s="75"/>
      <c r="GI480" s="75"/>
      <c r="GJ480" s="75"/>
      <c r="GK480" s="75"/>
      <c r="GL480" s="75"/>
      <c r="GM480" s="75"/>
      <c r="GN480" s="75"/>
      <c r="GO480" s="75"/>
      <c r="GP480" s="75"/>
      <c r="GQ480" s="75"/>
      <c r="GR480" s="75"/>
      <c r="GS480" s="75"/>
      <c r="GT480" s="75"/>
      <c r="GU480" s="75"/>
      <c r="GV480" s="75"/>
      <c r="GW480" s="75"/>
      <c r="GX480" s="75"/>
      <c r="GY480" s="75"/>
      <c r="GZ480" s="75"/>
      <c r="HA480" s="75"/>
      <c r="HB480" s="75"/>
      <c r="HC480" s="75"/>
      <c r="HD480" s="75"/>
      <c r="HE480" s="75"/>
      <c r="HF480" s="75"/>
      <c r="HG480" s="75"/>
      <c r="HH480" s="75"/>
      <c r="HI480" s="75"/>
      <c r="HJ480" s="75"/>
      <c r="HK480" s="75"/>
      <c r="HL480" s="75"/>
      <c r="HM480" s="75"/>
      <c r="HN480" s="75"/>
      <c r="HO480" s="75"/>
      <c r="HP480" s="75"/>
      <c r="HQ480" s="75"/>
      <c r="HR480" s="75"/>
      <c r="HS480" s="75"/>
      <c r="HT480" s="75"/>
      <c r="HU480" s="75"/>
      <c r="HV480" s="75"/>
      <c r="HW480" s="75"/>
      <c r="HX480" s="75"/>
      <c r="HY480" s="75"/>
      <c r="HZ480" s="75"/>
      <c r="IA480" s="75"/>
      <c r="IB480" s="75"/>
      <c r="IC480" s="75"/>
      <c r="ID480" s="75"/>
      <c r="IE480" s="75"/>
      <c r="IF480" s="75"/>
      <c r="IG480" s="75"/>
      <c r="IH480" s="75"/>
      <c r="II480" s="75"/>
      <c r="IJ480" s="75"/>
      <c r="IK480" s="75"/>
      <c r="IL480" s="75"/>
      <c r="IM480" s="75"/>
      <c r="IN480" s="75"/>
      <c r="IO480" s="75"/>
      <c r="IP480" s="75"/>
      <c r="IQ480" s="75"/>
      <c r="IR480" s="75"/>
      <c r="IS480" s="75"/>
      <c r="IT480" s="75"/>
      <c r="IU480" s="75"/>
      <c r="IV480" s="75"/>
      <c r="IW480" s="75"/>
      <c r="IX480" s="75"/>
      <c r="IY480" s="75"/>
      <c r="IZ480" s="75"/>
      <c r="JA480" s="75"/>
      <c r="JB480" s="75"/>
      <c r="JC480" s="75"/>
      <c r="JD480" s="75"/>
      <c r="JE480" s="75"/>
      <c r="JF480" s="75"/>
      <c r="JG480" s="75"/>
      <c r="JH480" s="75"/>
      <c r="JI480" s="75"/>
      <c r="JJ480" s="75"/>
      <c r="JK480" s="75"/>
      <c r="JL480" s="75"/>
      <c r="JM480" s="75"/>
      <c r="JN480" s="75"/>
      <c r="JO480" s="75"/>
      <c r="JP480" s="75"/>
      <c r="JQ480" s="75"/>
      <c r="JR480" s="75"/>
      <c r="JS480" s="75"/>
      <c r="JT480" s="75"/>
      <c r="JU480" s="75"/>
      <c r="JV480" s="75"/>
      <c r="JW480" s="75"/>
      <c r="JX480" s="75"/>
      <c r="JY480" s="75"/>
      <c r="JZ480" s="75"/>
      <c r="KA480" s="75"/>
      <c r="KB480" s="75"/>
      <c r="KC480" s="75"/>
      <c r="KD480" s="75"/>
      <c r="KE480" s="75"/>
      <c r="KF480" s="75"/>
      <c r="KG480" s="75"/>
      <c r="KH480" s="75"/>
      <c r="KI480" s="75"/>
      <c r="KJ480" s="75"/>
      <c r="KK480" s="75"/>
      <c r="KL480" s="75"/>
      <c r="KM480" s="75"/>
      <c r="KN480" s="75"/>
      <c r="KO480" s="75"/>
      <c r="KP480" s="75"/>
      <c r="KQ480" s="75"/>
      <c r="KR480" s="75"/>
      <c r="KS480" s="75"/>
      <c r="KT480" s="75"/>
      <c r="KU480" s="75"/>
      <c r="KV480" s="75"/>
      <c r="KW480" s="75"/>
      <c r="KX480" s="75"/>
      <c r="KY480" s="75"/>
      <c r="KZ480" s="75"/>
      <c r="LA480" s="75"/>
      <c r="LB480" s="75"/>
      <c r="LC480" s="75"/>
      <c r="LD480" s="75"/>
      <c r="LE480" s="75"/>
      <c r="LF480" s="75"/>
      <c r="LG480" s="75"/>
      <c r="LH480" s="75"/>
      <c r="LI480" s="75"/>
      <c r="LJ480" s="75"/>
      <c r="LK480" s="75"/>
      <c r="LL480" s="75"/>
      <c r="LM480" s="75"/>
      <c r="LN480" s="75"/>
      <c r="LO480" s="75"/>
      <c r="LP480" s="75"/>
      <c r="LQ480" s="75"/>
      <c r="LR480" s="75"/>
      <c r="LS480" s="75"/>
      <c r="LT480" s="75"/>
      <c r="LU480" s="75"/>
      <c r="LV480" s="75"/>
      <c r="LW480" s="75"/>
      <c r="LX480" s="75"/>
      <c r="LY480" s="75"/>
      <c r="LZ480" s="75"/>
      <c r="MA480" s="75"/>
      <c r="MB480" s="75"/>
      <c r="MC480" s="75"/>
      <c r="MD480" s="75"/>
      <c r="ME480" s="75"/>
      <c r="MF480" s="75"/>
      <c r="MG480" s="75"/>
      <c r="MH480" s="75"/>
      <c r="MI480" s="75"/>
      <c r="MJ480" s="75"/>
      <c r="MK480" s="75"/>
      <c r="ML480" s="75"/>
      <c r="MM480" s="75"/>
      <c r="MN480" s="75"/>
      <c r="MO480" s="75"/>
      <c r="MP480" s="75"/>
      <c r="MQ480" s="75"/>
      <c r="MR480" s="75"/>
      <c r="MS480" s="75"/>
      <c r="MT480" s="75"/>
      <c r="MU480" s="75"/>
      <c r="MV480" s="75"/>
      <c r="MW480" s="75"/>
      <c r="MX480" s="75"/>
      <c r="MY480" s="75"/>
      <c r="MZ480" s="75"/>
      <c r="NA480" s="75"/>
      <c r="NB480" s="75"/>
      <c r="NC480" s="75"/>
      <c r="ND480" s="75"/>
      <c r="NE480" s="75"/>
      <c r="NF480" s="75"/>
      <c r="NG480" s="75"/>
      <c r="NH480" s="75"/>
      <c r="NI480" s="75"/>
      <c r="NJ480" s="75"/>
      <c r="NK480" s="75"/>
      <c r="NL480" s="75"/>
      <c r="NM480" s="75"/>
      <c r="NN480" s="75"/>
      <c r="NO480" s="75"/>
      <c r="NP480" s="75"/>
      <c r="NQ480" s="75"/>
      <c r="NR480" s="75"/>
      <c r="NS480" s="75"/>
      <c r="NT480" s="75"/>
      <c r="NU480" s="75"/>
      <c r="NV480" s="75"/>
      <c r="NW480" s="75"/>
      <c r="NX480" s="75"/>
      <c r="NY480" s="75"/>
      <c r="NZ480" s="75"/>
      <c r="OA480" s="75"/>
      <c r="OB480" s="75"/>
      <c r="OC480" s="75"/>
      <c r="OD480" s="75"/>
      <c r="OE480" s="75"/>
      <c r="OF480" s="75"/>
      <c r="OG480" s="75"/>
      <c r="OH480" s="75"/>
      <c r="OI480" s="75"/>
      <c r="OJ480" s="75"/>
      <c r="OK480" s="75"/>
      <c r="OL480" s="75"/>
      <c r="OM480" s="75"/>
      <c r="ON480" s="75"/>
      <c r="OO480" s="75"/>
      <c r="OP480" s="75"/>
      <c r="OQ480" s="75"/>
      <c r="OR480" s="75"/>
      <c r="OS480" s="75"/>
      <c r="OT480" s="75"/>
      <c r="OU480" s="75"/>
      <c r="OV480" s="75"/>
      <c r="OW480" s="75"/>
      <c r="OX480" s="75"/>
      <c r="OY480" s="75"/>
      <c r="OZ480" s="75"/>
      <c r="PA480" s="75"/>
      <c r="PB480" s="75"/>
      <c r="PC480" s="75"/>
      <c r="PD480" s="75"/>
      <c r="PE480" s="75"/>
      <c r="PF480" s="75"/>
      <c r="PG480" s="75"/>
      <c r="PH480" s="75"/>
      <c r="PI480" s="75"/>
      <c r="PJ480" s="75"/>
      <c r="PK480" s="75"/>
      <c r="PL480" s="75"/>
      <c r="PM480" s="75"/>
      <c r="PN480" s="75"/>
      <c r="PO480" s="75"/>
      <c r="PP480" s="75"/>
      <c r="PQ480" s="75"/>
      <c r="PR480" s="75"/>
      <c r="PS480" s="75"/>
      <c r="PT480" s="75"/>
      <c r="PU480" s="75"/>
      <c r="PV480" s="75"/>
      <c r="PW480" s="75"/>
      <c r="PX480" s="75"/>
      <c r="PY480" s="75"/>
      <c r="PZ480" s="75"/>
      <c r="QA480" s="75"/>
      <c r="QB480" s="75"/>
      <c r="QC480" s="75"/>
      <c r="QD480" s="75"/>
      <c r="QE480" s="75"/>
      <c r="QF480" s="75"/>
      <c r="QG480" s="75"/>
      <c r="QH480" s="75"/>
      <c r="QI480" s="75"/>
      <c r="QJ480" s="75"/>
      <c r="QK480" s="75"/>
      <c r="QL480" s="75"/>
      <c r="QM480" s="75"/>
      <c r="QN480" s="75"/>
      <c r="QO480" s="75"/>
      <c r="QP480" s="75"/>
      <c r="QQ480" s="75"/>
      <c r="QR480" s="75"/>
      <c r="QS480" s="75"/>
      <c r="QT480" s="75"/>
      <c r="QU480" s="75"/>
      <c r="QV480" s="75"/>
      <c r="QW480" s="75"/>
      <c r="QX480" s="75"/>
      <c r="QY480" s="75"/>
      <c r="QZ480" s="75"/>
      <c r="RA480" s="75"/>
      <c r="RB480" s="75"/>
      <c r="RC480" s="75"/>
      <c r="RD480" s="75"/>
      <c r="RE480" s="75"/>
      <c r="RF480" s="75"/>
      <c r="RG480" s="75"/>
      <c r="RH480" s="75"/>
      <c r="RI480" s="75"/>
      <c r="RJ480" s="75"/>
      <c r="RK480" s="75"/>
      <c r="RL480" s="75"/>
      <c r="RM480" s="75"/>
      <c r="RN480" s="75"/>
      <c r="RO480" s="75"/>
      <c r="RP480" s="75"/>
      <c r="RQ480" s="75"/>
      <c r="RR480" s="75"/>
      <c r="RS480" s="75"/>
      <c r="RT480" s="75"/>
      <c r="RU480" s="75"/>
      <c r="RV480" s="75"/>
      <c r="RW480" s="75"/>
      <c r="RX480" s="75"/>
      <c r="RY480" s="75"/>
      <c r="RZ480" s="75"/>
      <c r="SA480" s="75"/>
      <c r="SB480" s="75"/>
      <c r="SC480" s="75"/>
      <c r="SD480" s="75"/>
      <c r="SE480" s="75"/>
      <c r="SF480" s="75"/>
      <c r="SG480" s="75"/>
      <c r="SH480" s="75"/>
      <c r="SI480" s="75"/>
      <c r="SJ480" s="75"/>
      <c r="SK480" s="75"/>
      <c r="SL480" s="75"/>
      <c r="SM480" s="75"/>
      <c r="SN480" s="75"/>
      <c r="SO480" s="75"/>
      <c r="SP480" s="75"/>
      <c r="SQ480" s="75"/>
      <c r="SR480" s="75"/>
      <c r="SS480" s="75"/>
      <c r="ST480" s="75"/>
      <c r="SU480" s="75"/>
      <c r="SV480" s="75"/>
      <c r="SW480" s="75"/>
      <c r="SX480" s="75"/>
      <c r="SY480" s="75"/>
      <c r="SZ480" s="75"/>
      <c r="TA480" s="75"/>
      <c r="TB480" s="75"/>
      <c r="TC480" s="75"/>
      <c r="TD480" s="75"/>
      <c r="TE480" s="75"/>
      <c r="TF480" s="75"/>
      <c r="TG480" s="75"/>
      <c r="TH480" s="75"/>
      <c r="TI480" s="75"/>
      <c r="TJ480" s="75"/>
      <c r="TK480" s="75"/>
      <c r="TL480" s="75"/>
      <c r="TM480" s="75"/>
      <c r="TN480" s="75"/>
      <c r="TO480" s="75"/>
      <c r="TP480" s="75"/>
      <c r="TQ480" s="75"/>
      <c r="TR480" s="75"/>
      <c r="TS480" s="75"/>
      <c r="TT480" s="75"/>
      <c r="TU480" s="75"/>
      <c r="TV480" s="75"/>
      <c r="TW480" s="75"/>
      <c r="TX480" s="75"/>
      <c r="TY480" s="75"/>
      <c r="TZ480" s="75"/>
      <c r="UA480" s="75"/>
      <c r="UB480" s="75"/>
      <c r="UC480" s="75"/>
      <c r="UD480" s="75"/>
      <c r="UE480" s="75"/>
      <c r="UF480" s="75"/>
      <c r="UG480" s="75"/>
      <c r="UH480" s="75"/>
      <c r="UI480" s="75"/>
      <c r="UJ480" s="75"/>
      <c r="UK480" s="75"/>
      <c r="UL480" s="75"/>
      <c r="UM480" s="75"/>
      <c r="UN480" s="75"/>
      <c r="UO480" s="75"/>
      <c r="UP480" s="75"/>
      <c r="UQ480" s="75"/>
      <c r="UR480" s="75"/>
      <c r="US480" s="75"/>
      <c r="UT480" s="75"/>
      <c r="UU480" s="75"/>
      <c r="UV480" s="75"/>
      <c r="UW480" s="75"/>
      <c r="UX480" s="75"/>
      <c r="UY480" s="75"/>
      <c r="UZ480" s="75"/>
      <c r="VA480" s="75"/>
      <c r="VB480" s="75"/>
      <c r="VC480" s="75"/>
      <c r="VD480" s="75"/>
      <c r="VE480" s="75"/>
      <c r="VF480" s="75"/>
      <c r="VG480" s="75"/>
      <c r="VH480" s="75"/>
      <c r="VI480" s="75"/>
      <c r="VJ480" s="75"/>
      <c r="VK480" s="75"/>
      <c r="VL480" s="75"/>
      <c r="VM480" s="75"/>
      <c r="VN480" s="75"/>
      <c r="VO480" s="75"/>
      <c r="VP480" s="75"/>
      <c r="VQ480" s="75"/>
      <c r="VR480" s="75"/>
      <c r="VS480" s="75"/>
      <c r="VT480" s="75"/>
      <c r="VU480" s="75"/>
      <c r="VV480" s="75"/>
      <c r="VW480" s="75"/>
      <c r="VX480" s="75"/>
      <c r="VY480" s="75"/>
      <c r="VZ480" s="75"/>
      <c r="WA480" s="75"/>
      <c r="WB480" s="75"/>
      <c r="WC480" s="75"/>
      <c r="WD480" s="75"/>
      <c r="WE480" s="75"/>
      <c r="WF480" s="75"/>
      <c r="WG480" s="75"/>
      <c r="WH480" s="75"/>
      <c r="WI480" s="75"/>
      <c r="WJ480" s="75"/>
      <c r="WK480" s="75"/>
      <c r="WL480" s="75"/>
      <c r="WM480" s="75"/>
      <c r="WN480" s="75"/>
      <c r="WO480" s="75"/>
      <c r="WP480" s="75"/>
      <c r="WQ480" s="75"/>
      <c r="WR480" s="75"/>
      <c r="WS480" s="75"/>
      <c r="WT480" s="75"/>
      <c r="WU480" s="75"/>
      <c r="WV480" s="75"/>
      <c r="WW480" s="75"/>
      <c r="WX480" s="75"/>
      <c r="WY480" s="75"/>
      <c r="WZ480" s="75"/>
      <c r="XA480" s="75"/>
      <c r="XB480" s="75"/>
      <c r="XC480" s="75"/>
      <c r="XD480" s="75"/>
      <c r="XE480" s="75"/>
      <c r="XF480" s="75"/>
      <c r="XG480" s="75"/>
      <c r="XH480" s="75"/>
      <c r="XI480" s="75"/>
      <c r="XJ480" s="75"/>
      <c r="XK480" s="75"/>
      <c r="XL480" s="75"/>
      <c r="XM480" s="75"/>
      <c r="XN480" s="75"/>
      <c r="XO480" s="75"/>
      <c r="XP480" s="75"/>
      <c r="XQ480" s="75"/>
      <c r="XR480" s="75"/>
      <c r="XS480" s="75"/>
      <c r="XT480" s="75"/>
      <c r="XU480" s="75"/>
      <c r="XV480" s="75"/>
      <c r="XW480" s="75"/>
      <c r="XX480" s="75"/>
      <c r="XY480" s="75"/>
      <c r="XZ480" s="75"/>
      <c r="YA480" s="75"/>
      <c r="YB480" s="75"/>
      <c r="YC480" s="75"/>
      <c r="YD480" s="75"/>
      <c r="YE480" s="75"/>
      <c r="YF480" s="75"/>
      <c r="YG480" s="75"/>
      <c r="YH480" s="75"/>
      <c r="YI480" s="75"/>
      <c r="YJ480" s="75"/>
      <c r="YK480" s="75"/>
      <c r="YL480" s="75"/>
      <c r="YM480" s="75"/>
      <c r="YN480" s="75"/>
      <c r="YO480" s="75"/>
      <c r="YP480" s="75"/>
      <c r="YQ480" s="75"/>
      <c r="YR480" s="75"/>
      <c r="YS480" s="75"/>
      <c r="YT480" s="75"/>
      <c r="YU480" s="75"/>
      <c r="YV480" s="75"/>
      <c r="YW480" s="75"/>
      <c r="YX480" s="75"/>
      <c r="YY480" s="75"/>
      <c r="YZ480" s="75"/>
      <c r="ZA480" s="75"/>
      <c r="ZB480" s="75"/>
      <c r="ZC480" s="75"/>
      <c r="ZD480" s="75"/>
      <c r="ZE480" s="75"/>
      <c r="ZF480" s="75"/>
      <c r="ZG480" s="75"/>
      <c r="ZH480" s="75"/>
      <c r="ZI480" s="75"/>
      <c r="ZJ480" s="75"/>
      <c r="ZK480" s="75"/>
      <c r="ZL480" s="75"/>
      <c r="ZM480" s="75"/>
      <c r="ZN480" s="75"/>
      <c r="ZO480" s="75"/>
      <c r="ZP480" s="75"/>
      <c r="ZQ480" s="75"/>
      <c r="ZR480" s="75"/>
      <c r="ZS480" s="75"/>
      <c r="ZT480" s="75"/>
      <c r="ZU480" s="75"/>
      <c r="ZV480" s="75"/>
      <c r="ZW480" s="75"/>
      <c r="ZX480" s="75"/>
      <c r="ZY480" s="75"/>
      <c r="ZZ480" s="75"/>
      <c r="AAA480" s="75"/>
      <c r="AAB480" s="75"/>
      <c r="AAC480" s="75"/>
      <c r="AAD480" s="75"/>
      <c r="AAE480" s="75"/>
      <c r="AAF480" s="75"/>
      <c r="AAG480" s="75"/>
      <c r="AAH480" s="75"/>
      <c r="AAI480" s="75"/>
      <c r="AAJ480" s="75"/>
      <c r="AAK480" s="75"/>
      <c r="AAL480" s="75"/>
      <c r="AAM480" s="75"/>
      <c r="AAN480" s="75"/>
      <c r="AAO480" s="75"/>
      <c r="AAP480" s="75"/>
      <c r="AAQ480" s="75"/>
      <c r="AAR480" s="75"/>
      <c r="AAS480" s="75"/>
      <c r="AAT480" s="75"/>
      <c r="AAU480" s="75"/>
      <c r="AAV480" s="75"/>
      <c r="AAW480" s="75"/>
      <c r="AAX480" s="75"/>
      <c r="AAY480" s="75"/>
      <c r="AAZ480" s="75"/>
      <c r="ABA480" s="75"/>
      <c r="ABB480" s="75"/>
      <c r="ABC480" s="75"/>
      <c r="ABD480" s="75"/>
      <c r="ABE480" s="75"/>
      <c r="ABF480" s="75"/>
      <c r="ABG480" s="75"/>
      <c r="ABH480" s="75"/>
      <c r="ABI480" s="75"/>
      <c r="ABJ480" s="75"/>
      <c r="ABK480" s="75"/>
      <c r="ABL480" s="75"/>
      <c r="ABM480" s="75"/>
      <c r="ABN480" s="75"/>
      <c r="ABO480" s="75"/>
      <c r="ABP480" s="75"/>
      <c r="ABQ480" s="75"/>
      <c r="ABR480" s="75"/>
      <c r="ABS480" s="75"/>
      <c r="ABT480" s="75"/>
      <c r="ABU480" s="75"/>
      <c r="ABV480" s="75"/>
      <c r="ABW480" s="75"/>
      <c r="ABX480" s="75"/>
      <c r="ABY480" s="75"/>
      <c r="ABZ480" s="75"/>
      <c r="ACA480" s="75"/>
      <c r="ACB480" s="75"/>
      <c r="ACC480" s="75"/>
      <c r="ACD480" s="75"/>
      <c r="ACE480" s="75"/>
      <c r="ACF480" s="75"/>
      <c r="ACG480" s="75"/>
      <c r="ACH480" s="75"/>
      <c r="ACI480" s="75"/>
      <c r="ACJ480" s="75"/>
      <c r="ACK480" s="75"/>
      <c r="ACL480" s="75"/>
      <c r="ACM480" s="75"/>
      <c r="ACN480" s="75"/>
      <c r="ACO480" s="75"/>
      <c r="ACP480" s="75"/>
      <c r="ACQ480" s="75"/>
      <c r="ACR480" s="75"/>
      <c r="ACS480" s="75"/>
      <c r="ACT480" s="75"/>
      <c r="ACU480" s="75"/>
      <c r="ACV480" s="75"/>
      <c r="ACW480" s="75"/>
      <c r="ACX480" s="75"/>
      <c r="ACY480" s="75"/>
      <c r="ACZ480" s="75"/>
      <c r="ADA480" s="75"/>
      <c r="ADB480" s="75"/>
      <c r="ADC480" s="75"/>
      <c r="ADD480" s="75"/>
      <c r="ADE480" s="75"/>
      <c r="ADF480" s="75"/>
      <c r="ADG480" s="75"/>
      <c r="ADH480" s="75"/>
      <c r="ADI480" s="75"/>
      <c r="ADJ480" s="75"/>
      <c r="ADK480" s="75"/>
      <c r="ADL480" s="75"/>
      <c r="ADM480" s="75"/>
      <c r="ADN480" s="75"/>
      <c r="ADO480" s="75"/>
      <c r="ADP480" s="75"/>
      <c r="ADQ480" s="75"/>
      <c r="ADR480" s="75"/>
      <c r="ADS480" s="75"/>
      <c r="ADT480" s="75"/>
      <c r="ADU480" s="75"/>
      <c r="ADV480" s="75"/>
      <c r="ADW480" s="75"/>
      <c r="ADX480" s="75"/>
      <c r="ADY480" s="75"/>
      <c r="ADZ480" s="75"/>
      <c r="AEA480" s="75"/>
      <c r="AEB480" s="75"/>
      <c r="AEC480" s="75"/>
      <c r="AED480" s="75"/>
      <c r="AEE480" s="75"/>
      <c r="AEF480" s="75"/>
      <c r="AEG480" s="75"/>
      <c r="AEH480" s="75"/>
      <c r="AEI480" s="75"/>
      <c r="AEJ480" s="75"/>
      <c r="AEK480" s="75"/>
      <c r="AEL480" s="75"/>
      <c r="AEM480" s="75"/>
      <c r="AEN480" s="75"/>
      <c r="AEO480" s="75"/>
      <c r="AEP480" s="75"/>
      <c r="AEQ480" s="75"/>
      <c r="AER480" s="75"/>
      <c r="AES480" s="75"/>
      <c r="AET480" s="75"/>
      <c r="AEU480" s="75"/>
      <c r="AEV480" s="75"/>
      <c r="AEW480" s="75"/>
      <c r="AEX480" s="75"/>
      <c r="AEY480" s="75"/>
      <c r="AEZ480" s="75"/>
      <c r="AFA480" s="75"/>
      <c r="AFB480" s="75"/>
      <c r="AFC480" s="75"/>
      <c r="AFD480" s="75"/>
      <c r="AFE480" s="75"/>
      <c r="AFF480" s="75"/>
      <c r="AFG480" s="75"/>
      <c r="AFH480" s="75"/>
      <c r="AFI480" s="75"/>
      <c r="AFJ480" s="75"/>
      <c r="AFK480" s="75"/>
      <c r="AFL480" s="75"/>
      <c r="AFM480" s="75"/>
      <c r="AFN480" s="75"/>
      <c r="AFO480" s="75"/>
      <c r="AFP480" s="75"/>
      <c r="AFQ480" s="75"/>
      <c r="AFR480" s="75"/>
      <c r="AFS480" s="75"/>
      <c r="AFT480" s="75"/>
      <c r="AFU480" s="75"/>
      <c r="AFV480" s="75"/>
      <c r="AFW480" s="75"/>
      <c r="AFX480" s="75"/>
      <c r="AFY480" s="75"/>
      <c r="AFZ480" s="75"/>
      <c r="AGA480" s="75"/>
      <c r="AGB480" s="75"/>
      <c r="AGC480" s="75"/>
      <c r="AGD480" s="75"/>
      <c r="AGE480" s="75"/>
      <c r="AGF480" s="75"/>
      <c r="AGG480" s="75"/>
      <c r="AGH480" s="75"/>
      <c r="AGI480" s="75"/>
      <c r="AGJ480" s="75"/>
      <c r="AGK480" s="75"/>
      <c r="AGL480" s="75"/>
      <c r="AGM480" s="75"/>
      <c r="AGN480" s="75"/>
      <c r="AGO480" s="75"/>
      <c r="AGP480" s="75"/>
      <c r="AGQ480" s="75"/>
      <c r="AGR480" s="75"/>
      <c r="AGS480" s="75"/>
      <c r="AGT480" s="75"/>
      <c r="AGU480" s="75"/>
      <c r="AGV480" s="75"/>
      <c r="AGW480" s="75"/>
      <c r="AGX480" s="75"/>
      <c r="AGY480" s="75"/>
      <c r="AGZ480" s="75"/>
      <c r="AHA480" s="75"/>
      <c r="AHB480" s="75"/>
      <c r="AHC480" s="75"/>
      <c r="AHD480" s="75"/>
      <c r="AHE480" s="75"/>
      <c r="AHF480" s="75"/>
      <c r="AHG480" s="75"/>
      <c r="AHH480" s="75"/>
      <c r="AHI480" s="75"/>
      <c r="AHJ480" s="75"/>
      <c r="AHK480" s="75"/>
      <c r="AHL480" s="75"/>
      <c r="AHM480" s="75"/>
      <c r="AHN480" s="75"/>
      <c r="AHO480" s="75"/>
      <c r="AHP480" s="75"/>
      <c r="AHQ480" s="75"/>
      <c r="AHR480" s="75"/>
      <c r="AHS480" s="75"/>
      <c r="AHT480" s="75"/>
      <c r="AHU480" s="75"/>
      <c r="AHV480" s="75"/>
      <c r="AHW480" s="75"/>
      <c r="AHX480" s="75"/>
      <c r="AHY480" s="75"/>
      <c r="AHZ480" s="75"/>
      <c r="AIA480" s="75"/>
      <c r="AIB480" s="75"/>
      <c r="AIC480" s="75"/>
      <c r="AID480" s="75"/>
      <c r="AIE480" s="75"/>
      <c r="AIF480" s="75"/>
      <c r="AIG480" s="75"/>
      <c r="AIH480" s="75"/>
      <c r="AII480" s="75"/>
      <c r="AIJ480" s="75"/>
      <c r="AIK480" s="75"/>
      <c r="AIL480" s="75"/>
      <c r="AIM480" s="75"/>
      <c r="AIN480" s="75"/>
      <c r="AIO480" s="75"/>
      <c r="AIP480" s="75"/>
      <c r="AIQ480" s="75"/>
      <c r="AIR480" s="75"/>
      <c r="AIS480" s="75"/>
      <c r="AIT480" s="75"/>
      <c r="AIU480" s="75"/>
      <c r="AIV480" s="75"/>
      <c r="AIW480" s="75"/>
      <c r="AIX480" s="75"/>
      <c r="AIY480" s="75"/>
      <c r="AIZ480" s="75"/>
      <c r="AJA480" s="75"/>
      <c r="AJB480" s="75"/>
      <c r="AJC480" s="75"/>
      <c r="AJD480" s="75"/>
      <c r="AJE480" s="75"/>
      <c r="AJF480" s="75"/>
      <c r="AJG480" s="75"/>
      <c r="AJH480" s="75"/>
      <c r="AJI480" s="75"/>
      <c r="AJJ480" s="75"/>
      <c r="AJK480" s="75"/>
      <c r="AJL480" s="75"/>
      <c r="AJM480" s="75"/>
      <c r="AJN480" s="75"/>
      <c r="AJO480" s="75"/>
      <c r="AJP480" s="75"/>
      <c r="AJQ480" s="75"/>
      <c r="AJR480" s="75"/>
      <c r="AJS480" s="75"/>
      <c r="AJT480" s="75"/>
      <c r="AJU480" s="75"/>
      <c r="AJV480" s="75"/>
      <c r="AJW480" s="75"/>
      <c r="AJX480" s="75"/>
      <c r="AJY480" s="75"/>
      <c r="AJZ480" s="75"/>
      <c r="AKA480" s="75"/>
      <c r="AKB480" s="75"/>
      <c r="AKC480" s="75"/>
      <c r="AKD480" s="75"/>
      <c r="AKE480" s="75"/>
      <c r="AKF480" s="75"/>
      <c r="AKG480" s="75"/>
      <c r="AKH480" s="75"/>
      <c r="AKI480" s="75"/>
      <c r="AKJ480" s="75"/>
      <c r="AKK480" s="75"/>
      <c r="AKL480" s="75"/>
      <c r="AKM480" s="75"/>
      <c r="AKN480" s="75"/>
      <c r="AKO480" s="75"/>
      <c r="AKP480" s="75"/>
      <c r="AKQ480" s="75"/>
      <c r="AKR480" s="75"/>
      <c r="AKS480" s="75"/>
      <c r="AKT480" s="75"/>
      <c r="AKU480" s="75"/>
      <c r="AKV480" s="75"/>
      <c r="AKW480" s="75"/>
      <c r="AKX480" s="75"/>
      <c r="AKY480" s="75"/>
      <c r="AKZ480" s="75"/>
      <c r="ALA480" s="75"/>
      <c r="ALB480" s="75"/>
      <c r="ALC480" s="75"/>
      <c r="ALD480" s="75"/>
      <c r="ALE480" s="75"/>
      <c r="ALF480" s="75"/>
      <c r="ALG480" s="75"/>
      <c r="ALH480" s="75"/>
      <c r="ALI480" s="75"/>
      <c r="ALJ480" s="75"/>
      <c r="ALK480" s="75"/>
      <c r="ALL480" s="75"/>
      <c r="ALM480" s="75"/>
      <c r="ALN480" s="75"/>
      <c r="ALO480" s="75"/>
    </row>
    <row r="481" spans="1:1003" s="235" customFormat="1" ht="14.55" customHeight="1" outlineLevel="1" x14ac:dyDescent="0.25">
      <c r="A481" s="230" t="s">
        <v>1422</v>
      </c>
      <c r="B481" s="343" t="str">
        <f>"13.03"</f>
        <v>13.03</v>
      </c>
      <c r="C481" s="75" t="s">
        <v>2149</v>
      </c>
      <c r="D481" s="127" t="s">
        <v>2150</v>
      </c>
      <c r="E481" s="232"/>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c r="AY481" s="75"/>
      <c r="AZ481" s="75"/>
      <c r="BA481" s="75"/>
      <c r="BB481" s="75"/>
      <c r="BC481" s="75"/>
      <c r="BD481" s="75"/>
      <c r="BE481" s="75"/>
      <c r="BF481" s="75"/>
      <c r="BG481" s="75"/>
      <c r="BH481" s="75"/>
      <c r="BI481" s="75"/>
      <c r="BJ481" s="75"/>
      <c r="BK481" s="75"/>
      <c r="BL481" s="75"/>
      <c r="BM481" s="75"/>
      <c r="BN481" s="75"/>
      <c r="BO481" s="75"/>
      <c r="BP481" s="75"/>
      <c r="BQ481" s="75"/>
      <c r="BR481" s="75"/>
      <c r="BS481" s="75"/>
      <c r="BT481" s="75"/>
      <c r="BU481" s="75"/>
      <c r="BV481" s="75"/>
      <c r="BW481" s="75"/>
      <c r="BX481" s="75"/>
      <c r="BY481" s="75"/>
      <c r="BZ481" s="75"/>
      <c r="CA481" s="75"/>
      <c r="CB481" s="75"/>
      <c r="CC481" s="75"/>
      <c r="CD481" s="75"/>
      <c r="CE481" s="75"/>
      <c r="CF481" s="75"/>
      <c r="CG481" s="75"/>
      <c r="CH481" s="75"/>
      <c r="CI481" s="75"/>
      <c r="CJ481" s="75"/>
      <c r="CK481" s="75"/>
      <c r="CL481" s="75"/>
      <c r="CM481" s="75"/>
      <c r="CN481" s="75"/>
      <c r="CO481" s="75"/>
      <c r="CP481" s="75"/>
      <c r="CQ481" s="75"/>
      <c r="CR481" s="75"/>
      <c r="CS481" s="75"/>
      <c r="CT481" s="75"/>
      <c r="CU481" s="75"/>
      <c r="CV481" s="75"/>
      <c r="CW481" s="75"/>
      <c r="CX481" s="75"/>
      <c r="CY481" s="75"/>
      <c r="CZ481" s="75"/>
      <c r="DA481" s="75"/>
      <c r="DB481" s="75"/>
      <c r="DC481" s="75"/>
      <c r="DD481" s="75"/>
      <c r="DE481" s="75"/>
      <c r="DF481" s="75"/>
      <c r="DG481" s="75"/>
      <c r="DH481" s="75"/>
      <c r="DI481" s="75"/>
      <c r="DJ481" s="75"/>
      <c r="DK481" s="75"/>
      <c r="DL481" s="75"/>
      <c r="DM481" s="75"/>
      <c r="DN481" s="75"/>
      <c r="DO481" s="75"/>
      <c r="DP481" s="75"/>
      <c r="DQ481" s="75"/>
      <c r="DR481" s="75"/>
      <c r="DS481" s="75"/>
      <c r="DT481" s="75"/>
      <c r="DU481" s="75"/>
      <c r="DV481" s="75"/>
      <c r="DW481" s="75"/>
      <c r="DX481" s="75"/>
      <c r="DY481" s="75"/>
      <c r="DZ481" s="75"/>
      <c r="EA481" s="75"/>
      <c r="EB481" s="75"/>
      <c r="EC481" s="75"/>
      <c r="ED481" s="75"/>
      <c r="EE481" s="75"/>
      <c r="EF481" s="75"/>
      <c r="EG481" s="75"/>
      <c r="EH481" s="75"/>
      <c r="EI481" s="75"/>
      <c r="EJ481" s="75"/>
      <c r="EK481" s="75"/>
      <c r="EL481" s="75"/>
      <c r="EM481" s="75"/>
      <c r="EN481" s="75"/>
      <c r="EO481" s="75"/>
      <c r="EP481" s="75"/>
      <c r="EQ481" s="75"/>
      <c r="ER481" s="75"/>
      <c r="ES481" s="75"/>
      <c r="ET481" s="75"/>
      <c r="EU481" s="75"/>
      <c r="EV481" s="75"/>
      <c r="EW481" s="75"/>
      <c r="EX481" s="75"/>
      <c r="EY481" s="75"/>
      <c r="EZ481" s="75"/>
      <c r="FA481" s="75"/>
      <c r="FB481" s="75"/>
      <c r="FC481" s="75"/>
      <c r="FD481" s="75"/>
      <c r="FE481" s="75"/>
      <c r="FF481" s="75"/>
      <c r="FG481" s="75"/>
      <c r="FH481" s="75"/>
      <c r="FI481" s="75"/>
      <c r="FJ481" s="75"/>
      <c r="FK481" s="75"/>
      <c r="FL481" s="75"/>
      <c r="FM481" s="75"/>
      <c r="FN481" s="75"/>
      <c r="FO481" s="75"/>
      <c r="FP481" s="75"/>
      <c r="FQ481" s="75"/>
      <c r="FR481" s="75"/>
      <c r="FS481" s="75"/>
      <c r="FT481" s="75"/>
      <c r="FU481" s="75"/>
      <c r="FV481" s="75"/>
      <c r="FW481" s="75"/>
      <c r="FX481" s="75"/>
      <c r="FY481" s="75"/>
      <c r="FZ481" s="75"/>
      <c r="GA481" s="75"/>
      <c r="GB481" s="75"/>
      <c r="GC481" s="75"/>
      <c r="GD481" s="75"/>
      <c r="GE481" s="75"/>
      <c r="GF481" s="75"/>
      <c r="GG481" s="75"/>
      <c r="GH481" s="75"/>
      <c r="GI481" s="75"/>
      <c r="GJ481" s="75"/>
      <c r="GK481" s="75"/>
      <c r="GL481" s="75"/>
      <c r="GM481" s="75"/>
      <c r="GN481" s="75"/>
      <c r="GO481" s="75"/>
      <c r="GP481" s="75"/>
      <c r="GQ481" s="75"/>
      <c r="GR481" s="75"/>
      <c r="GS481" s="75"/>
      <c r="GT481" s="75"/>
      <c r="GU481" s="75"/>
      <c r="GV481" s="75"/>
      <c r="GW481" s="75"/>
      <c r="GX481" s="75"/>
      <c r="GY481" s="75"/>
      <c r="GZ481" s="75"/>
      <c r="HA481" s="75"/>
      <c r="HB481" s="75"/>
      <c r="HC481" s="75"/>
      <c r="HD481" s="75"/>
      <c r="HE481" s="75"/>
      <c r="HF481" s="75"/>
      <c r="HG481" s="75"/>
      <c r="HH481" s="75"/>
      <c r="HI481" s="75"/>
      <c r="HJ481" s="75"/>
      <c r="HK481" s="75"/>
      <c r="HL481" s="75"/>
      <c r="HM481" s="75"/>
      <c r="HN481" s="75"/>
      <c r="HO481" s="75"/>
      <c r="HP481" s="75"/>
      <c r="HQ481" s="75"/>
      <c r="HR481" s="75"/>
      <c r="HS481" s="75"/>
      <c r="HT481" s="75"/>
      <c r="HU481" s="75"/>
      <c r="HV481" s="75"/>
      <c r="HW481" s="75"/>
      <c r="HX481" s="75"/>
      <c r="HY481" s="75"/>
      <c r="HZ481" s="75"/>
      <c r="IA481" s="75"/>
      <c r="IB481" s="75"/>
      <c r="IC481" s="75"/>
      <c r="ID481" s="75"/>
      <c r="IE481" s="75"/>
      <c r="IF481" s="75"/>
      <c r="IG481" s="75"/>
      <c r="IH481" s="75"/>
      <c r="II481" s="75"/>
      <c r="IJ481" s="75"/>
      <c r="IK481" s="75"/>
      <c r="IL481" s="75"/>
      <c r="IM481" s="75"/>
      <c r="IN481" s="75"/>
      <c r="IO481" s="75"/>
      <c r="IP481" s="75"/>
      <c r="IQ481" s="75"/>
      <c r="IR481" s="75"/>
      <c r="IS481" s="75"/>
      <c r="IT481" s="75"/>
      <c r="IU481" s="75"/>
      <c r="IV481" s="75"/>
      <c r="IW481" s="75"/>
      <c r="IX481" s="75"/>
      <c r="IY481" s="75"/>
      <c r="IZ481" s="75"/>
      <c r="JA481" s="75"/>
      <c r="JB481" s="75"/>
      <c r="JC481" s="75"/>
      <c r="JD481" s="75"/>
      <c r="JE481" s="75"/>
      <c r="JF481" s="75"/>
      <c r="JG481" s="75"/>
      <c r="JH481" s="75"/>
      <c r="JI481" s="75"/>
      <c r="JJ481" s="75"/>
      <c r="JK481" s="75"/>
      <c r="JL481" s="75"/>
      <c r="JM481" s="75"/>
      <c r="JN481" s="75"/>
      <c r="JO481" s="75"/>
      <c r="JP481" s="75"/>
      <c r="JQ481" s="75"/>
      <c r="JR481" s="75"/>
      <c r="JS481" s="75"/>
      <c r="JT481" s="75"/>
      <c r="JU481" s="75"/>
      <c r="JV481" s="75"/>
      <c r="JW481" s="75"/>
      <c r="JX481" s="75"/>
      <c r="JY481" s="75"/>
      <c r="JZ481" s="75"/>
      <c r="KA481" s="75"/>
      <c r="KB481" s="75"/>
      <c r="KC481" s="75"/>
      <c r="KD481" s="75"/>
      <c r="KE481" s="75"/>
      <c r="KF481" s="75"/>
      <c r="KG481" s="75"/>
      <c r="KH481" s="75"/>
      <c r="KI481" s="75"/>
      <c r="KJ481" s="75"/>
      <c r="KK481" s="75"/>
      <c r="KL481" s="75"/>
      <c r="KM481" s="75"/>
      <c r="KN481" s="75"/>
      <c r="KO481" s="75"/>
      <c r="KP481" s="75"/>
      <c r="KQ481" s="75"/>
      <c r="KR481" s="75"/>
      <c r="KS481" s="75"/>
      <c r="KT481" s="75"/>
      <c r="KU481" s="75"/>
      <c r="KV481" s="75"/>
      <c r="KW481" s="75"/>
      <c r="KX481" s="75"/>
      <c r="KY481" s="75"/>
      <c r="KZ481" s="75"/>
      <c r="LA481" s="75"/>
      <c r="LB481" s="75"/>
      <c r="LC481" s="75"/>
      <c r="LD481" s="75"/>
      <c r="LE481" s="75"/>
      <c r="LF481" s="75"/>
      <c r="LG481" s="75"/>
      <c r="LH481" s="75"/>
      <c r="LI481" s="75"/>
      <c r="LJ481" s="75"/>
      <c r="LK481" s="75"/>
      <c r="LL481" s="75"/>
      <c r="LM481" s="75"/>
      <c r="LN481" s="75"/>
      <c r="LO481" s="75"/>
      <c r="LP481" s="75"/>
      <c r="LQ481" s="75"/>
      <c r="LR481" s="75"/>
      <c r="LS481" s="75"/>
      <c r="LT481" s="75"/>
      <c r="LU481" s="75"/>
      <c r="LV481" s="75"/>
      <c r="LW481" s="75"/>
      <c r="LX481" s="75"/>
      <c r="LY481" s="75"/>
      <c r="LZ481" s="75"/>
      <c r="MA481" s="75"/>
      <c r="MB481" s="75"/>
      <c r="MC481" s="75"/>
      <c r="MD481" s="75"/>
      <c r="ME481" s="75"/>
      <c r="MF481" s="75"/>
      <c r="MG481" s="75"/>
      <c r="MH481" s="75"/>
      <c r="MI481" s="75"/>
      <c r="MJ481" s="75"/>
      <c r="MK481" s="75"/>
      <c r="ML481" s="75"/>
      <c r="MM481" s="75"/>
      <c r="MN481" s="75"/>
      <c r="MO481" s="75"/>
      <c r="MP481" s="75"/>
      <c r="MQ481" s="75"/>
      <c r="MR481" s="75"/>
      <c r="MS481" s="75"/>
      <c r="MT481" s="75"/>
      <c r="MU481" s="75"/>
      <c r="MV481" s="75"/>
      <c r="MW481" s="75"/>
      <c r="MX481" s="75"/>
      <c r="MY481" s="75"/>
      <c r="MZ481" s="75"/>
      <c r="NA481" s="75"/>
      <c r="NB481" s="75"/>
      <c r="NC481" s="75"/>
      <c r="ND481" s="75"/>
      <c r="NE481" s="75"/>
      <c r="NF481" s="75"/>
      <c r="NG481" s="75"/>
      <c r="NH481" s="75"/>
      <c r="NI481" s="75"/>
      <c r="NJ481" s="75"/>
      <c r="NK481" s="75"/>
      <c r="NL481" s="75"/>
      <c r="NM481" s="75"/>
      <c r="NN481" s="75"/>
      <c r="NO481" s="75"/>
      <c r="NP481" s="75"/>
      <c r="NQ481" s="75"/>
      <c r="NR481" s="75"/>
      <c r="NS481" s="75"/>
      <c r="NT481" s="75"/>
      <c r="NU481" s="75"/>
      <c r="NV481" s="75"/>
      <c r="NW481" s="75"/>
      <c r="NX481" s="75"/>
      <c r="NY481" s="75"/>
      <c r="NZ481" s="75"/>
      <c r="OA481" s="75"/>
      <c r="OB481" s="75"/>
      <c r="OC481" s="75"/>
      <c r="OD481" s="75"/>
      <c r="OE481" s="75"/>
      <c r="OF481" s="75"/>
      <c r="OG481" s="75"/>
      <c r="OH481" s="75"/>
      <c r="OI481" s="75"/>
      <c r="OJ481" s="75"/>
      <c r="OK481" s="75"/>
      <c r="OL481" s="75"/>
      <c r="OM481" s="75"/>
      <c r="ON481" s="75"/>
      <c r="OO481" s="75"/>
      <c r="OP481" s="75"/>
      <c r="OQ481" s="75"/>
      <c r="OR481" s="75"/>
      <c r="OS481" s="75"/>
      <c r="OT481" s="75"/>
      <c r="OU481" s="75"/>
      <c r="OV481" s="75"/>
      <c r="OW481" s="75"/>
      <c r="OX481" s="75"/>
      <c r="OY481" s="75"/>
      <c r="OZ481" s="75"/>
      <c r="PA481" s="75"/>
      <c r="PB481" s="75"/>
      <c r="PC481" s="75"/>
      <c r="PD481" s="75"/>
      <c r="PE481" s="75"/>
      <c r="PF481" s="75"/>
      <c r="PG481" s="75"/>
      <c r="PH481" s="75"/>
      <c r="PI481" s="75"/>
      <c r="PJ481" s="75"/>
      <c r="PK481" s="75"/>
      <c r="PL481" s="75"/>
      <c r="PM481" s="75"/>
      <c r="PN481" s="75"/>
      <c r="PO481" s="75"/>
      <c r="PP481" s="75"/>
      <c r="PQ481" s="75"/>
      <c r="PR481" s="75"/>
      <c r="PS481" s="75"/>
      <c r="PT481" s="75"/>
      <c r="PU481" s="75"/>
      <c r="PV481" s="75"/>
      <c r="PW481" s="75"/>
      <c r="PX481" s="75"/>
      <c r="PY481" s="75"/>
      <c r="PZ481" s="75"/>
      <c r="QA481" s="75"/>
      <c r="QB481" s="75"/>
      <c r="QC481" s="75"/>
      <c r="QD481" s="75"/>
      <c r="QE481" s="75"/>
      <c r="QF481" s="75"/>
      <c r="QG481" s="75"/>
      <c r="QH481" s="75"/>
      <c r="QI481" s="75"/>
      <c r="QJ481" s="75"/>
      <c r="QK481" s="75"/>
      <c r="QL481" s="75"/>
      <c r="QM481" s="75"/>
      <c r="QN481" s="75"/>
      <c r="QO481" s="75"/>
      <c r="QP481" s="75"/>
      <c r="QQ481" s="75"/>
      <c r="QR481" s="75"/>
      <c r="QS481" s="75"/>
      <c r="QT481" s="75"/>
      <c r="QU481" s="75"/>
      <c r="QV481" s="75"/>
      <c r="QW481" s="75"/>
      <c r="QX481" s="75"/>
      <c r="QY481" s="75"/>
      <c r="QZ481" s="75"/>
      <c r="RA481" s="75"/>
      <c r="RB481" s="75"/>
      <c r="RC481" s="75"/>
      <c r="RD481" s="75"/>
      <c r="RE481" s="75"/>
      <c r="RF481" s="75"/>
      <c r="RG481" s="75"/>
      <c r="RH481" s="75"/>
      <c r="RI481" s="75"/>
      <c r="RJ481" s="75"/>
      <c r="RK481" s="75"/>
      <c r="RL481" s="75"/>
      <c r="RM481" s="75"/>
      <c r="RN481" s="75"/>
      <c r="RO481" s="75"/>
      <c r="RP481" s="75"/>
      <c r="RQ481" s="75"/>
      <c r="RR481" s="75"/>
      <c r="RS481" s="75"/>
      <c r="RT481" s="75"/>
      <c r="RU481" s="75"/>
      <c r="RV481" s="75"/>
      <c r="RW481" s="75"/>
      <c r="RX481" s="75"/>
      <c r="RY481" s="75"/>
      <c r="RZ481" s="75"/>
      <c r="SA481" s="75"/>
      <c r="SB481" s="75"/>
      <c r="SC481" s="75"/>
      <c r="SD481" s="75"/>
      <c r="SE481" s="75"/>
      <c r="SF481" s="75"/>
      <c r="SG481" s="75"/>
      <c r="SH481" s="75"/>
      <c r="SI481" s="75"/>
      <c r="SJ481" s="75"/>
      <c r="SK481" s="75"/>
      <c r="SL481" s="75"/>
      <c r="SM481" s="75"/>
      <c r="SN481" s="75"/>
      <c r="SO481" s="75"/>
      <c r="SP481" s="75"/>
      <c r="SQ481" s="75"/>
      <c r="SR481" s="75"/>
      <c r="SS481" s="75"/>
      <c r="ST481" s="75"/>
      <c r="SU481" s="75"/>
      <c r="SV481" s="75"/>
      <c r="SW481" s="75"/>
      <c r="SX481" s="75"/>
      <c r="SY481" s="75"/>
      <c r="SZ481" s="75"/>
      <c r="TA481" s="75"/>
      <c r="TB481" s="75"/>
      <c r="TC481" s="75"/>
      <c r="TD481" s="75"/>
      <c r="TE481" s="75"/>
      <c r="TF481" s="75"/>
      <c r="TG481" s="75"/>
      <c r="TH481" s="75"/>
      <c r="TI481" s="75"/>
      <c r="TJ481" s="75"/>
      <c r="TK481" s="75"/>
      <c r="TL481" s="75"/>
      <c r="TM481" s="75"/>
      <c r="TN481" s="75"/>
      <c r="TO481" s="75"/>
      <c r="TP481" s="75"/>
      <c r="TQ481" s="75"/>
      <c r="TR481" s="75"/>
      <c r="TS481" s="75"/>
      <c r="TT481" s="75"/>
      <c r="TU481" s="75"/>
      <c r="TV481" s="75"/>
      <c r="TW481" s="75"/>
      <c r="TX481" s="75"/>
      <c r="TY481" s="75"/>
      <c r="TZ481" s="75"/>
      <c r="UA481" s="75"/>
      <c r="UB481" s="75"/>
      <c r="UC481" s="75"/>
      <c r="UD481" s="75"/>
      <c r="UE481" s="75"/>
      <c r="UF481" s="75"/>
      <c r="UG481" s="75"/>
      <c r="UH481" s="75"/>
      <c r="UI481" s="75"/>
      <c r="UJ481" s="75"/>
      <c r="UK481" s="75"/>
      <c r="UL481" s="75"/>
      <c r="UM481" s="75"/>
      <c r="UN481" s="75"/>
      <c r="UO481" s="75"/>
      <c r="UP481" s="75"/>
      <c r="UQ481" s="75"/>
      <c r="UR481" s="75"/>
      <c r="US481" s="75"/>
      <c r="UT481" s="75"/>
      <c r="UU481" s="75"/>
      <c r="UV481" s="75"/>
      <c r="UW481" s="75"/>
      <c r="UX481" s="75"/>
      <c r="UY481" s="75"/>
      <c r="UZ481" s="75"/>
      <c r="VA481" s="75"/>
      <c r="VB481" s="75"/>
      <c r="VC481" s="75"/>
      <c r="VD481" s="75"/>
      <c r="VE481" s="75"/>
      <c r="VF481" s="75"/>
      <c r="VG481" s="75"/>
      <c r="VH481" s="75"/>
      <c r="VI481" s="75"/>
      <c r="VJ481" s="75"/>
      <c r="VK481" s="75"/>
      <c r="VL481" s="75"/>
      <c r="VM481" s="75"/>
      <c r="VN481" s="75"/>
      <c r="VO481" s="75"/>
      <c r="VP481" s="75"/>
      <c r="VQ481" s="75"/>
      <c r="VR481" s="75"/>
      <c r="VS481" s="75"/>
      <c r="VT481" s="75"/>
      <c r="VU481" s="75"/>
      <c r="VV481" s="75"/>
      <c r="VW481" s="75"/>
      <c r="VX481" s="75"/>
      <c r="VY481" s="75"/>
      <c r="VZ481" s="75"/>
      <c r="WA481" s="75"/>
      <c r="WB481" s="75"/>
      <c r="WC481" s="75"/>
      <c r="WD481" s="75"/>
      <c r="WE481" s="75"/>
      <c r="WF481" s="75"/>
      <c r="WG481" s="75"/>
      <c r="WH481" s="75"/>
      <c r="WI481" s="75"/>
      <c r="WJ481" s="75"/>
      <c r="WK481" s="75"/>
      <c r="WL481" s="75"/>
      <c r="WM481" s="75"/>
      <c r="WN481" s="75"/>
      <c r="WO481" s="75"/>
      <c r="WP481" s="75"/>
      <c r="WQ481" s="75"/>
      <c r="WR481" s="75"/>
      <c r="WS481" s="75"/>
      <c r="WT481" s="75"/>
      <c r="WU481" s="75"/>
      <c r="WV481" s="75"/>
      <c r="WW481" s="75"/>
      <c r="WX481" s="75"/>
      <c r="WY481" s="75"/>
      <c r="WZ481" s="75"/>
      <c r="XA481" s="75"/>
      <c r="XB481" s="75"/>
      <c r="XC481" s="75"/>
      <c r="XD481" s="75"/>
      <c r="XE481" s="75"/>
      <c r="XF481" s="75"/>
      <c r="XG481" s="75"/>
      <c r="XH481" s="75"/>
      <c r="XI481" s="75"/>
      <c r="XJ481" s="75"/>
      <c r="XK481" s="75"/>
      <c r="XL481" s="75"/>
      <c r="XM481" s="75"/>
      <c r="XN481" s="75"/>
      <c r="XO481" s="75"/>
      <c r="XP481" s="75"/>
      <c r="XQ481" s="75"/>
      <c r="XR481" s="75"/>
      <c r="XS481" s="75"/>
      <c r="XT481" s="75"/>
      <c r="XU481" s="75"/>
      <c r="XV481" s="75"/>
      <c r="XW481" s="75"/>
      <c r="XX481" s="75"/>
      <c r="XY481" s="75"/>
      <c r="XZ481" s="75"/>
      <c r="YA481" s="75"/>
      <c r="YB481" s="75"/>
      <c r="YC481" s="75"/>
      <c r="YD481" s="75"/>
      <c r="YE481" s="75"/>
      <c r="YF481" s="75"/>
      <c r="YG481" s="75"/>
      <c r="YH481" s="75"/>
      <c r="YI481" s="75"/>
      <c r="YJ481" s="75"/>
      <c r="YK481" s="75"/>
      <c r="YL481" s="75"/>
      <c r="YM481" s="75"/>
      <c r="YN481" s="75"/>
      <c r="YO481" s="75"/>
      <c r="YP481" s="75"/>
      <c r="YQ481" s="75"/>
      <c r="YR481" s="75"/>
      <c r="YS481" s="75"/>
      <c r="YT481" s="75"/>
      <c r="YU481" s="75"/>
      <c r="YV481" s="75"/>
      <c r="YW481" s="75"/>
      <c r="YX481" s="75"/>
      <c r="YY481" s="75"/>
      <c r="YZ481" s="75"/>
      <c r="ZA481" s="75"/>
      <c r="ZB481" s="75"/>
      <c r="ZC481" s="75"/>
      <c r="ZD481" s="75"/>
      <c r="ZE481" s="75"/>
      <c r="ZF481" s="75"/>
      <c r="ZG481" s="75"/>
      <c r="ZH481" s="75"/>
      <c r="ZI481" s="75"/>
      <c r="ZJ481" s="75"/>
      <c r="ZK481" s="75"/>
      <c r="ZL481" s="75"/>
      <c r="ZM481" s="75"/>
      <c r="ZN481" s="75"/>
      <c r="ZO481" s="75"/>
      <c r="ZP481" s="75"/>
      <c r="ZQ481" s="75"/>
      <c r="ZR481" s="75"/>
      <c r="ZS481" s="75"/>
      <c r="ZT481" s="75"/>
      <c r="ZU481" s="75"/>
      <c r="ZV481" s="75"/>
      <c r="ZW481" s="75"/>
      <c r="ZX481" s="75"/>
      <c r="ZY481" s="75"/>
      <c r="ZZ481" s="75"/>
      <c r="AAA481" s="75"/>
      <c r="AAB481" s="75"/>
      <c r="AAC481" s="75"/>
      <c r="AAD481" s="75"/>
      <c r="AAE481" s="75"/>
      <c r="AAF481" s="75"/>
      <c r="AAG481" s="75"/>
      <c r="AAH481" s="75"/>
      <c r="AAI481" s="75"/>
      <c r="AAJ481" s="75"/>
      <c r="AAK481" s="75"/>
      <c r="AAL481" s="75"/>
      <c r="AAM481" s="75"/>
      <c r="AAN481" s="75"/>
      <c r="AAO481" s="75"/>
      <c r="AAP481" s="75"/>
      <c r="AAQ481" s="75"/>
      <c r="AAR481" s="75"/>
      <c r="AAS481" s="75"/>
      <c r="AAT481" s="75"/>
      <c r="AAU481" s="75"/>
      <c r="AAV481" s="75"/>
      <c r="AAW481" s="75"/>
      <c r="AAX481" s="75"/>
      <c r="AAY481" s="75"/>
      <c r="AAZ481" s="75"/>
      <c r="ABA481" s="75"/>
      <c r="ABB481" s="75"/>
      <c r="ABC481" s="75"/>
      <c r="ABD481" s="75"/>
      <c r="ABE481" s="75"/>
      <c r="ABF481" s="75"/>
      <c r="ABG481" s="75"/>
      <c r="ABH481" s="75"/>
      <c r="ABI481" s="75"/>
      <c r="ABJ481" s="75"/>
      <c r="ABK481" s="75"/>
      <c r="ABL481" s="75"/>
      <c r="ABM481" s="75"/>
      <c r="ABN481" s="75"/>
      <c r="ABO481" s="75"/>
      <c r="ABP481" s="75"/>
      <c r="ABQ481" s="75"/>
      <c r="ABR481" s="75"/>
      <c r="ABS481" s="75"/>
      <c r="ABT481" s="75"/>
      <c r="ABU481" s="75"/>
      <c r="ABV481" s="75"/>
      <c r="ABW481" s="75"/>
      <c r="ABX481" s="75"/>
      <c r="ABY481" s="75"/>
      <c r="ABZ481" s="75"/>
      <c r="ACA481" s="75"/>
      <c r="ACB481" s="75"/>
      <c r="ACC481" s="75"/>
      <c r="ACD481" s="75"/>
      <c r="ACE481" s="75"/>
      <c r="ACF481" s="75"/>
      <c r="ACG481" s="75"/>
      <c r="ACH481" s="75"/>
      <c r="ACI481" s="75"/>
      <c r="ACJ481" s="75"/>
      <c r="ACK481" s="75"/>
      <c r="ACL481" s="75"/>
      <c r="ACM481" s="75"/>
      <c r="ACN481" s="75"/>
      <c r="ACO481" s="75"/>
      <c r="ACP481" s="75"/>
      <c r="ACQ481" s="75"/>
      <c r="ACR481" s="75"/>
      <c r="ACS481" s="75"/>
      <c r="ACT481" s="75"/>
      <c r="ACU481" s="75"/>
      <c r="ACV481" s="75"/>
      <c r="ACW481" s="75"/>
      <c r="ACX481" s="75"/>
      <c r="ACY481" s="75"/>
      <c r="ACZ481" s="75"/>
      <c r="ADA481" s="75"/>
      <c r="ADB481" s="75"/>
      <c r="ADC481" s="75"/>
      <c r="ADD481" s="75"/>
      <c r="ADE481" s="75"/>
      <c r="ADF481" s="75"/>
      <c r="ADG481" s="75"/>
      <c r="ADH481" s="75"/>
      <c r="ADI481" s="75"/>
      <c r="ADJ481" s="75"/>
      <c r="ADK481" s="75"/>
      <c r="ADL481" s="75"/>
      <c r="ADM481" s="75"/>
      <c r="ADN481" s="75"/>
      <c r="ADO481" s="75"/>
      <c r="ADP481" s="75"/>
      <c r="ADQ481" s="75"/>
      <c r="ADR481" s="75"/>
      <c r="ADS481" s="75"/>
      <c r="ADT481" s="75"/>
      <c r="ADU481" s="75"/>
      <c r="ADV481" s="75"/>
      <c r="ADW481" s="75"/>
      <c r="ADX481" s="75"/>
      <c r="ADY481" s="75"/>
      <c r="ADZ481" s="75"/>
      <c r="AEA481" s="75"/>
      <c r="AEB481" s="75"/>
      <c r="AEC481" s="75"/>
      <c r="AED481" s="75"/>
      <c r="AEE481" s="75"/>
      <c r="AEF481" s="75"/>
      <c r="AEG481" s="75"/>
      <c r="AEH481" s="75"/>
      <c r="AEI481" s="75"/>
      <c r="AEJ481" s="75"/>
      <c r="AEK481" s="75"/>
      <c r="AEL481" s="75"/>
      <c r="AEM481" s="75"/>
      <c r="AEN481" s="75"/>
      <c r="AEO481" s="75"/>
      <c r="AEP481" s="75"/>
      <c r="AEQ481" s="75"/>
      <c r="AER481" s="75"/>
      <c r="AES481" s="75"/>
      <c r="AET481" s="75"/>
      <c r="AEU481" s="75"/>
      <c r="AEV481" s="75"/>
      <c r="AEW481" s="75"/>
      <c r="AEX481" s="75"/>
      <c r="AEY481" s="75"/>
      <c r="AEZ481" s="75"/>
      <c r="AFA481" s="75"/>
      <c r="AFB481" s="75"/>
      <c r="AFC481" s="75"/>
      <c r="AFD481" s="75"/>
      <c r="AFE481" s="75"/>
      <c r="AFF481" s="75"/>
      <c r="AFG481" s="75"/>
      <c r="AFH481" s="75"/>
      <c r="AFI481" s="75"/>
      <c r="AFJ481" s="75"/>
      <c r="AFK481" s="75"/>
      <c r="AFL481" s="75"/>
      <c r="AFM481" s="75"/>
      <c r="AFN481" s="75"/>
      <c r="AFO481" s="75"/>
      <c r="AFP481" s="75"/>
      <c r="AFQ481" s="75"/>
      <c r="AFR481" s="75"/>
      <c r="AFS481" s="75"/>
      <c r="AFT481" s="75"/>
      <c r="AFU481" s="75"/>
      <c r="AFV481" s="75"/>
      <c r="AFW481" s="75"/>
      <c r="AFX481" s="75"/>
      <c r="AFY481" s="75"/>
      <c r="AFZ481" s="75"/>
      <c r="AGA481" s="75"/>
      <c r="AGB481" s="75"/>
      <c r="AGC481" s="75"/>
      <c r="AGD481" s="75"/>
      <c r="AGE481" s="75"/>
      <c r="AGF481" s="75"/>
      <c r="AGG481" s="75"/>
      <c r="AGH481" s="75"/>
      <c r="AGI481" s="75"/>
      <c r="AGJ481" s="75"/>
      <c r="AGK481" s="75"/>
      <c r="AGL481" s="75"/>
      <c r="AGM481" s="75"/>
      <c r="AGN481" s="75"/>
      <c r="AGO481" s="75"/>
      <c r="AGP481" s="75"/>
      <c r="AGQ481" s="75"/>
      <c r="AGR481" s="75"/>
      <c r="AGS481" s="75"/>
      <c r="AGT481" s="75"/>
      <c r="AGU481" s="75"/>
      <c r="AGV481" s="75"/>
      <c r="AGW481" s="75"/>
      <c r="AGX481" s="75"/>
      <c r="AGY481" s="75"/>
      <c r="AGZ481" s="75"/>
      <c r="AHA481" s="75"/>
      <c r="AHB481" s="75"/>
      <c r="AHC481" s="75"/>
      <c r="AHD481" s="75"/>
      <c r="AHE481" s="75"/>
      <c r="AHF481" s="75"/>
      <c r="AHG481" s="75"/>
      <c r="AHH481" s="75"/>
      <c r="AHI481" s="75"/>
      <c r="AHJ481" s="75"/>
      <c r="AHK481" s="75"/>
      <c r="AHL481" s="75"/>
      <c r="AHM481" s="75"/>
      <c r="AHN481" s="75"/>
      <c r="AHO481" s="75"/>
      <c r="AHP481" s="75"/>
      <c r="AHQ481" s="75"/>
      <c r="AHR481" s="75"/>
      <c r="AHS481" s="75"/>
      <c r="AHT481" s="75"/>
      <c r="AHU481" s="75"/>
      <c r="AHV481" s="75"/>
      <c r="AHW481" s="75"/>
      <c r="AHX481" s="75"/>
      <c r="AHY481" s="75"/>
      <c r="AHZ481" s="75"/>
      <c r="AIA481" s="75"/>
      <c r="AIB481" s="75"/>
      <c r="AIC481" s="75"/>
      <c r="AID481" s="75"/>
      <c r="AIE481" s="75"/>
      <c r="AIF481" s="75"/>
      <c r="AIG481" s="75"/>
      <c r="AIH481" s="75"/>
      <c r="AII481" s="75"/>
      <c r="AIJ481" s="75"/>
      <c r="AIK481" s="75"/>
      <c r="AIL481" s="75"/>
      <c r="AIM481" s="75"/>
      <c r="AIN481" s="75"/>
      <c r="AIO481" s="75"/>
      <c r="AIP481" s="75"/>
      <c r="AIQ481" s="75"/>
      <c r="AIR481" s="75"/>
      <c r="AIS481" s="75"/>
      <c r="AIT481" s="75"/>
      <c r="AIU481" s="75"/>
      <c r="AIV481" s="75"/>
      <c r="AIW481" s="75"/>
      <c r="AIX481" s="75"/>
      <c r="AIY481" s="75"/>
      <c r="AIZ481" s="75"/>
      <c r="AJA481" s="75"/>
      <c r="AJB481" s="75"/>
      <c r="AJC481" s="75"/>
      <c r="AJD481" s="75"/>
      <c r="AJE481" s="75"/>
      <c r="AJF481" s="75"/>
      <c r="AJG481" s="75"/>
      <c r="AJH481" s="75"/>
      <c r="AJI481" s="75"/>
      <c r="AJJ481" s="75"/>
      <c r="AJK481" s="75"/>
      <c r="AJL481" s="75"/>
      <c r="AJM481" s="75"/>
      <c r="AJN481" s="75"/>
      <c r="AJO481" s="75"/>
      <c r="AJP481" s="75"/>
      <c r="AJQ481" s="75"/>
      <c r="AJR481" s="75"/>
      <c r="AJS481" s="75"/>
      <c r="AJT481" s="75"/>
      <c r="AJU481" s="75"/>
      <c r="AJV481" s="75"/>
      <c r="AJW481" s="75"/>
      <c r="AJX481" s="75"/>
      <c r="AJY481" s="75"/>
      <c r="AJZ481" s="75"/>
      <c r="AKA481" s="75"/>
      <c r="AKB481" s="75"/>
      <c r="AKC481" s="75"/>
      <c r="AKD481" s="75"/>
      <c r="AKE481" s="75"/>
      <c r="AKF481" s="75"/>
      <c r="AKG481" s="75"/>
      <c r="AKH481" s="75"/>
      <c r="AKI481" s="75"/>
      <c r="AKJ481" s="75"/>
      <c r="AKK481" s="75"/>
      <c r="AKL481" s="75"/>
      <c r="AKM481" s="75"/>
      <c r="AKN481" s="75"/>
      <c r="AKO481" s="75"/>
      <c r="AKP481" s="75"/>
      <c r="AKQ481" s="75"/>
      <c r="AKR481" s="75"/>
      <c r="AKS481" s="75"/>
      <c r="AKT481" s="75"/>
      <c r="AKU481" s="75"/>
      <c r="AKV481" s="75"/>
      <c r="AKW481" s="75"/>
      <c r="AKX481" s="75"/>
      <c r="AKY481" s="75"/>
      <c r="AKZ481" s="75"/>
      <c r="ALA481" s="75"/>
      <c r="ALB481" s="75"/>
      <c r="ALC481" s="75"/>
      <c r="ALD481" s="75"/>
      <c r="ALE481" s="75"/>
      <c r="ALF481" s="75"/>
      <c r="ALG481" s="75"/>
      <c r="ALH481" s="75"/>
      <c r="ALI481" s="75"/>
      <c r="ALJ481" s="75"/>
      <c r="ALK481" s="75"/>
      <c r="ALL481" s="75"/>
      <c r="ALM481" s="75"/>
      <c r="ALN481" s="75"/>
      <c r="ALO481" s="75"/>
    </row>
    <row r="482" spans="1:1003" s="235" customFormat="1" ht="14.55" customHeight="1" outlineLevel="1" x14ac:dyDescent="0.25">
      <c r="A482" s="230" t="s">
        <v>1422</v>
      </c>
      <c r="B482" s="343" t="str">
        <f>"13.0301"</f>
        <v>13.0301</v>
      </c>
      <c r="C482" s="75" t="s">
        <v>2149</v>
      </c>
      <c r="D482" s="127" t="s">
        <v>2151</v>
      </c>
      <c r="E482" s="232"/>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c r="AY482" s="75"/>
      <c r="AZ482" s="75"/>
      <c r="BA482" s="75"/>
      <c r="BB482" s="75"/>
      <c r="BC482" s="75"/>
      <c r="BD482" s="75"/>
      <c r="BE482" s="75"/>
      <c r="BF482" s="75"/>
      <c r="BG482" s="75"/>
      <c r="BH482" s="75"/>
      <c r="BI482" s="75"/>
      <c r="BJ482" s="75"/>
      <c r="BK482" s="75"/>
      <c r="BL482" s="75"/>
      <c r="BM482" s="75"/>
      <c r="BN482" s="75"/>
      <c r="BO482" s="75"/>
      <c r="BP482" s="75"/>
      <c r="BQ482" s="75"/>
      <c r="BR482" s="75"/>
      <c r="BS482" s="75"/>
      <c r="BT482" s="75"/>
      <c r="BU482" s="75"/>
      <c r="BV482" s="75"/>
      <c r="BW482" s="75"/>
      <c r="BX482" s="75"/>
      <c r="BY482" s="75"/>
      <c r="BZ482" s="75"/>
      <c r="CA482" s="75"/>
      <c r="CB482" s="75"/>
      <c r="CC482" s="75"/>
      <c r="CD482" s="75"/>
      <c r="CE482" s="75"/>
      <c r="CF482" s="75"/>
      <c r="CG482" s="75"/>
      <c r="CH482" s="75"/>
      <c r="CI482" s="75"/>
      <c r="CJ482" s="75"/>
      <c r="CK482" s="75"/>
      <c r="CL482" s="75"/>
      <c r="CM482" s="75"/>
      <c r="CN482" s="75"/>
      <c r="CO482" s="75"/>
      <c r="CP482" s="75"/>
      <c r="CQ482" s="75"/>
      <c r="CR482" s="75"/>
      <c r="CS482" s="75"/>
      <c r="CT482" s="75"/>
      <c r="CU482" s="75"/>
      <c r="CV482" s="75"/>
      <c r="CW482" s="75"/>
      <c r="CX482" s="75"/>
      <c r="CY482" s="75"/>
      <c r="CZ482" s="75"/>
      <c r="DA482" s="75"/>
      <c r="DB482" s="75"/>
      <c r="DC482" s="75"/>
      <c r="DD482" s="75"/>
      <c r="DE482" s="75"/>
      <c r="DF482" s="75"/>
      <c r="DG482" s="75"/>
      <c r="DH482" s="75"/>
      <c r="DI482" s="75"/>
      <c r="DJ482" s="75"/>
      <c r="DK482" s="75"/>
      <c r="DL482" s="75"/>
      <c r="DM482" s="75"/>
      <c r="DN482" s="75"/>
      <c r="DO482" s="75"/>
      <c r="DP482" s="75"/>
      <c r="DQ482" s="75"/>
      <c r="DR482" s="75"/>
      <c r="DS482" s="75"/>
      <c r="DT482" s="75"/>
      <c r="DU482" s="75"/>
      <c r="DV482" s="75"/>
      <c r="DW482" s="75"/>
      <c r="DX482" s="75"/>
      <c r="DY482" s="75"/>
      <c r="DZ482" s="75"/>
      <c r="EA482" s="75"/>
      <c r="EB482" s="75"/>
      <c r="EC482" s="75"/>
      <c r="ED482" s="75"/>
      <c r="EE482" s="75"/>
      <c r="EF482" s="75"/>
      <c r="EG482" s="75"/>
      <c r="EH482" s="75"/>
      <c r="EI482" s="75"/>
      <c r="EJ482" s="75"/>
      <c r="EK482" s="75"/>
      <c r="EL482" s="75"/>
      <c r="EM482" s="75"/>
      <c r="EN482" s="75"/>
      <c r="EO482" s="75"/>
      <c r="EP482" s="75"/>
      <c r="EQ482" s="75"/>
      <c r="ER482" s="75"/>
      <c r="ES482" s="75"/>
      <c r="ET482" s="75"/>
      <c r="EU482" s="75"/>
      <c r="EV482" s="75"/>
      <c r="EW482" s="75"/>
      <c r="EX482" s="75"/>
      <c r="EY482" s="75"/>
      <c r="EZ482" s="75"/>
      <c r="FA482" s="75"/>
      <c r="FB482" s="75"/>
      <c r="FC482" s="75"/>
      <c r="FD482" s="75"/>
      <c r="FE482" s="75"/>
      <c r="FF482" s="75"/>
      <c r="FG482" s="75"/>
      <c r="FH482" s="75"/>
      <c r="FI482" s="75"/>
      <c r="FJ482" s="75"/>
      <c r="FK482" s="75"/>
      <c r="FL482" s="75"/>
      <c r="FM482" s="75"/>
      <c r="FN482" s="75"/>
      <c r="FO482" s="75"/>
      <c r="FP482" s="75"/>
      <c r="FQ482" s="75"/>
      <c r="FR482" s="75"/>
      <c r="FS482" s="75"/>
      <c r="FT482" s="75"/>
      <c r="FU482" s="75"/>
      <c r="FV482" s="75"/>
      <c r="FW482" s="75"/>
      <c r="FX482" s="75"/>
      <c r="FY482" s="75"/>
      <c r="FZ482" s="75"/>
      <c r="GA482" s="75"/>
      <c r="GB482" s="75"/>
      <c r="GC482" s="75"/>
      <c r="GD482" s="75"/>
      <c r="GE482" s="75"/>
      <c r="GF482" s="75"/>
      <c r="GG482" s="75"/>
      <c r="GH482" s="75"/>
      <c r="GI482" s="75"/>
      <c r="GJ482" s="75"/>
      <c r="GK482" s="75"/>
      <c r="GL482" s="75"/>
      <c r="GM482" s="75"/>
      <c r="GN482" s="75"/>
      <c r="GO482" s="75"/>
      <c r="GP482" s="75"/>
      <c r="GQ482" s="75"/>
      <c r="GR482" s="75"/>
      <c r="GS482" s="75"/>
      <c r="GT482" s="75"/>
      <c r="GU482" s="75"/>
      <c r="GV482" s="75"/>
      <c r="GW482" s="75"/>
      <c r="GX482" s="75"/>
      <c r="GY482" s="75"/>
      <c r="GZ482" s="75"/>
      <c r="HA482" s="75"/>
      <c r="HB482" s="75"/>
      <c r="HC482" s="75"/>
      <c r="HD482" s="75"/>
      <c r="HE482" s="75"/>
      <c r="HF482" s="75"/>
      <c r="HG482" s="75"/>
      <c r="HH482" s="75"/>
      <c r="HI482" s="75"/>
      <c r="HJ482" s="75"/>
      <c r="HK482" s="75"/>
      <c r="HL482" s="75"/>
      <c r="HM482" s="75"/>
      <c r="HN482" s="75"/>
      <c r="HO482" s="75"/>
      <c r="HP482" s="75"/>
      <c r="HQ482" s="75"/>
      <c r="HR482" s="75"/>
      <c r="HS482" s="75"/>
      <c r="HT482" s="75"/>
      <c r="HU482" s="75"/>
      <c r="HV482" s="75"/>
      <c r="HW482" s="75"/>
      <c r="HX482" s="75"/>
      <c r="HY482" s="75"/>
      <c r="HZ482" s="75"/>
      <c r="IA482" s="75"/>
      <c r="IB482" s="75"/>
      <c r="IC482" s="75"/>
      <c r="ID482" s="75"/>
      <c r="IE482" s="75"/>
      <c r="IF482" s="75"/>
      <c r="IG482" s="75"/>
      <c r="IH482" s="75"/>
      <c r="II482" s="75"/>
      <c r="IJ482" s="75"/>
      <c r="IK482" s="75"/>
      <c r="IL482" s="75"/>
      <c r="IM482" s="75"/>
      <c r="IN482" s="75"/>
      <c r="IO482" s="75"/>
      <c r="IP482" s="75"/>
      <c r="IQ482" s="75"/>
      <c r="IR482" s="75"/>
      <c r="IS482" s="75"/>
      <c r="IT482" s="75"/>
      <c r="IU482" s="75"/>
      <c r="IV482" s="75"/>
      <c r="IW482" s="75"/>
      <c r="IX482" s="75"/>
      <c r="IY482" s="75"/>
      <c r="IZ482" s="75"/>
      <c r="JA482" s="75"/>
      <c r="JB482" s="75"/>
      <c r="JC482" s="75"/>
      <c r="JD482" s="75"/>
      <c r="JE482" s="75"/>
      <c r="JF482" s="75"/>
      <c r="JG482" s="75"/>
      <c r="JH482" s="75"/>
      <c r="JI482" s="75"/>
      <c r="JJ482" s="75"/>
      <c r="JK482" s="75"/>
      <c r="JL482" s="75"/>
      <c r="JM482" s="75"/>
      <c r="JN482" s="75"/>
      <c r="JO482" s="75"/>
      <c r="JP482" s="75"/>
      <c r="JQ482" s="75"/>
      <c r="JR482" s="75"/>
      <c r="JS482" s="75"/>
      <c r="JT482" s="75"/>
      <c r="JU482" s="75"/>
      <c r="JV482" s="75"/>
      <c r="JW482" s="75"/>
      <c r="JX482" s="75"/>
      <c r="JY482" s="75"/>
      <c r="JZ482" s="75"/>
      <c r="KA482" s="75"/>
      <c r="KB482" s="75"/>
      <c r="KC482" s="75"/>
      <c r="KD482" s="75"/>
      <c r="KE482" s="75"/>
      <c r="KF482" s="75"/>
      <c r="KG482" s="75"/>
      <c r="KH482" s="75"/>
      <c r="KI482" s="75"/>
      <c r="KJ482" s="75"/>
      <c r="KK482" s="75"/>
      <c r="KL482" s="75"/>
      <c r="KM482" s="75"/>
      <c r="KN482" s="75"/>
      <c r="KO482" s="75"/>
      <c r="KP482" s="75"/>
      <c r="KQ482" s="75"/>
      <c r="KR482" s="75"/>
      <c r="KS482" s="75"/>
      <c r="KT482" s="75"/>
      <c r="KU482" s="75"/>
      <c r="KV482" s="75"/>
      <c r="KW482" s="75"/>
      <c r="KX482" s="75"/>
      <c r="KY482" s="75"/>
      <c r="KZ482" s="75"/>
      <c r="LA482" s="75"/>
      <c r="LB482" s="75"/>
      <c r="LC482" s="75"/>
      <c r="LD482" s="75"/>
      <c r="LE482" s="75"/>
      <c r="LF482" s="75"/>
      <c r="LG482" s="75"/>
      <c r="LH482" s="75"/>
      <c r="LI482" s="75"/>
      <c r="LJ482" s="75"/>
      <c r="LK482" s="75"/>
      <c r="LL482" s="75"/>
      <c r="LM482" s="75"/>
      <c r="LN482" s="75"/>
      <c r="LO482" s="75"/>
      <c r="LP482" s="75"/>
      <c r="LQ482" s="75"/>
      <c r="LR482" s="75"/>
      <c r="LS482" s="75"/>
      <c r="LT482" s="75"/>
      <c r="LU482" s="75"/>
      <c r="LV482" s="75"/>
      <c r="LW482" s="75"/>
      <c r="LX482" s="75"/>
      <c r="LY482" s="75"/>
      <c r="LZ482" s="75"/>
      <c r="MA482" s="75"/>
      <c r="MB482" s="75"/>
      <c r="MC482" s="75"/>
      <c r="MD482" s="75"/>
      <c r="ME482" s="75"/>
      <c r="MF482" s="75"/>
      <c r="MG482" s="75"/>
      <c r="MH482" s="75"/>
      <c r="MI482" s="75"/>
      <c r="MJ482" s="75"/>
      <c r="MK482" s="75"/>
      <c r="ML482" s="75"/>
      <c r="MM482" s="75"/>
      <c r="MN482" s="75"/>
      <c r="MO482" s="75"/>
      <c r="MP482" s="75"/>
      <c r="MQ482" s="75"/>
      <c r="MR482" s="75"/>
      <c r="MS482" s="75"/>
      <c r="MT482" s="75"/>
      <c r="MU482" s="75"/>
      <c r="MV482" s="75"/>
      <c r="MW482" s="75"/>
      <c r="MX482" s="75"/>
      <c r="MY482" s="75"/>
      <c r="MZ482" s="75"/>
      <c r="NA482" s="75"/>
      <c r="NB482" s="75"/>
      <c r="NC482" s="75"/>
      <c r="ND482" s="75"/>
      <c r="NE482" s="75"/>
      <c r="NF482" s="75"/>
      <c r="NG482" s="75"/>
      <c r="NH482" s="75"/>
      <c r="NI482" s="75"/>
      <c r="NJ482" s="75"/>
      <c r="NK482" s="75"/>
      <c r="NL482" s="75"/>
      <c r="NM482" s="75"/>
      <c r="NN482" s="75"/>
      <c r="NO482" s="75"/>
      <c r="NP482" s="75"/>
      <c r="NQ482" s="75"/>
      <c r="NR482" s="75"/>
      <c r="NS482" s="75"/>
      <c r="NT482" s="75"/>
      <c r="NU482" s="75"/>
      <c r="NV482" s="75"/>
      <c r="NW482" s="75"/>
      <c r="NX482" s="75"/>
      <c r="NY482" s="75"/>
      <c r="NZ482" s="75"/>
      <c r="OA482" s="75"/>
      <c r="OB482" s="75"/>
      <c r="OC482" s="75"/>
      <c r="OD482" s="75"/>
      <c r="OE482" s="75"/>
      <c r="OF482" s="75"/>
      <c r="OG482" s="75"/>
      <c r="OH482" s="75"/>
      <c r="OI482" s="75"/>
      <c r="OJ482" s="75"/>
      <c r="OK482" s="75"/>
      <c r="OL482" s="75"/>
      <c r="OM482" s="75"/>
      <c r="ON482" s="75"/>
      <c r="OO482" s="75"/>
      <c r="OP482" s="75"/>
      <c r="OQ482" s="75"/>
      <c r="OR482" s="75"/>
      <c r="OS482" s="75"/>
      <c r="OT482" s="75"/>
      <c r="OU482" s="75"/>
      <c r="OV482" s="75"/>
      <c r="OW482" s="75"/>
      <c r="OX482" s="75"/>
      <c r="OY482" s="75"/>
      <c r="OZ482" s="75"/>
      <c r="PA482" s="75"/>
      <c r="PB482" s="75"/>
      <c r="PC482" s="75"/>
      <c r="PD482" s="75"/>
      <c r="PE482" s="75"/>
      <c r="PF482" s="75"/>
      <c r="PG482" s="75"/>
      <c r="PH482" s="75"/>
      <c r="PI482" s="75"/>
      <c r="PJ482" s="75"/>
      <c r="PK482" s="75"/>
      <c r="PL482" s="75"/>
      <c r="PM482" s="75"/>
      <c r="PN482" s="75"/>
      <c r="PO482" s="75"/>
      <c r="PP482" s="75"/>
      <c r="PQ482" s="75"/>
      <c r="PR482" s="75"/>
      <c r="PS482" s="75"/>
      <c r="PT482" s="75"/>
      <c r="PU482" s="75"/>
      <c r="PV482" s="75"/>
      <c r="PW482" s="75"/>
      <c r="PX482" s="75"/>
      <c r="PY482" s="75"/>
      <c r="PZ482" s="75"/>
      <c r="QA482" s="75"/>
      <c r="QB482" s="75"/>
      <c r="QC482" s="75"/>
      <c r="QD482" s="75"/>
      <c r="QE482" s="75"/>
      <c r="QF482" s="75"/>
      <c r="QG482" s="75"/>
      <c r="QH482" s="75"/>
      <c r="QI482" s="75"/>
      <c r="QJ482" s="75"/>
      <c r="QK482" s="75"/>
      <c r="QL482" s="75"/>
      <c r="QM482" s="75"/>
      <c r="QN482" s="75"/>
      <c r="QO482" s="75"/>
      <c r="QP482" s="75"/>
      <c r="QQ482" s="75"/>
      <c r="QR482" s="75"/>
      <c r="QS482" s="75"/>
      <c r="QT482" s="75"/>
      <c r="QU482" s="75"/>
      <c r="QV482" s="75"/>
      <c r="QW482" s="75"/>
      <c r="QX482" s="75"/>
      <c r="QY482" s="75"/>
      <c r="QZ482" s="75"/>
      <c r="RA482" s="75"/>
      <c r="RB482" s="75"/>
      <c r="RC482" s="75"/>
      <c r="RD482" s="75"/>
      <c r="RE482" s="75"/>
      <c r="RF482" s="75"/>
      <c r="RG482" s="75"/>
      <c r="RH482" s="75"/>
      <c r="RI482" s="75"/>
      <c r="RJ482" s="75"/>
      <c r="RK482" s="75"/>
      <c r="RL482" s="75"/>
      <c r="RM482" s="75"/>
      <c r="RN482" s="75"/>
      <c r="RO482" s="75"/>
      <c r="RP482" s="75"/>
      <c r="RQ482" s="75"/>
      <c r="RR482" s="75"/>
      <c r="RS482" s="75"/>
      <c r="RT482" s="75"/>
      <c r="RU482" s="75"/>
      <c r="RV482" s="75"/>
      <c r="RW482" s="75"/>
      <c r="RX482" s="75"/>
      <c r="RY482" s="75"/>
      <c r="RZ482" s="75"/>
      <c r="SA482" s="75"/>
      <c r="SB482" s="75"/>
      <c r="SC482" s="75"/>
      <c r="SD482" s="75"/>
      <c r="SE482" s="75"/>
      <c r="SF482" s="75"/>
      <c r="SG482" s="75"/>
      <c r="SH482" s="75"/>
      <c r="SI482" s="75"/>
      <c r="SJ482" s="75"/>
      <c r="SK482" s="75"/>
      <c r="SL482" s="75"/>
      <c r="SM482" s="75"/>
      <c r="SN482" s="75"/>
      <c r="SO482" s="75"/>
      <c r="SP482" s="75"/>
      <c r="SQ482" s="75"/>
      <c r="SR482" s="75"/>
      <c r="SS482" s="75"/>
      <c r="ST482" s="75"/>
      <c r="SU482" s="75"/>
      <c r="SV482" s="75"/>
      <c r="SW482" s="75"/>
      <c r="SX482" s="75"/>
      <c r="SY482" s="75"/>
      <c r="SZ482" s="75"/>
      <c r="TA482" s="75"/>
      <c r="TB482" s="75"/>
      <c r="TC482" s="75"/>
      <c r="TD482" s="75"/>
      <c r="TE482" s="75"/>
      <c r="TF482" s="75"/>
      <c r="TG482" s="75"/>
      <c r="TH482" s="75"/>
      <c r="TI482" s="75"/>
      <c r="TJ482" s="75"/>
      <c r="TK482" s="75"/>
      <c r="TL482" s="75"/>
      <c r="TM482" s="75"/>
      <c r="TN482" s="75"/>
      <c r="TO482" s="75"/>
      <c r="TP482" s="75"/>
      <c r="TQ482" s="75"/>
      <c r="TR482" s="75"/>
      <c r="TS482" s="75"/>
      <c r="TT482" s="75"/>
      <c r="TU482" s="75"/>
      <c r="TV482" s="75"/>
      <c r="TW482" s="75"/>
      <c r="TX482" s="75"/>
      <c r="TY482" s="75"/>
      <c r="TZ482" s="75"/>
      <c r="UA482" s="75"/>
      <c r="UB482" s="75"/>
      <c r="UC482" s="75"/>
      <c r="UD482" s="75"/>
      <c r="UE482" s="75"/>
      <c r="UF482" s="75"/>
      <c r="UG482" s="75"/>
      <c r="UH482" s="75"/>
      <c r="UI482" s="75"/>
      <c r="UJ482" s="75"/>
      <c r="UK482" s="75"/>
      <c r="UL482" s="75"/>
      <c r="UM482" s="75"/>
      <c r="UN482" s="75"/>
      <c r="UO482" s="75"/>
      <c r="UP482" s="75"/>
      <c r="UQ482" s="75"/>
      <c r="UR482" s="75"/>
      <c r="US482" s="75"/>
      <c r="UT482" s="75"/>
      <c r="UU482" s="75"/>
      <c r="UV482" s="75"/>
      <c r="UW482" s="75"/>
      <c r="UX482" s="75"/>
      <c r="UY482" s="75"/>
      <c r="UZ482" s="75"/>
      <c r="VA482" s="75"/>
      <c r="VB482" s="75"/>
      <c r="VC482" s="75"/>
      <c r="VD482" s="75"/>
      <c r="VE482" s="75"/>
      <c r="VF482" s="75"/>
      <c r="VG482" s="75"/>
      <c r="VH482" s="75"/>
      <c r="VI482" s="75"/>
      <c r="VJ482" s="75"/>
      <c r="VK482" s="75"/>
      <c r="VL482" s="75"/>
      <c r="VM482" s="75"/>
      <c r="VN482" s="75"/>
      <c r="VO482" s="75"/>
      <c r="VP482" s="75"/>
      <c r="VQ482" s="75"/>
      <c r="VR482" s="75"/>
      <c r="VS482" s="75"/>
      <c r="VT482" s="75"/>
      <c r="VU482" s="75"/>
      <c r="VV482" s="75"/>
      <c r="VW482" s="75"/>
      <c r="VX482" s="75"/>
      <c r="VY482" s="75"/>
      <c r="VZ482" s="75"/>
      <c r="WA482" s="75"/>
      <c r="WB482" s="75"/>
      <c r="WC482" s="75"/>
      <c r="WD482" s="75"/>
      <c r="WE482" s="75"/>
      <c r="WF482" s="75"/>
      <c r="WG482" s="75"/>
      <c r="WH482" s="75"/>
      <c r="WI482" s="75"/>
      <c r="WJ482" s="75"/>
      <c r="WK482" s="75"/>
      <c r="WL482" s="75"/>
      <c r="WM482" s="75"/>
      <c r="WN482" s="75"/>
      <c r="WO482" s="75"/>
      <c r="WP482" s="75"/>
      <c r="WQ482" s="75"/>
      <c r="WR482" s="75"/>
      <c r="WS482" s="75"/>
      <c r="WT482" s="75"/>
      <c r="WU482" s="75"/>
      <c r="WV482" s="75"/>
      <c r="WW482" s="75"/>
      <c r="WX482" s="75"/>
      <c r="WY482" s="75"/>
      <c r="WZ482" s="75"/>
      <c r="XA482" s="75"/>
      <c r="XB482" s="75"/>
      <c r="XC482" s="75"/>
      <c r="XD482" s="75"/>
      <c r="XE482" s="75"/>
      <c r="XF482" s="75"/>
      <c r="XG482" s="75"/>
      <c r="XH482" s="75"/>
      <c r="XI482" s="75"/>
      <c r="XJ482" s="75"/>
      <c r="XK482" s="75"/>
      <c r="XL482" s="75"/>
      <c r="XM482" s="75"/>
      <c r="XN482" s="75"/>
      <c r="XO482" s="75"/>
      <c r="XP482" s="75"/>
      <c r="XQ482" s="75"/>
      <c r="XR482" s="75"/>
      <c r="XS482" s="75"/>
      <c r="XT482" s="75"/>
      <c r="XU482" s="75"/>
      <c r="XV482" s="75"/>
      <c r="XW482" s="75"/>
      <c r="XX482" s="75"/>
      <c r="XY482" s="75"/>
      <c r="XZ482" s="75"/>
      <c r="YA482" s="75"/>
      <c r="YB482" s="75"/>
      <c r="YC482" s="75"/>
      <c r="YD482" s="75"/>
      <c r="YE482" s="75"/>
      <c r="YF482" s="75"/>
      <c r="YG482" s="75"/>
      <c r="YH482" s="75"/>
      <c r="YI482" s="75"/>
      <c r="YJ482" s="75"/>
      <c r="YK482" s="75"/>
      <c r="YL482" s="75"/>
      <c r="YM482" s="75"/>
      <c r="YN482" s="75"/>
      <c r="YO482" s="75"/>
      <c r="YP482" s="75"/>
      <c r="YQ482" s="75"/>
      <c r="YR482" s="75"/>
      <c r="YS482" s="75"/>
      <c r="YT482" s="75"/>
      <c r="YU482" s="75"/>
      <c r="YV482" s="75"/>
      <c r="YW482" s="75"/>
      <c r="YX482" s="75"/>
      <c r="YY482" s="75"/>
      <c r="YZ482" s="75"/>
      <c r="ZA482" s="75"/>
      <c r="ZB482" s="75"/>
      <c r="ZC482" s="75"/>
      <c r="ZD482" s="75"/>
      <c r="ZE482" s="75"/>
      <c r="ZF482" s="75"/>
      <c r="ZG482" s="75"/>
      <c r="ZH482" s="75"/>
      <c r="ZI482" s="75"/>
      <c r="ZJ482" s="75"/>
      <c r="ZK482" s="75"/>
      <c r="ZL482" s="75"/>
      <c r="ZM482" s="75"/>
      <c r="ZN482" s="75"/>
      <c r="ZO482" s="75"/>
      <c r="ZP482" s="75"/>
      <c r="ZQ482" s="75"/>
      <c r="ZR482" s="75"/>
      <c r="ZS482" s="75"/>
      <c r="ZT482" s="75"/>
      <c r="ZU482" s="75"/>
      <c r="ZV482" s="75"/>
      <c r="ZW482" s="75"/>
      <c r="ZX482" s="75"/>
      <c r="ZY482" s="75"/>
      <c r="ZZ482" s="75"/>
      <c r="AAA482" s="75"/>
      <c r="AAB482" s="75"/>
      <c r="AAC482" s="75"/>
      <c r="AAD482" s="75"/>
      <c r="AAE482" s="75"/>
      <c r="AAF482" s="75"/>
      <c r="AAG482" s="75"/>
      <c r="AAH482" s="75"/>
      <c r="AAI482" s="75"/>
      <c r="AAJ482" s="75"/>
      <c r="AAK482" s="75"/>
      <c r="AAL482" s="75"/>
      <c r="AAM482" s="75"/>
      <c r="AAN482" s="75"/>
      <c r="AAO482" s="75"/>
      <c r="AAP482" s="75"/>
      <c r="AAQ482" s="75"/>
      <c r="AAR482" s="75"/>
      <c r="AAS482" s="75"/>
      <c r="AAT482" s="75"/>
      <c r="AAU482" s="75"/>
      <c r="AAV482" s="75"/>
      <c r="AAW482" s="75"/>
      <c r="AAX482" s="75"/>
      <c r="AAY482" s="75"/>
      <c r="AAZ482" s="75"/>
      <c r="ABA482" s="75"/>
      <c r="ABB482" s="75"/>
      <c r="ABC482" s="75"/>
      <c r="ABD482" s="75"/>
      <c r="ABE482" s="75"/>
      <c r="ABF482" s="75"/>
      <c r="ABG482" s="75"/>
      <c r="ABH482" s="75"/>
      <c r="ABI482" s="75"/>
      <c r="ABJ482" s="75"/>
      <c r="ABK482" s="75"/>
      <c r="ABL482" s="75"/>
      <c r="ABM482" s="75"/>
      <c r="ABN482" s="75"/>
      <c r="ABO482" s="75"/>
      <c r="ABP482" s="75"/>
      <c r="ABQ482" s="75"/>
      <c r="ABR482" s="75"/>
      <c r="ABS482" s="75"/>
      <c r="ABT482" s="75"/>
      <c r="ABU482" s="75"/>
      <c r="ABV482" s="75"/>
      <c r="ABW482" s="75"/>
      <c r="ABX482" s="75"/>
      <c r="ABY482" s="75"/>
      <c r="ABZ482" s="75"/>
      <c r="ACA482" s="75"/>
      <c r="ACB482" s="75"/>
      <c r="ACC482" s="75"/>
      <c r="ACD482" s="75"/>
      <c r="ACE482" s="75"/>
      <c r="ACF482" s="75"/>
      <c r="ACG482" s="75"/>
      <c r="ACH482" s="75"/>
      <c r="ACI482" s="75"/>
      <c r="ACJ482" s="75"/>
      <c r="ACK482" s="75"/>
      <c r="ACL482" s="75"/>
      <c r="ACM482" s="75"/>
      <c r="ACN482" s="75"/>
      <c r="ACO482" s="75"/>
      <c r="ACP482" s="75"/>
      <c r="ACQ482" s="75"/>
      <c r="ACR482" s="75"/>
      <c r="ACS482" s="75"/>
      <c r="ACT482" s="75"/>
      <c r="ACU482" s="75"/>
      <c r="ACV482" s="75"/>
      <c r="ACW482" s="75"/>
      <c r="ACX482" s="75"/>
      <c r="ACY482" s="75"/>
      <c r="ACZ482" s="75"/>
      <c r="ADA482" s="75"/>
      <c r="ADB482" s="75"/>
      <c r="ADC482" s="75"/>
      <c r="ADD482" s="75"/>
      <c r="ADE482" s="75"/>
      <c r="ADF482" s="75"/>
      <c r="ADG482" s="75"/>
      <c r="ADH482" s="75"/>
      <c r="ADI482" s="75"/>
      <c r="ADJ482" s="75"/>
      <c r="ADK482" s="75"/>
      <c r="ADL482" s="75"/>
      <c r="ADM482" s="75"/>
      <c r="ADN482" s="75"/>
      <c r="ADO482" s="75"/>
      <c r="ADP482" s="75"/>
      <c r="ADQ482" s="75"/>
      <c r="ADR482" s="75"/>
      <c r="ADS482" s="75"/>
      <c r="ADT482" s="75"/>
      <c r="ADU482" s="75"/>
      <c r="ADV482" s="75"/>
      <c r="ADW482" s="75"/>
      <c r="ADX482" s="75"/>
      <c r="ADY482" s="75"/>
      <c r="ADZ482" s="75"/>
      <c r="AEA482" s="75"/>
      <c r="AEB482" s="75"/>
      <c r="AEC482" s="75"/>
      <c r="AED482" s="75"/>
      <c r="AEE482" s="75"/>
      <c r="AEF482" s="75"/>
      <c r="AEG482" s="75"/>
      <c r="AEH482" s="75"/>
      <c r="AEI482" s="75"/>
      <c r="AEJ482" s="75"/>
      <c r="AEK482" s="75"/>
      <c r="AEL482" s="75"/>
      <c r="AEM482" s="75"/>
      <c r="AEN482" s="75"/>
      <c r="AEO482" s="75"/>
      <c r="AEP482" s="75"/>
      <c r="AEQ482" s="75"/>
      <c r="AER482" s="75"/>
      <c r="AES482" s="75"/>
      <c r="AET482" s="75"/>
      <c r="AEU482" s="75"/>
      <c r="AEV482" s="75"/>
      <c r="AEW482" s="75"/>
      <c r="AEX482" s="75"/>
      <c r="AEY482" s="75"/>
      <c r="AEZ482" s="75"/>
      <c r="AFA482" s="75"/>
      <c r="AFB482" s="75"/>
      <c r="AFC482" s="75"/>
      <c r="AFD482" s="75"/>
      <c r="AFE482" s="75"/>
      <c r="AFF482" s="75"/>
      <c r="AFG482" s="75"/>
      <c r="AFH482" s="75"/>
      <c r="AFI482" s="75"/>
      <c r="AFJ482" s="75"/>
      <c r="AFK482" s="75"/>
      <c r="AFL482" s="75"/>
      <c r="AFM482" s="75"/>
      <c r="AFN482" s="75"/>
      <c r="AFO482" s="75"/>
      <c r="AFP482" s="75"/>
      <c r="AFQ482" s="75"/>
      <c r="AFR482" s="75"/>
      <c r="AFS482" s="75"/>
      <c r="AFT482" s="75"/>
      <c r="AFU482" s="75"/>
      <c r="AFV482" s="75"/>
      <c r="AFW482" s="75"/>
      <c r="AFX482" s="75"/>
      <c r="AFY482" s="75"/>
      <c r="AFZ482" s="75"/>
      <c r="AGA482" s="75"/>
      <c r="AGB482" s="75"/>
      <c r="AGC482" s="75"/>
      <c r="AGD482" s="75"/>
      <c r="AGE482" s="75"/>
      <c r="AGF482" s="75"/>
      <c r="AGG482" s="75"/>
      <c r="AGH482" s="75"/>
      <c r="AGI482" s="75"/>
      <c r="AGJ482" s="75"/>
      <c r="AGK482" s="75"/>
      <c r="AGL482" s="75"/>
      <c r="AGM482" s="75"/>
      <c r="AGN482" s="75"/>
      <c r="AGO482" s="75"/>
      <c r="AGP482" s="75"/>
      <c r="AGQ482" s="75"/>
      <c r="AGR482" s="75"/>
      <c r="AGS482" s="75"/>
      <c r="AGT482" s="75"/>
      <c r="AGU482" s="75"/>
      <c r="AGV482" s="75"/>
      <c r="AGW482" s="75"/>
      <c r="AGX482" s="75"/>
      <c r="AGY482" s="75"/>
      <c r="AGZ482" s="75"/>
      <c r="AHA482" s="75"/>
      <c r="AHB482" s="75"/>
      <c r="AHC482" s="75"/>
      <c r="AHD482" s="75"/>
      <c r="AHE482" s="75"/>
      <c r="AHF482" s="75"/>
      <c r="AHG482" s="75"/>
      <c r="AHH482" s="75"/>
      <c r="AHI482" s="75"/>
      <c r="AHJ482" s="75"/>
      <c r="AHK482" s="75"/>
      <c r="AHL482" s="75"/>
      <c r="AHM482" s="75"/>
      <c r="AHN482" s="75"/>
      <c r="AHO482" s="75"/>
      <c r="AHP482" s="75"/>
      <c r="AHQ482" s="75"/>
      <c r="AHR482" s="75"/>
      <c r="AHS482" s="75"/>
      <c r="AHT482" s="75"/>
      <c r="AHU482" s="75"/>
      <c r="AHV482" s="75"/>
      <c r="AHW482" s="75"/>
      <c r="AHX482" s="75"/>
      <c r="AHY482" s="75"/>
      <c r="AHZ482" s="75"/>
      <c r="AIA482" s="75"/>
      <c r="AIB482" s="75"/>
      <c r="AIC482" s="75"/>
      <c r="AID482" s="75"/>
      <c r="AIE482" s="75"/>
      <c r="AIF482" s="75"/>
      <c r="AIG482" s="75"/>
      <c r="AIH482" s="75"/>
      <c r="AII482" s="75"/>
      <c r="AIJ482" s="75"/>
      <c r="AIK482" s="75"/>
      <c r="AIL482" s="75"/>
      <c r="AIM482" s="75"/>
      <c r="AIN482" s="75"/>
      <c r="AIO482" s="75"/>
      <c r="AIP482" s="75"/>
      <c r="AIQ482" s="75"/>
      <c r="AIR482" s="75"/>
      <c r="AIS482" s="75"/>
      <c r="AIT482" s="75"/>
      <c r="AIU482" s="75"/>
      <c r="AIV482" s="75"/>
      <c r="AIW482" s="75"/>
      <c r="AIX482" s="75"/>
      <c r="AIY482" s="75"/>
      <c r="AIZ482" s="75"/>
      <c r="AJA482" s="75"/>
      <c r="AJB482" s="75"/>
      <c r="AJC482" s="75"/>
      <c r="AJD482" s="75"/>
      <c r="AJE482" s="75"/>
      <c r="AJF482" s="75"/>
      <c r="AJG482" s="75"/>
      <c r="AJH482" s="75"/>
      <c r="AJI482" s="75"/>
      <c r="AJJ482" s="75"/>
      <c r="AJK482" s="75"/>
      <c r="AJL482" s="75"/>
      <c r="AJM482" s="75"/>
      <c r="AJN482" s="75"/>
      <c r="AJO482" s="75"/>
      <c r="AJP482" s="75"/>
      <c r="AJQ482" s="75"/>
      <c r="AJR482" s="75"/>
      <c r="AJS482" s="75"/>
      <c r="AJT482" s="75"/>
      <c r="AJU482" s="75"/>
      <c r="AJV482" s="75"/>
      <c r="AJW482" s="75"/>
      <c r="AJX482" s="75"/>
      <c r="AJY482" s="75"/>
      <c r="AJZ482" s="75"/>
      <c r="AKA482" s="75"/>
      <c r="AKB482" s="75"/>
      <c r="AKC482" s="75"/>
      <c r="AKD482" s="75"/>
      <c r="AKE482" s="75"/>
      <c r="AKF482" s="75"/>
      <c r="AKG482" s="75"/>
      <c r="AKH482" s="75"/>
      <c r="AKI482" s="75"/>
      <c r="AKJ482" s="75"/>
      <c r="AKK482" s="75"/>
      <c r="AKL482" s="75"/>
      <c r="AKM482" s="75"/>
      <c r="AKN482" s="75"/>
      <c r="AKO482" s="75"/>
      <c r="AKP482" s="75"/>
      <c r="AKQ482" s="75"/>
      <c r="AKR482" s="75"/>
      <c r="AKS482" s="75"/>
      <c r="AKT482" s="75"/>
      <c r="AKU482" s="75"/>
      <c r="AKV482" s="75"/>
      <c r="AKW482" s="75"/>
      <c r="AKX482" s="75"/>
      <c r="AKY482" s="75"/>
      <c r="AKZ482" s="75"/>
      <c r="ALA482" s="75"/>
      <c r="ALB482" s="75"/>
      <c r="ALC482" s="75"/>
      <c r="ALD482" s="75"/>
      <c r="ALE482" s="75"/>
      <c r="ALF482" s="75"/>
      <c r="ALG482" s="75"/>
      <c r="ALH482" s="75"/>
      <c r="ALI482" s="75"/>
      <c r="ALJ482" s="75"/>
      <c r="ALK482" s="75"/>
      <c r="ALL482" s="75"/>
      <c r="ALM482" s="75"/>
      <c r="ALN482" s="75"/>
      <c r="ALO482" s="75"/>
    </row>
    <row r="483" spans="1:1003" s="235" customFormat="1" ht="14.55" customHeight="1" outlineLevel="1" x14ac:dyDescent="0.25">
      <c r="A483" s="230" t="s">
        <v>1422</v>
      </c>
      <c r="B483" s="343" t="str">
        <f>"13.04"</f>
        <v>13.04</v>
      </c>
      <c r="C483" s="75" t="s">
        <v>2152</v>
      </c>
      <c r="D483" s="127" t="s">
        <v>2153</v>
      </c>
      <c r="E483" s="232"/>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c r="AY483" s="75"/>
      <c r="AZ483" s="75"/>
      <c r="BA483" s="75"/>
      <c r="BB483" s="75"/>
      <c r="BC483" s="75"/>
      <c r="BD483" s="75"/>
      <c r="BE483" s="75"/>
      <c r="BF483" s="75"/>
      <c r="BG483" s="75"/>
      <c r="BH483" s="75"/>
      <c r="BI483" s="75"/>
      <c r="BJ483" s="75"/>
      <c r="BK483" s="75"/>
      <c r="BL483" s="75"/>
      <c r="BM483" s="75"/>
      <c r="BN483" s="75"/>
      <c r="BO483" s="75"/>
      <c r="BP483" s="75"/>
      <c r="BQ483" s="75"/>
      <c r="BR483" s="75"/>
      <c r="BS483" s="75"/>
      <c r="BT483" s="75"/>
      <c r="BU483" s="75"/>
      <c r="BV483" s="75"/>
      <c r="BW483" s="75"/>
      <c r="BX483" s="75"/>
      <c r="BY483" s="75"/>
      <c r="BZ483" s="75"/>
      <c r="CA483" s="75"/>
      <c r="CB483" s="75"/>
      <c r="CC483" s="75"/>
      <c r="CD483" s="75"/>
      <c r="CE483" s="75"/>
      <c r="CF483" s="75"/>
      <c r="CG483" s="75"/>
      <c r="CH483" s="75"/>
      <c r="CI483" s="75"/>
      <c r="CJ483" s="75"/>
      <c r="CK483" s="75"/>
      <c r="CL483" s="75"/>
      <c r="CM483" s="75"/>
      <c r="CN483" s="75"/>
      <c r="CO483" s="75"/>
      <c r="CP483" s="75"/>
      <c r="CQ483" s="75"/>
      <c r="CR483" s="75"/>
      <c r="CS483" s="75"/>
      <c r="CT483" s="75"/>
      <c r="CU483" s="75"/>
      <c r="CV483" s="75"/>
      <c r="CW483" s="75"/>
      <c r="CX483" s="75"/>
      <c r="CY483" s="75"/>
      <c r="CZ483" s="75"/>
      <c r="DA483" s="75"/>
      <c r="DB483" s="75"/>
      <c r="DC483" s="75"/>
      <c r="DD483" s="75"/>
      <c r="DE483" s="75"/>
      <c r="DF483" s="75"/>
      <c r="DG483" s="75"/>
      <c r="DH483" s="75"/>
      <c r="DI483" s="75"/>
      <c r="DJ483" s="75"/>
      <c r="DK483" s="75"/>
      <c r="DL483" s="75"/>
      <c r="DM483" s="75"/>
      <c r="DN483" s="75"/>
      <c r="DO483" s="75"/>
      <c r="DP483" s="75"/>
      <c r="DQ483" s="75"/>
      <c r="DR483" s="75"/>
      <c r="DS483" s="75"/>
      <c r="DT483" s="75"/>
      <c r="DU483" s="75"/>
      <c r="DV483" s="75"/>
      <c r="DW483" s="75"/>
      <c r="DX483" s="75"/>
      <c r="DY483" s="75"/>
      <c r="DZ483" s="75"/>
      <c r="EA483" s="75"/>
      <c r="EB483" s="75"/>
      <c r="EC483" s="75"/>
      <c r="ED483" s="75"/>
      <c r="EE483" s="75"/>
      <c r="EF483" s="75"/>
      <c r="EG483" s="75"/>
      <c r="EH483" s="75"/>
      <c r="EI483" s="75"/>
      <c r="EJ483" s="75"/>
      <c r="EK483" s="75"/>
      <c r="EL483" s="75"/>
      <c r="EM483" s="75"/>
      <c r="EN483" s="75"/>
      <c r="EO483" s="75"/>
      <c r="EP483" s="75"/>
      <c r="EQ483" s="75"/>
      <c r="ER483" s="75"/>
      <c r="ES483" s="75"/>
      <c r="ET483" s="75"/>
      <c r="EU483" s="75"/>
      <c r="EV483" s="75"/>
      <c r="EW483" s="75"/>
      <c r="EX483" s="75"/>
      <c r="EY483" s="75"/>
      <c r="EZ483" s="75"/>
      <c r="FA483" s="75"/>
      <c r="FB483" s="75"/>
      <c r="FC483" s="75"/>
      <c r="FD483" s="75"/>
      <c r="FE483" s="75"/>
      <c r="FF483" s="75"/>
      <c r="FG483" s="75"/>
      <c r="FH483" s="75"/>
      <c r="FI483" s="75"/>
      <c r="FJ483" s="75"/>
      <c r="FK483" s="75"/>
      <c r="FL483" s="75"/>
      <c r="FM483" s="75"/>
      <c r="FN483" s="75"/>
      <c r="FO483" s="75"/>
      <c r="FP483" s="75"/>
      <c r="FQ483" s="75"/>
      <c r="FR483" s="75"/>
      <c r="FS483" s="75"/>
      <c r="FT483" s="75"/>
      <c r="FU483" s="75"/>
      <c r="FV483" s="75"/>
      <c r="FW483" s="75"/>
      <c r="FX483" s="75"/>
      <c r="FY483" s="75"/>
      <c r="FZ483" s="75"/>
      <c r="GA483" s="75"/>
      <c r="GB483" s="75"/>
      <c r="GC483" s="75"/>
      <c r="GD483" s="75"/>
      <c r="GE483" s="75"/>
      <c r="GF483" s="75"/>
      <c r="GG483" s="75"/>
      <c r="GH483" s="75"/>
      <c r="GI483" s="75"/>
      <c r="GJ483" s="75"/>
      <c r="GK483" s="75"/>
      <c r="GL483" s="75"/>
      <c r="GM483" s="75"/>
      <c r="GN483" s="75"/>
      <c r="GO483" s="75"/>
      <c r="GP483" s="75"/>
      <c r="GQ483" s="75"/>
      <c r="GR483" s="75"/>
      <c r="GS483" s="75"/>
      <c r="GT483" s="75"/>
      <c r="GU483" s="75"/>
      <c r="GV483" s="75"/>
      <c r="GW483" s="75"/>
      <c r="GX483" s="75"/>
      <c r="GY483" s="75"/>
      <c r="GZ483" s="75"/>
      <c r="HA483" s="75"/>
      <c r="HB483" s="75"/>
      <c r="HC483" s="75"/>
      <c r="HD483" s="75"/>
      <c r="HE483" s="75"/>
      <c r="HF483" s="75"/>
      <c r="HG483" s="75"/>
      <c r="HH483" s="75"/>
      <c r="HI483" s="75"/>
      <c r="HJ483" s="75"/>
      <c r="HK483" s="75"/>
      <c r="HL483" s="75"/>
      <c r="HM483" s="75"/>
      <c r="HN483" s="75"/>
      <c r="HO483" s="75"/>
      <c r="HP483" s="75"/>
      <c r="HQ483" s="75"/>
      <c r="HR483" s="75"/>
      <c r="HS483" s="75"/>
      <c r="HT483" s="75"/>
      <c r="HU483" s="75"/>
      <c r="HV483" s="75"/>
      <c r="HW483" s="75"/>
      <c r="HX483" s="75"/>
      <c r="HY483" s="75"/>
      <c r="HZ483" s="75"/>
      <c r="IA483" s="75"/>
      <c r="IB483" s="75"/>
      <c r="IC483" s="75"/>
      <c r="ID483" s="75"/>
      <c r="IE483" s="75"/>
      <c r="IF483" s="75"/>
      <c r="IG483" s="75"/>
      <c r="IH483" s="75"/>
      <c r="II483" s="75"/>
      <c r="IJ483" s="75"/>
      <c r="IK483" s="75"/>
      <c r="IL483" s="75"/>
      <c r="IM483" s="75"/>
      <c r="IN483" s="75"/>
      <c r="IO483" s="75"/>
      <c r="IP483" s="75"/>
      <c r="IQ483" s="75"/>
      <c r="IR483" s="75"/>
      <c r="IS483" s="75"/>
      <c r="IT483" s="75"/>
      <c r="IU483" s="75"/>
      <c r="IV483" s="75"/>
      <c r="IW483" s="75"/>
      <c r="IX483" s="75"/>
      <c r="IY483" s="75"/>
      <c r="IZ483" s="75"/>
      <c r="JA483" s="75"/>
      <c r="JB483" s="75"/>
      <c r="JC483" s="75"/>
      <c r="JD483" s="75"/>
      <c r="JE483" s="75"/>
      <c r="JF483" s="75"/>
      <c r="JG483" s="75"/>
      <c r="JH483" s="75"/>
      <c r="JI483" s="75"/>
      <c r="JJ483" s="75"/>
      <c r="JK483" s="75"/>
      <c r="JL483" s="75"/>
      <c r="JM483" s="75"/>
      <c r="JN483" s="75"/>
      <c r="JO483" s="75"/>
      <c r="JP483" s="75"/>
      <c r="JQ483" s="75"/>
      <c r="JR483" s="75"/>
      <c r="JS483" s="75"/>
      <c r="JT483" s="75"/>
      <c r="JU483" s="75"/>
      <c r="JV483" s="75"/>
      <c r="JW483" s="75"/>
      <c r="JX483" s="75"/>
      <c r="JY483" s="75"/>
      <c r="JZ483" s="75"/>
      <c r="KA483" s="75"/>
      <c r="KB483" s="75"/>
      <c r="KC483" s="75"/>
      <c r="KD483" s="75"/>
      <c r="KE483" s="75"/>
      <c r="KF483" s="75"/>
      <c r="KG483" s="75"/>
      <c r="KH483" s="75"/>
      <c r="KI483" s="75"/>
      <c r="KJ483" s="75"/>
      <c r="KK483" s="75"/>
      <c r="KL483" s="75"/>
      <c r="KM483" s="75"/>
      <c r="KN483" s="75"/>
      <c r="KO483" s="75"/>
      <c r="KP483" s="75"/>
      <c r="KQ483" s="75"/>
      <c r="KR483" s="75"/>
      <c r="KS483" s="75"/>
      <c r="KT483" s="75"/>
      <c r="KU483" s="75"/>
      <c r="KV483" s="75"/>
      <c r="KW483" s="75"/>
      <c r="KX483" s="75"/>
      <c r="KY483" s="75"/>
      <c r="KZ483" s="75"/>
      <c r="LA483" s="75"/>
      <c r="LB483" s="75"/>
      <c r="LC483" s="75"/>
      <c r="LD483" s="75"/>
      <c r="LE483" s="75"/>
      <c r="LF483" s="75"/>
      <c r="LG483" s="75"/>
      <c r="LH483" s="75"/>
      <c r="LI483" s="75"/>
      <c r="LJ483" s="75"/>
      <c r="LK483" s="75"/>
      <c r="LL483" s="75"/>
      <c r="LM483" s="75"/>
      <c r="LN483" s="75"/>
      <c r="LO483" s="75"/>
      <c r="LP483" s="75"/>
      <c r="LQ483" s="75"/>
      <c r="LR483" s="75"/>
      <c r="LS483" s="75"/>
      <c r="LT483" s="75"/>
      <c r="LU483" s="75"/>
      <c r="LV483" s="75"/>
      <c r="LW483" s="75"/>
      <c r="LX483" s="75"/>
      <c r="LY483" s="75"/>
      <c r="LZ483" s="75"/>
      <c r="MA483" s="75"/>
      <c r="MB483" s="75"/>
      <c r="MC483" s="75"/>
      <c r="MD483" s="75"/>
      <c r="ME483" s="75"/>
      <c r="MF483" s="75"/>
      <c r="MG483" s="75"/>
      <c r="MH483" s="75"/>
      <c r="MI483" s="75"/>
      <c r="MJ483" s="75"/>
      <c r="MK483" s="75"/>
      <c r="ML483" s="75"/>
      <c r="MM483" s="75"/>
      <c r="MN483" s="75"/>
      <c r="MO483" s="75"/>
      <c r="MP483" s="75"/>
      <c r="MQ483" s="75"/>
      <c r="MR483" s="75"/>
      <c r="MS483" s="75"/>
      <c r="MT483" s="75"/>
      <c r="MU483" s="75"/>
      <c r="MV483" s="75"/>
      <c r="MW483" s="75"/>
      <c r="MX483" s="75"/>
      <c r="MY483" s="75"/>
      <c r="MZ483" s="75"/>
      <c r="NA483" s="75"/>
      <c r="NB483" s="75"/>
      <c r="NC483" s="75"/>
      <c r="ND483" s="75"/>
      <c r="NE483" s="75"/>
      <c r="NF483" s="75"/>
      <c r="NG483" s="75"/>
      <c r="NH483" s="75"/>
      <c r="NI483" s="75"/>
      <c r="NJ483" s="75"/>
      <c r="NK483" s="75"/>
      <c r="NL483" s="75"/>
      <c r="NM483" s="75"/>
      <c r="NN483" s="75"/>
      <c r="NO483" s="75"/>
      <c r="NP483" s="75"/>
      <c r="NQ483" s="75"/>
      <c r="NR483" s="75"/>
      <c r="NS483" s="75"/>
      <c r="NT483" s="75"/>
      <c r="NU483" s="75"/>
      <c r="NV483" s="75"/>
      <c r="NW483" s="75"/>
      <c r="NX483" s="75"/>
      <c r="NY483" s="75"/>
      <c r="NZ483" s="75"/>
      <c r="OA483" s="75"/>
      <c r="OB483" s="75"/>
      <c r="OC483" s="75"/>
      <c r="OD483" s="75"/>
      <c r="OE483" s="75"/>
      <c r="OF483" s="75"/>
      <c r="OG483" s="75"/>
      <c r="OH483" s="75"/>
      <c r="OI483" s="75"/>
      <c r="OJ483" s="75"/>
      <c r="OK483" s="75"/>
      <c r="OL483" s="75"/>
      <c r="OM483" s="75"/>
      <c r="ON483" s="75"/>
      <c r="OO483" s="75"/>
      <c r="OP483" s="75"/>
      <c r="OQ483" s="75"/>
      <c r="OR483" s="75"/>
      <c r="OS483" s="75"/>
      <c r="OT483" s="75"/>
      <c r="OU483" s="75"/>
      <c r="OV483" s="75"/>
      <c r="OW483" s="75"/>
      <c r="OX483" s="75"/>
      <c r="OY483" s="75"/>
      <c r="OZ483" s="75"/>
      <c r="PA483" s="75"/>
      <c r="PB483" s="75"/>
      <c r="PC483" s="75"/>
      <c r="PD483" s="75"/>
      <c r="PE483" s="75"/>
      <c r="PF483" s="75"/>
      <c r="PG483" s="75"/>
      <c r="PH483" s="75"/>
      <c r="PI483" s="75"/>
      <c r="PJ483" s="75"/>
      <c r="PK483" s="75"/>
      <c r="PL483" s="75"/>
      <c r="PM483" s="75"/>
      <c r="PN483" s="75"/>
      <c r="PO483" s="75"/>
      <c r="PP483" s="75"/>
      <c r="PQ483" s="75"/>
      <c r="PR483" s="75"/>
      <c r="PS483" s="75"/>
      <c r="PT483" s="75"/>
      <c r="PU483" s="75"/>
      <c r="PV483" s="75"/>
      <c r="PW483" s="75"/>
      <c r="PX483" s="75"/>
      <c r="PY483" s="75"/>
      <c r="PZ483" s="75"/>
      <c r="QA483" s="75"/>
      <c r="QB483" s="75"/>
      <c r="QC483" s="75"/>
      <c r="QD483" s="75"/>
      <c r="QE483" s="75"/>
      <c r="QF483" s="75"/>
      <c r="QG483" s="75"/>
      <c r="QH483" s="75"/>
      <c r="QI483" s="75"/>
      <c r="QJ483" s="75"/>
      <c r="QK483" s="75"/>
      <c r="QL483" s="75"/>
      <c r="QM483" s="75"/>
      <c r="QN483" s="75"/>
      <c r="QO483" s="75"/>
      <c r="QP483" s="75"/>
      <c r="QQ483" s="75"/>
      <c r="QR483" s="75"/>
      <c r="QS483" s="75"/>
      <c r="QT483" s="75"/>
      <c r="QU483" s="75"/>
      <c r="QV483" s="75"/>
      <c r="QW483" s="75"/>
      <c r="QX483" s="75"/>
      <c r="QY483" s="75"/>
      <c r="QZ483" s="75"/>
      <c r="RA483" s="75"/>
      <c r="RB483" s="75"/>
      <c r="RC483" s="75"/>
      <c r="RD483" s="75"/>
      <c r="RE483" s="75"/>
      <c r="RF483" s="75"/>
      <c r="RG483" s="75"/>
      <c r="RH483" s="75"/>
      <c r="RI483" s="75"/>
      <c r="RJ483" s="75"/>
      <c r="RK483" s="75"/>
      <c r="RL483" s="75"/>
      <c r="RM483" s="75"/>
      <c r="RN483" s="75"/>
      <c r="RO483" s="75"/>
      <c r="RP483" s="75"/>
      <c r="RQ483" s="75"/>
      <c r="RR483" s="75"/>
      <c r="RS483" s="75"/>
      <c r="RT483" s="75"/>
      <c r="RU483" s="75"/>
      <c r="RV483" s="75"/>
      <c r="RW483" s="75"/>
      <c r="RX483" s="75"/>
      <c r="RY483" s="75"/>
      <c r="RZ483" s="75"/>
      <c r="SA483" s="75"/>
      <c r="SB483" s="75"/>
      <c r="SC483" s="75"/>
      <c r="SD483" s="75"/>
      <c r="SE483" s="75"/>
      <c r="SF483" s="75"/>
      <c r="SG483" s="75"/>
      <c r="SH483" s="75"/>
      <c r="SI483" s="75"/>
      <c r="SJ483" s="75"/>
      <c r="SK483" s="75"/>
      <c r="SL483" s="75"/>
      <c r="SM483" s="75"/>
      <c r="SN483" s="75"/>
      <c r="SO483" s="75"/>
      <c r="SP483" s="75"/>
      <c r="SQ483" s="75"/>
      <c r="SR483" s="75"/>
      <c r="SS483" s="75"/>
      <c r="ST483" s="75"/>
      <c r="SU483" s="75"/>
      <c r="SV483" s="75"/>
      <c r="SW483" s="75"/>
      <c r="SX483" s="75"/>
      <c r="SY483" s="75"/>
      <c r="SZ483" s="75"/>
      <c r="TA483" s="75"/>
      <c r="TB483" s="75"/>
      <c r="TC483" s="75"/>
      <c r="TD483" s="75"/>
      <c r="TE483" s="75"/>
      <c r="TF483" s="75"/>
      <c r="TG483" s="75"/>
      <c r="TH483" s="75"/>
      <c r="TI483" s="75"/>
      <c r="TJ483" s="75"/>
      <c r="TK483" s="75"/>
      <c r="TL483" s="75"/>
      <c r="TM483" s="75"/>
      <c r="TN483" s="75"/>
      <c r="TO483" s="75"/>
      <c r="TP483" s="75"/>
      <c r="TQ483" s="75"/>
      <c r="TR483" s="75"/>
      <c r="TS483" s="75"/>
      <c r="TT483" s="75"/>
      <c r="TU483" s="75"/>
      <c r="TV483" s="75"/>
      <c r="TW483" s="75"/>
      <c r="TX483" s="75"/>
      <c r="TY483" s="75"/>
      <c r="TZ483" s="75"/>
      <c r="UA483" s="75"/>
      <c r="UB483" s="75"/>
      <c r="UC483" s="75"/>
      <c r="UD483" s="75"/>
      <c r="UE483" s="75"/>
      <c r="UF483" s="75"/>
      <c r="UG483" s="75"/>
      <c r="UH483" s="75"/>
      <c r="UI483" s="75"/>
      <c r="UJ483" s="75"/>
      <c r="UK483" s="75"/>
      <c r="UL483" s="75"/>
      <c r="UM483" s="75"/>
      <c r="UN483" s="75"/>
      <c r="UO483" s="75"/>
      <c r="UP483" s="75"/>
      <c r="UQ483" s="75"/>
      <c r="UR483" s="75"/>
      <c r="US483" s="75"/>
      <c r="UT483" s="75"/>
      <c r="UU483" s="75"/>
      <c r="UV483" s="75"/>
      <c r="UW483" s="75"/>
      <c r="UX483" s="75"/>
      <c r="UY483" s="75"/>
      <c r="UZ483" s="75"/>
      <c r="VA483" s="75"/>
      <c r="VB483" s="75"/>
      <c r="VC483" s="75"/>
      <c r="VD483" s="75"/>
      <c r="VE483" s="75"/>
      <c r="VF483" s="75"/>
      <c r="VG483" s="75"/>
      <c r="VH483" s="75"/>
      <c r="VI483" s="75"/>
      <c r="VJ483" s="75"/>
      <c r="VK483" s="75"/>
      <c r="VL483" s="75"/>
      <c r="VM483" s="75"/>
      <c r="VN483" s="75"/>
      <c r="VO483" s="75"/>
      <c r="VP483" s="75"/>
      <c r="VQ483" s="75"/>
      <c r="VR483" s="75"/>
      <c r="VS483" s="75"/>
      <c r="VT483" s="75"/>
      <c r="VU483" s="75"/>
      <c r="VV483" s="75"/>
      <c r="VW483" s="75"/>
      <c r="VX483" s="75"/>
      <c r="VY483" s="75"/>
      <c r="VZ483" s="75"/>
      <c r="WA483" s="75"/>
      <c r="WB483" s="75"/>
      <c r="WC483" s="75"/>
      <c r="WD483" s="75"/>
      <c r="WE483" s="75"/>
      <c r="WF483" s="75"/>
      <c r="WG483" s="75"/>
      <c r="WH483" s="75"/>
      <c r="WI483" s="75"/>
      <c r="WJ483" s="75"/>
      <c r="WK483" s="75"/>
      <c r="WL483" s="75"/>
      <c r="WM483" s="75"/>
      <c r="WN483" s="75"/>
      <c r="WO483" s="75"/>
      <c r="WP483" s="75"/>
      <c r="WQ483" s="75"/>
      <c r="WR483" s="75"/>
      <c r="WS483" s="75"/>
      <c r="WT483" s="75"/>
      <c r="WU483" s="75"/>
      <c r="WV483" s="75"/>
      <c r="WW483" s="75"/>
      <c r="WX483" s="75"/>
      <c r="WY483" s="75"/>
      <c r="WZ483" s="75"/>
      <c r="XA483" s="75"/>
      <c r="XB483" s="75"/>
      <c r="XC483" s="75"/>
      <c r="XD483" s="75"/>
      <c r="XE483" s="75"/>
      <c r="XF483" s="75"/>
      <c r="XG483" s="75"/>
      <c r="XH483" s="75"/>
      <c r="XI483" s="75"/>
      <c r="XJ483" s="75"/>
      <c r="XK483" s="75"/>
      <c r="XL483" s="75"/>
      <c r="XM483" s="75"/>
      <c r="XN483" s="75"/>
      <c r="XO483" s="75"/>
      <c r="XP483" s="75"/>
      <c r="XQ483" s="75"/>
      <c r="XR483" s="75"/>
      <c r="XS483" s="75"/>
      <c r="XT483" s="75"/>
      <c r="XU483" s="75"/>
      <c r="XV483" s="75"/>
      <c r="XW483" s="75"/>
      <c r="XX483" s="75"/>
      <c r="XY483" s="75"/>
      <c r="XZ483" s="75"/>
      <c r="YA483" s="75"/>
      <c r="YB483" s="75"/>
      <c r="YC483" s="75"/>
      <c r="YD483" s="75"/>
      <c r="YE483" s="75"/>
      <c r="YF483" s="75"/>
      <c r="YG483" s="75"/>
      <c r="YH483" s="75"/>
      <c r="YI483" s="75"/>
      <c r="YJ483" s="75"/>
      <c r="YK483" s="75"/>
      <c r="YL483" s="75"/>
      <c r="YM483" s="75"/>
      <c r="YN483" s="75"/>
      <c r="YO483" s="75"/>
      <c r="YP483" s="75"/>
      <c r="YQ483" s="75"/>
      <c r="YR483" s="75"/>
      <c r="YS483" s="75"/>
      <c r="YT483" s="75"/>
      <c r="YU483" s="75"/>
      <c r="YV483" s="75"/>
      <c r="YW483" s="75"/>
      <c r="YX483" s="75"/>
      <c r="YY483" s="75"/>
      <c r="YZ483" s="75"/>
      <c r="ZA483" s="75"/>
      <c r="ZB483" s="75"/>
      <c r="ZC483" s="75"/>
      <c r="ZD483" s="75"/>
      <c r="ZE483" s="75"/>
      <c r="ZF483" s="75"/>
      <c r="ZG483" s="75"/>
      <c r="ZH483" s="75"/>
      <c r="ZI483" s="75"/>
      <c r="ZJ483" s="75"/>
      <c r="ZK483" s="75"/>
      <c r="ZL483" s="75"/>
      <c r="ZM483" s="75"/>
      <c r="ZN483" s="75"/>
      <c r="ZO483" s="75"/>
      <c r="ZP483" s="75"/>
      <c r="ZQ483" s="75"/>
      <c r="ZR483" s="75"/>
      <c r="ZS483" s="75"/>
      <c r="ZT483" s="75"/>
      <c r="ZU483" s="75"/>
      <c r="ZV483" s="75"/>
      <c r="ZW483" s="75"/>
      <c r="ZX483" s="75"/>
      <c r="ZY483" s="75"/>
      <c r="ZZ483" s="75"/>
      <c r="AAA483" s="75"/>
      <c r="AAB483" s="75"/>
      <c r="AAC483" s="75"/>
      <c r="AAD483" s="75"/>
      <c r="AAE483" s="75"/>
      <c r="AAF483" s="75"/>
      <c r="AAG483" s="75"/>
      <c r="AAH483" s="75"/>
      <c r="AAI483" s="75"/>
      <c r="AAJ483" s="75"/>
      <c r="AAK483" s="75"/>
      <c r="AAL483" s="75"/>
      <c r="AAM483" s="75"/>
      <c r="AAN483" s="75"/>
      <c r="AAO483" s="75"/>
      <c r="AAP483" s="75"/>
      <c r="AAQ483" s="75"/>
      <c r="AAR483" s="75"/>
      <c r="AAS483" s="75"/>
      <c r="AAT483" s="75"/>
      <c r="AAU483" s="75"/>
      <c r="AAV483" s="75"/>
      <c r="AAW483" s="75"/>
      <c r="AAX483" s="75"/>
      <c r="AAY483" s="75"/>
      <c r="AAZ483" s="75"/>
      <c r="ABA483" s="75"/>
      <c r="ABB483" s="75"/>
      <c r="ABC483" s="75"/>
      <c r="ABD483" s="75"/>
      <c r="ABE483" s="75"/>
      <c r="ABF483" s="75"/>
      <c r="ABG483" s="75"/>
      <c r="ABH483" s="75"/>
      <c r="ABI483" s="75"/>
      <c r="ABJ483" s="75"/>
      <c r="ABK483" s="75"/>
      <c r="ABL483" s="75"/>
      <c r="ABM483" s="75"/>
      <c r="ABN483" s="75"/>
      <c r="ABO483" s="75"/>
      <c r="ABP483" s="75"/>
      <c r="ABQ483" s="75"/>
      <c r="ABR483" s="75"/>
      <c r="ABS483" s="75"/>
      <c r="ABT483" s="75"/>
      <c r="ABU483" s="75"/>
      <c r="ABV483" s="75"/>
      <c r="ABW483" s="75"/>
      <c r="ABX483" s="75"/>
      <c r="ABY483" s="75"/>
      <c r="ABZ483" s="75"/>
      <c r="ACA483" s="75"/>
      <c r="ACB483" s="75"/>
      <c r="ACC483" s="75"/>
      <c r="ACD483" s="75"/>
      <c r="ACE483" s="75"/>
      <c r="ACF483" s="75"/>
      <c r="ACG483" s="75"/>
      <c r="ACH483" s="75"/>
      <c r="ACI483" s="75"/>
      <c r="ACJ483" s="75"/>
      <c r="ACK483" s="75"/>
      <c r="ACL483" s="75"/>
      <c r="ACM483" s="75"/>
      <c r="ACN483" s="75"/>
      <c r="ACO483" s="75"/>
      <c r="ACP483" s="75"/>
      <c r="ACQ483" s="75"/>
      <c r="ACR483" s="75"/>
      <c r="ACS483" s="75"/>
      <c r="ACT483" s="75"/>
      <c r="ACU483" s="75"/>
      <c r="ACV483" s="75"/>
      <c r="ACW483" s="75"/>
      <c r="ACX483" s="75"/>
      <c r="ACY483" s="75"/>
      <c r="ACZ483" s="75"/>
      <c r="ADA483" s="75"/>
      <c r="ADB483" s="75"/>
      <c r="ADC483" s="75"/>
      <c r="ADD483" s="75"/>
      <c r="ADE483" s="75"/>
      <c r="ADF483" s="75"/>
      <c r="ADG483" s="75"/>
      <c r="ADH483" s="75"/>
      <c r="ADI483" s="75"/>
      <c r="ADJ483" s="75"/>
      <c r="ADK483" s="75"/>
      <c r="ADL483" s="75"/>
      <c r="ADM483" s="75"/>
      <c r="ADN483" s="75"/>
      <c r="ADO483" s="75"/>
      <c r="ADP483" s="75"/>
      <c r="ADQ483" s="75"/>
      <c r="ADR483" s="75"/>
      <c r="ADS483" s="75"/>
      <c r="ADT483" s="75"/>
      <c r="ADU483" s="75"/>
      <c r="ADV483" s="75"/>
      <c r="ADW483" s="75"/>
      <c r="ADX483" s="75"/>
      <c r="ADY483" s="75"/>
      <c r="ADZ483" s="75"/>
      <c r="AEA483" s="75"/>
      <c r="AEB483" s="75"/>
      <c r="AEC483" s="75"/>
      <c r="AED483" s="75"/>
      <c r="AEE483" s="75"/>
      <c r="AEF483" s="75"/>
      <c r="AEG483" s="75"/>
      <c r="AEH483" s="75"/>
      <c r="AEI483" s="75"/>
      <c r="AEJ483" s="75"/>
      <c r="AEK483" s="75"/>
      <c r="AEL483" s="75"/>
      <c r="AEM483" s="75"/>
      <c r="AEN483" s="75"/>
      <c r="AEO483" s="75"/>
      <c r="AEP483" s="75"/>
      <c r="AEQ483" s="75"/>
      <c r="AER483" s="75"/>
      <c r="AES483" s="75"/>
      <c r="AET483" s="75"/>
      <c r="AEU483" s="75"/>
      <c r="AEV483" s="75"/>
      <c r="AEW483" s="75"/>
      <c r="AEX483" s="75"/>
      <c r="AEY483" s="75"/>
      <c r="AEZ483" s="75"/>
      <c r="AFA483" s="75"/>
      <c r="AFB483" s="75"/>
      <c r="AFC483" s="75"/>
      <c r="AFD483" s="75"/>
      <c r="AFE483" s="75"/>
      <c r="AFF483" s="75"/>
      <c r="AFG483" s="75"/>
      <c r="AFH483" s="75"/>
      <c r="AFI483" s="75"/>
      <c r="AFJ483" s="75"/>
      <c r="AFK483" s="75"/>
      <c r="AFL483" s="75"/>
      <c r="AFM483" s="75"/>
      <c r="AFN483" s="75"/>
      <c r="AFO483" s="75"/>
      <c r="AFP483" s="75"/>
      <c r="AFQ483" s="75"/>
      <c r="AFR483" s="75"/>
      <c r="AFS483" s="75"/>
      <c r="AFT483" s="75"/>
      <c r="AFU483" s="75"/>
      <c r="AFV483" s="75"/>
      <c r="AFW483" s="75"/>
      <c r="AFX483" s="75"/>
      <c r="AFY483" s="75"/>
      <c r="AFZ483" s="75"/>
      <c r="AGA483" s="75"/>
      <c r="AGB483" s="75"/>
      <c r="AGC483" s="75"/>
      <c r="AGD483" s="75"/>
      <c r="AGE483" s="75"/>
      <c r="AGF483" s="75"/>
      <c r="AGG483" s="75"/>
      <c r="AGH483" s="75"/>
      <c r="AGI483" s="75"/>
      <c r="AGJ483" s="75"/>
      <c r="AGK483" s="75"/>
      <c r="AGL483" s="75"/>
      <c r="AGM483" s="75"/>
      <c r="AGN483" s="75"/>
      <c r="AGO483" s="75"/>
      <c r="AGP483" s="75"/>
      <c r="AGQ483" s="75"/>
      <c r="AGR483" s="75"/>
      <c r="AGS483" s="75"/>
      <c r="AGT483" s="75"/>
      <c r="AGU483" s="75"/>
      <c r="AGV483" s="75"/>
      <c r="AGW483" s="75"/>
      <c r="AGX483" s="75"/>
      <c r="AGY483" s="75"/>
      <c r="AGZ483" s="75"/>
      <c r="AHA483" s="75"/>
      <c r="AHB483" s="75"/>
      <c r="AHC483" s="75"/>
      <c r="AHD483" s="75"/>
      <c r="AHE483" s="75"/>
      <c r="AHF483" s="75"/>
      <c r="AHG483" s="75"/>
      <c r="AHH483" s="75"/>
      <c r="AHI483" s="75"/>
      <c r="AHJ483" s="75"/>
      <c r="AHK483" s="75"/>
      <c r="AHL483" s="75"/>
      <c r="AHM483" s="75"/>
      <c r="AHN483" s="75"/>
      <c r="AHO483" s="75"/>
      <c r="AHP483" s="75"/>
      <c r="AHQ483" s="75"/>
      <c r="AHR483" s="75"/>
      <c r="AHS483" s="75"/>
      <c r="AHT483" s="75"/>
      <c r="AHU483" s="75"/>
      <c r="AHV483" s="75"/>
      <c r="AHW483" s="75"/>
      <c r="AHX483" s="75"/>
      <c r="AHY483" s="75"/>
      <c r="AHZ483" s="75"/>
      <c r="AIA483" s="75"/>
      <c r="AIB483" s="75"/>
      <c r="AIC483" s="75"/>
      <c r="AID483" s="75"/>
      <c r="AIE483" s="75"/>
      <c r="AIF483" s="75"/>
      <c r="AIG483" s="75"/>
      <c r="AIH483" s="75"/>
      <c r="AII483" s="75"/>
      <c r="AIJ483" s="75"/>
      <c r="AIK483" s="75"/>
      <c r="AIL483" s="75"/>
      <c r="AIM483" s="75"/>
      <c r="AIN483" s="75"/>
      <c r="AIO483" s="75"/>
      <c r="AIP483" s="75"/>
      <c r="AIQ483" s="75"/>
      <c r="AIR483" s="75"/>
      <c r="AIS483" s="75"/>
      <c r="AIT483" s="75"/>
      <c r="AIU483" s="75"/>
      <c r="AIV483" s="75"/>
      <c r="AIW483" s="75"/>
      <c r="AIX483" s="75"/>
      <c r="AIY483" s="75"/>
      <c r="AIZ483" s="75"/>
      <c r="AJA483" s="75"/>
      <c r="AJB483" s="75"/>
      <c r="AJC483" s="75"/>
      <c r="AJD483" s="75"/>
      <c r="AJE483" s="75"/>
      <c r="AJF483" s="75"/>
      <c r="AJG483" s="75"/>
      <c r="AJH483" s="75"/>
      <c r="AJI483" s="75"/>
      <c r="AJJ483" s="75"/>
      <c r="AJK483" s="75"/>
      <c r="AJL483" s="75"/>
      <c r="AJM483" s="75"/>
      <c r="AJN483" s="75"/>
      <c r="AJO483" s="75"/>
      <c r="AJP483" s="75"/>
      <c r="AJQ483" s="75"/>
      <c r="AJR483" s="75"/>
      <c r="AJS483" s="75"/>
      <c r="AJT483" s="75"/>
      <c r="AJU483" s="75"/>
      <c r="AJV483" s="75"/>
      <c r="AJW483" s="75"/>
      <c r="AJX483" s="75"/>
      <c r="AJY483" s="75"/>
      <c r="AJZ483" s="75"/>
      <c r="AKA483" s="75"/>
      <c r="AKB483" s="75"/>
      <c r="AKC483" s="75"/>
      <c r="AKD483" s="75"/>
      <c r="AKE483" s="75"/>
      <c r="AKF483" s="75"/>
      <c r="AKG483" s="75"/>
      <c r="AKH483" s="75"/>
      <c r="AKI483" s="75"/>
      <c r="AKJ483" s="75"/>
      <c r="AKK483" s="75"/>
      <c r="AKL483" s="75"/>
      <c r="AKM483" s="75"/>
      <c r="AKN483" s="75"/>
      <c r="AKO483" s="75"/>
      <c r="AKP483" s="75"/>
      <c r="AKQ483" s="75"/>
      <c r="AKR483" s="75"/>
      <c r="AKS483" s="75"/>
      <c r="AKT483" s="75"/>
      <c r="AKU483" s="75"/>
      <c r="AKV483" s="75"/>
      <c r="AKW483" s="75"/>
      <c r="AKX483" s="75"/>
      <c r="AKY483" s="75"/>
      <c r="AKZ483" s="75"/>
      <c r="ALA483" s="75"/>
      <c r="ALB483" s="75"/>
      <c r="ALC483" s="75"/>
      <c r="ALD483" s="75"/>
      <c r="ALE483" s="75"/>
      <c r="ALF483" s="75"/>
      <c r="ALG483" s="75"/>
      <c r="ALH483" s="75"/>
      <c r="ALI483" s="75"/>
      <c r="ALJ483" s="75"/>
      <c r="ALK483" s="75"/>
      <c r="ALL483" s="75"/>
      <c r="ALM483" s="75"/>
      <c r="ALN483" s="75"/>
      <c r="ALO483" s="75"/>
    </row>
    <row r="484" spans="1:1003" s="235" customFormat="1" ht="14.55" customHeight="1" outlineLevel="1" x14ac:dyDescent="0.25">
      <c r="A484" s="230" t="s">
        <v>1422</v>
      </c>
      <c r="B484" s="343" t="str">
        <f>"13.0401"</f>
        <v>13.0401</v>
      </c>
      <c r="C484" s="75" t="s">
        <v>2154</v>
      </c>
      <c r="D484" s="127" t="s">
        <v>2155</v>
      </c>
      <c r="E484" s="232"/>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c r="AY484" s="75"/>
      <c r="AZ484" s="75"/>
      <c r="BA484" s="75"/>
      <c r="BB484" s="75"/>
      <c r="BC484" s="75"/>
      <c r="BD484" s="75"/>
      <c r="BE484" s="75"/>
      <c r="BF484" s="75"/>
      <c r="BG484" s="75"/>
      <c r="BH484" s="75"/>
      <c r="BI484" s="75"/>
      <c r="BJ484" s="75"/>
      <c r="BK484" s="75"/>
      <c r="BL484" s="75"/>
      <c r="BM484" s="75"/>
      <c r="BN484" s="75"/>
      <c r="BO484" s="75"/>
      <c r="BP484" s="75"/>
      <c r="BQ484" s="75"/>
      <c r="BR484" s="75"/>
      <c r="BS484" s="75"/>
      <c r="BT484" s="75"/>
      <c r="BU484" s="75"/>
      <c r="BV484" s="75"/>
      <c r="BW484" s="75"/>
      <c r="BX484" s="75"/>
      <c r="BY484" s="75"/>
      <c r="BZ484" s="75"/>
      <c r="CA484" s="75"/>
      <c r="CB484" s="75"/>
      <c r="CC484" s="75"/>
      <c r="CD484" s="75"/>
      <c r="CE484" s="75"/>
      <c r="CF484" s="75"/>
      <c r="CG484" s="75"/>
      <c r="CH484" s="75"/>
      <c r="CI484" s="75"/>
      <c r="CJ484" s="75"/>
      <c r="CK484" s="75"/>
      <c r="CL484" s="75"/>
      <c r="CM484" s="75"/>
      <c r="CN484" s="75"/>
      <c r="CO484" s="75"/>
      <c r="CP484" s="75"/>
      <c r="CQ484" s="75"/>
      <c r="CR484" s="75"/>
      <c r="CS484" s="75"/>
      <c r="CT484" s="75"/>
      <c r="CU484" s="75"/>
      <c r="CV484" s="75"/>
      <c r="CW484" s="75"/>
      <c r="CX484" s="75"/>
      <c r="CY484" s="75"/>
      <c r="CZ484" s="75"/>
      <c r="DA484" s="75"/>
      <c r="DB484" s="75"/>
      <c r="DC484" s="75"/>
      <c r="DD484" s="75"/>
      <c r="DE484" s="75"/>
      <c r="DF484" s="75"/>
      <c r="DG484" s="75"/>
      <c r="DH484" s="75"/>
      <c r="DI484" s="75"/>
      <c r="DJ484" s="75"/>
      <c r="DK484" s="75"/>
      <c r="DL484" s="75"/>
      <c r="DM484" s="75"/>
      <c r="DN484" s="75"/>
      <c r="DO484" s="75"/>
      <c r="DP484" s="75"/>
      <c r="DQ484" s="75"/>
      <c r="DR484" s="75"/>
      <c r="DS484" s="75"/>
      <c r="DT484" s="75"/>
      <c r="DU484" s="75"/>
      <c r="DV484" s="75"/>
      <c r="DW484" s="75"/>
      <c r="DX484" s="75"/>
      <c r="DY484" s="75"/>
      <c r="DZ484" s="75"/>
      <c r="EA484" s="75"/>
      <c r="EB484" s="75"/>
      <c r="EC484" s="75"/>
      <c r="ED484" s="75"/>
      <c r="EE484" s="75"/>
      <c r="EF484" s="75"/>
      <c r="EG484" s="75"/>
      <c r="EH484" s="75"/>
      <c r="EI484" s="75"/>
      <c r="EJ484" s="75"/>
      <c r="EK484" s="75"/>
      <c r="EL484" s="75"/>
      <c r="EM484" s="75"/>
      <c r="EN484" s="75"/>
      <c r="EO484" s="75"/>
      <c r="EP484" s="75"/>
      <c r="EQ484" s="75"/>
      <c r="ER484" s="75"/>
      <c r="ES484" s="75"/>
      <c r="ET484" s="75"/>
      <c r="EU484" s="75"/>
      <c r="EV484" s="75"/>
      <c r="EW484" s="75"/>
      <c r="EX484" s="75"/>
      <c r="EY484" s="75"/>
      <c r="EZ484" s="75"/>
      <c r="FA484" s="75"/>
      <c r="FB484" s="75"/>
      <c r="FC484" s="75"/>
      <c r="FD484" s="75"/>
      <c r="FE484" s="75"/>
      <c r="FF484" s="75"/>
      <c r="FG484" s="75"/>
      <c r="FH484" s="75"/>
      <c r="FI484" s="75"/>
      <c r="FJ484" s="75"/>
      <c r="FK484" s="75"/>
      <c r="FL484" s="75"/>
      <c r="FM484" s="75"/>
      <c r="FN484" s="75"/>
      <c r="FO484" s="75"/>
      <c r="FP484" s="75"/>
      <c r="FQ484" s="75"/>
      <c r="FR484" s="75"/>
      <c r="FS484" s="75"/>
      <c r="FT484" s="75"/>
      <c r="FU484" s="75"/>
      <c r="FV484" s="75"/>
      <c r="FW484" s="75"/>
      <c r="FX484" s="75"/>
      <c r="FY484" s="75"/>
      <c r="FZ484" s="75"/>
      <c r="GA484" s="75"/>
      <c r="GB484" s="75"/>
      <c r="GC484" s="75"/>
      <c r="GD484" s="75"/>
      <c r="GE484" s="75"/>
      <c r="GF484" s="75"/>
      <c r="GG484" s="75"/>
      <c r="GH484" s="75"/>
      <c r="GI484" s="75"/>
      <c r="GJ484" s="75"/>
      <c r="GK484" s="75"/>
      <c r="GL484" s="75"/>
      <c r="GM484" s="75"/>
      <c r="GN484" s="75"/>
      <c r="GO484" s="75"/>
      <c r="GP484" s="75"/>
      <c r="GQ484" s="75"/>
      <c r="GR484" s="75"/>
      <c r="GS484" s="75"/>
      <c r="GT484" s="75"/>
      <c r="GU484" s="75"/>
      <c r="GV484" s="75"/>
      <c r="GW484" s="75"/>
      <c r="GX484" s="75"/>
      <c r="GY484" s="75"/>
      <c r="GZ484" s="75"/>
      <c r="HA484" s="75"/>
      <c r="HB484" s="75"/>
      <c r="HC484" s="75"/>
      <c r="HD484" s="75"/>
      <c r="HE484" s="75"/>
      <c r="HF484" s="75"/>
      <c r="HG484" s="75"/>
      <c r="HH484" s="75"/>
      <c r="HI484" s="75"/>
      <c r="HJ484" s="75"/>
      <c r="HK484" s="75"/>
      <c r="HL484" s="75"/>
      <c r="HM484" s="75"/>
      <c r="HN484" s="75"/>
      <c r="HO484" s="75"/>
      <c r="HP484" s="75"/>
      <c r="HQ484" s="75"/>
      <c r="HR484" s="75"/>
      <c r="HS484" s="75"/>
      <c r="HT484" s="75"/>
      <c r="HU484" s="75"/>
      <c r="HV484" s="75"/>
      <c r="HW484" s="75"/>
      <c r="HX484" s="75"/>
      <c r="HY484" s="75"/>
      <c r="HZ484" s="75"/>
      <c r="IA484" s="75"/>
      <c r="IB484" s="75"/>
      <c r="IC484" s="75"/>
      <c r="ID484" s="75"/>
      <c r="IE484" s="75"/>
      <c r="IF484" s="75"/>
      <c r="IG484" s="75"/>
      <c r="IH484" s="75"/>
      <c r="II484" s="75"/>
      <c r="IJ484" s="75"/>
      <c r="IK484" s="75"/>
      <c r="IL484" s="75"/>
      <c r="IM484" s="75"/>
      <c r="IN484" s="75"/>
      <c r="IO484" s="75"/>
      <c r="IP484" s="75"/>
      <c r="IQ484" s="75"/>
      <c r="IR484" s="75"/>
      <c r="IS484" s="75"/>
      <c r="IT484" s="75"/>
      <c r="IU484" s="75"/>
      <c r="IV484" s="75"/>
      <c r="IW484" s="75"/>
      <c r="IX484" s="75"/>
      <c r="IY484" s="75"/>
      <c r="IZ484" s="75"/>
      <c r="JA484" s="75"/>
      <c r="JB484" s="75"/>
      <c r="JC484" s="75"/>
      <c r="JD484" s="75"/>
      <c r="JE484" s="75"/>
      <c r="JF484" s="75"/>
      <c r="JG484" s="75"/>
      <c r="JH484" s="75"/>
      <c r="JI484" s="75"/>
      <c r="JJ484" s="75"/>
      <c r="JK484" s="75"/>
      <c r="JL484" s="75"/>
      <c r="JM484" s="75"/>
      <c r="JN484" s="75"/>
      <c r="JO484" s="75"/>
      <c r="JP484" s="75"/>
      <c r="JQ484" s="75"/>
      <c r="JR484" s="75"/>
      <c r="JS484" s="75"/>
      <c r="JT484" s="75"/>
      <c r="JU484" s="75"/>
      <c r="JV484" s="75"/>
      <c r="JW484" s="75"/>
      <c r="JX484" s="75"/>
      <c r="JY484" s="75"/>
      <c r="JZ484" s="75"/>
      <c r="KA484" s="75"/>
      <c r="KB484" s="75"/>
      <c r="KC484" s="75"/>
      <c r="KD484" s="75"/>
      <c r="KE484" s="75"/>
      <c r="KF484" s="75"/>
      <c r="KG484" s="75"/>
      <c r="KH484" s="75"/>
      <c r="KI484" s="75"/>
      <c r="KJ484" s="75"/>
      <c r="KK484" s="75"/>
      <c r="KL484" s="75"/>
      <c r="KM484" s="75"/>
      <c r="KN484" s="75"/>
      <c r="KO484" s="75"/>
      <c r="KP484" s="75"/>
      <c r="KQ484" s="75"/>
      <c r="KR484" s="75"/>
      <c r="KS484" s="75"/>
      <c r="KT484" s="75"/>
      <c r="KU484" s="75"/>
      <c r="KV484" s="75"/>
      <c r="KW484" s="75"/>
      <c r="KX484" s="75"/>
      <c r="KY484" s="75"/>
      <c r="KZ484" s="75"/>
      <c r="LA484" s="75"/>
      <c r="LB484" s="75"/>
      <c r="LC484" s="75"/>
      <c r="LD484" s="75"/>
      <c r="LE484" s="75"/>
      <c r="LF484" s="75"/>
      <c r="LG484" s="75"/>
      <c r="LH484" s="75"/>
      <c r="LI484" s="75"/>
      <c r="LJ484" s="75"/>
      <c r="LK484" s="75"/>
      <c r="LL484" s="75"/>
      <c r="LM484" s="75"/>
      <c r="LN484" s="75"/>
      <c r="LO484" s="75"/>
      <c r="LP484" s="75"/>
      <c r="LQ484" s="75"/>
      <c r="LR484" s="75"/>
      <c r="LS484" s="75"/>
      <c r="LT484" s="75"/>
      <c r="LU484" s="75"/>
      <c r="LV484" s="75"/>
      <c r="LW484" s="75"/>
      <c r="LX484" s="75"/>
      <c r="LY484" s="75"/>
      <c r="LZ484" s="75"/>
      <c r="MA484" s="75"/>
      <c r="MB484" s="75"/>
      <c r="MC484" s="75"/>
      <c r="MD484" s="75"/>
      <c r="ME484" s="75"/>
      <c r="MF484" s="75"/>
      <c r="MG484" s="75"/>
      <c r="MH484" s="75"/>
      <c r="MI484" s="75"/>
      <c r="MJ484" s="75"/>
      <c r="MK484" s="75"/>
      <c r="ML484" s="75"/>
      <c r="MM484" s="75"/>
      <c r="MN484" s="75"/>
      <c r="MO484" s="75"/>
      <c r="MP484" s="75"/>
      <c r="MQ484" s="75"/>
      <c r="MR484" s="75"/>
      <c r="MS484" s="75"/>
      <c r="MT484" s="75"/>
      <c r="MU484" s="75"/>
      <c r="MV484" s="75"/>
      <c r="MW484" s="75"/>
      <c r="MX484" s="75"/>
      <c r="MY484" s="75"/>
      <c r="MZ484" s="75"/>
      <c r="NA484" s="75"/>
      <c r="NB484" s="75"/>
      <c r="NC484" s="75"/>
      <c r="ND484" s="75"/>
      <c r="NE484" s="75"/>
      <c r="NF484" s="75"/>
      <c r="NG484" s="75"/>
      <c r="NH484" s="75"/>
      <c r="NI484" s="75"/>
      <c r="NJ484" s="75"/>
      <c r="NK484" s="75"/>
      <c r="NL484" s="75"/>
      <c r="NM484" s="75"/>
      <c r="NN484" s="75"/>
      <c r="NO484" s="75"/>
      <c r="NP484" s="75"/>
      <c r="NQ484" s="75"/>
      <c r="NR484" s="75"/>
      <c r="NS484" s="75"/>
      <c r="NT484" s="75"/>
      <c r="NU484" s="75"/>
      <c r="NV484" s="75"/>
      <c r="NW484" s="75"/>
      <c r="NX484" s="75"/>
      <c r="NY484" s="75"/>
      <c r="NZ484" s="75"/>
      <c r="OA484" s="75"/>
      <c r="OB484" s="75"/>
      <c r="OC484" s="75"/>
      <c r="OD484" s="75"/>
      <c r="OE484" s="75"/>
      <c r="OF484" s="75"/>
      <c r="OG484" s="75"/>
      <c r="OH484" s="75"/>
      <c r="OI484" s="75"/>
      <c r="OJ484" s="75"/>
      <c r="OK484" s="75"/>
      <c r="OL484" s="75"/>
      <c r="OM484" s="75"/>
      <c r="ON484" s="75"/>
      <c r="OO484" s="75"/>
      <c r="OP484" s="75"/>
      <c r="OQ484" s="75"/>
      <c r="OR484" s="75"/>
      <c r="OS484" s="75"/>
      <c r="OT484" s="75"/>
      <c r="OU484" s="75"/>
      <c r="OV484" s="75"/>
      <c r="OW484" s="75"/>
      <c r="OX484" s="75"/>
      <c r="OY484" s="75"/>
      <c r="OZ484" s="75"/>
      <c r="PA484" s="75"/>
      <c r="PB484" s="75"/>
      <c r="PC484" s="75"/>
      <c r="PD484" s="75"/>
      <c r="PE484" s="75"/>
      <c r="PF484" s="75"/>
      <c r="PG484" s="75"/>
      <c r="PH484" s="75"/>
      <c r="PI484" s="75"/>
      <c r="PJ484" s="75"/>
      <c r="PK484" s="75"/>
      <c r="PL484" s="75"/>
      <c r="PM484" s="75"/>
      <c r="PN484" s="75"/>
      <c r="PO484" s="75"/>
      <c r="PP484" s="75"/>
      <c r="PQ484" s="75"/>
      <c r="PR484" s="75"/>
      <c r="PS484" s="75"/>
      <c r="PT484" s="75"/>
      <c r="PU484" s="75"/>
      <c r="PV484" s="75"/>
      <c r="PW484" s="75"/>
      <c r="PX484" s="75"/>
      <c r="PY484" s="75"/>
      <c r="PZ484" s="75"/>
      <c r="QA484" s="75"/>
      <c r="QB484" s="75"/>
      <c r="QC484" s="75"/>
      <c r="QD484" s="75"/>
      <c r="QE484" s="75"/>
      <c r="QF484" s="75"/>
      <c r="QG484" s="75"/>
      <c r="QH484" s="75"/>
      <c r="QI484" s="75"/>
      <c r="QJ484" s="75"/>
      <c r="QK484" s="75"/>
      <c r="QL484" s="75"/>
      <c r="QM484" s="75"/>
      <c r="QN484" s="75"/>
      <c r="QO484" s="75"/>
      <c r="QP484" s="75"/>
      <c r="QQ484" s="75"/>
      <c r="QR484" s="75"/>
      <c r="QS484" s="75"/>
      <c r="QT484" s="75"/>
      <c r="QU484" s="75"/>
      <c r="QV484" s="75"/>
      <c r="QW484" s="75"/>
      <c r="QX484" s="75"/>
      <c r="QY484" s="75"/>
      <c r="QZ484" s="75"/>
      <c r="RA484" s="75"/>
      <c r="RB484" s="75"/>
      <c r="RC484" s="75"/>
      <c r="RD484" s="75"/>
      <c r="RE484" s="75"/>
      <c r="RF484" s="75"/>
      <c r="RG484" s="75"/>
      <c r="RH484" s="75"/>
      <c r="RI484" s="75"/>
      <c r="RJ484" s="75"/>
      <c r="RK484" s="75"/>
      <c r="RL484" s="75"/>
      <c r="RM484" s="75"/>
      <c r="RN484" s="75"/>
      <c r="RO484" s="75"/>
      <c r="RP484" s="75"/>
      <c r="RQ484" s="75"/>
      <c r="RR484" s="75"/>
      <c r="RS484" s="75"/>
      <c r="RT484" s="75"/>
      <c r="RU484" s="75"/>
      <c r="RV484" s="75"/>
      <c r="RW484" s="75"/>
      <c r="RX484" s="75"/>
      <c r="RY484" s="75"/>
      <c r="RZ484" s="75"/>
      <c r="SA484" s="75"/>
      <c r="SB484" s="75"/>
      <c r="SC484" s="75"/>
      <c r="SD484" s="75"/>
      <c r="SE484" s="75"/>
      <c r="SF484" s="75"/>
      <c r="SG484" s="75"/>
      <c r="SH484" s="75"/>
      <c r="SI484" s="75"/>
      <c r="SJ484" s="75"/>
      <c r="SK484" s="75"/>
      <c r="SL484" s="75"/>
      <c r="SM484" s="75"/>
      <c r="SN484" s="75"/>
      <c r="SO484" s="75"/>
      <c r="SP484" s="75"/>
      <c r="SQ484" s="75"/>
      <c r="SR484" s="75"/>
      <c r="SS484" s="75"/>
      <c r="ST484" s="75"/>
      <c r="SU484" s="75"/>
      <c r="SV484" s="75"/>
      <c r="SW484" s="75"/>
      <c r="SX484" s="75"/>
      <c r="SY484" s="75"/>
      <c r="SZ484" s="75"/>
      <c r="TA484" s="75"/>
      <c r="TB484" s="75"/>
      <c r="TC484" s="75"/>
      <c r="TD484" s="75"/>
      <c r="TE484" s="75"/>
      <c r="TF484" s="75"/>
      <c r="TG484" s="75"/>
      <c r="TH484" s="75"/>
      <c r="TI484" s="75"/>
      <c r="TJ484" s="75"/>
      <c r="TK484" s="75"/>
      <c r="TL484" s="75"/>
      <c r="TM484" s="75"/>
      <c r="TN484" s="75"/>
      <c r="TO484" s="75"/>
      <c r="TP484" s="75"/>
      <c r="TQ484" s="75"/>
      <c r="TR484" s="75"/>
      <c r="TS484" s="75"/>
      <c r="TT484" s="75"/>
      <c r="TU484" s="75"/>
      <c r="TV484" s="75"/>
      <c r="TW484" s="75"/>
      <c r="TX484" s="75"/>
      <c r="TY484" s="75"/>
      <c r="TZ484" s="75"/>
      <c r="UA484" s="75"/>
      <c r="UB484" s="75"/>
      <c r="UC484" s="75"/>
      <c r="UD484" s="75"/>
      <c r="UE484" s="75"/>
      <c r="UF484" s="75"/>
      <c r="UG484" s="75"/>
      <c r="UH484" s="75"/>
      <c r="UI484" s="75"/>
      <c r="UJ484" s="75"/>
      <c r="UK484" s="75"/>
      <c r="UL484" s="75"/>
      <c r="UM484" s="75"/>
      <c r="UN484" s="75"/>
      <c r="UO484" s="75"/>
      <c r="UP484" s="75"/>
      <c r="UQ484" s="75"/>
      <c r="UR484" s="75"/>
      <c r="US484" s="75"/>
      <c r="UT484" s="75"/>
      <c r="UU484" s="75"/>
      <c r="UV484" s="75"/>
      <c r="UW484" s="75"/>
      <c r="UX484" s="75"/>
      <c r="UY484" s="75"/>
      <c r="UZ484" s="75"/>
      <c r="VA484" s="75"/>
      <c r="VB484" s="75"/>
      <c r="VC484" s="75"/>
      <c r="VD484" s="75"/>
      <c r="VE484" s="75"/>
      <c r="VF484" s="75"/>
      <c r="VG484" s="75"/>
      <c r="VH484" s="75"/>
      <c r="VI484" s="75"/>
      <c r="VJ484" s="75"/>
      <c r="VK484" s="75"/>
      <c r="VL484" s="75"/>
      <c r="VM484" s="75"/>
      <c r="VN484" s="75"/>
      <c r="VO484" s="75"/>
      <c r="VP484" s="75"/>
      <c r="VQ484" s="75"/>
      <c r="VR484" s="75"/>
      <c r="VS484" s="75"/>
      <c r="VT484" s="75"/>
      <c r="VU484" s="75"/>
      <c r="VV484" s="75"/>
      <c r="VW484" s="75"/>
      <c r="VX484" s="75"/>
      <c r="VY484" s="75"/>
      <c r="VZ484" s="75"/>
      <c r="WA484" s="75"/>
      <c r="WB484" s="75"/>
      <c r="WC484" s="75"/>
      <c r="WD484" s="75"/>
      <c r="WE484" s="75"/>
      <c r="WF484" s="75"/>
      <c r="WG484" s="75"/>
      <c r="WH484" s="75"/>
      <c r="WI484" s="75"/>
      <c r="WJ484" s="75"/>
      <c r="WK484" s="75"/>
      <c r="WL484" s="75"/>
      <c r="WM484" s="75"/>
      <c r="WN484" s="75"/>
      <c r="WO484" s="75"/>
      <c r="WP484" s="75"/>
      <c r="WQ484" s="75"/>
      <c r="WR484" s="75"/>
      <c r="WS484" s="75"/>
      <c r="WT484" s="75"/>
      <c r="WU484" s="75"/>
      <c r="WV484" s="75"/>
      <c r="WW484" s="75"/>
      <c r="WX484" s="75"/>
      <c r="WY484" s="75"/>
      <c r="WZ484" s="75"/>
      <c r="XA484" s="75"/>
      <c r="XB484" s="75"/>
      <c r="XC484" s="75"/>
      <c r="XD484" s="75"/>
      <c r="XE484" s="75"/>
      <c r="XF484" s="75"/>
      <c r="XG484" s="75"/>
      <c r="XH484" s="75"/>
      <c r="XI484" s="75"/>
      <c r="XJ484" s="75"/>
      <c r="XK484" s="75"/>
      <c r="XL484" s="75"/>
      <c r="XM484" s="75"/>
      <c r="XN484" s="75"/>
      <c r="XO484" s="75"/>
      <c r="XP484" s="75"/>
      <c r="XQ484" s="75"/>
      <c r="XR484" s="75"/>
      <c r="XS484" s="75"/>
      <c r="XT484" s="75"/>
      <c r="XU484" s="75"/>
      <c r="XV484" s="75"/>
      <c r="XW484" s="75"/>
      <c r="XX484" s="75"/>
      <c r="XY484" s="75"/>
      <c r="XZ484" s="75"/>
      <c r="YA484" s="75"/>
      <c r="YB484" s="75"/>
      <c r="YC484" s="75"/>
      <c r="YD484" s="75"/>
      <c r="YE484" s="75"/>
      <c r="YF484" s="75"/>
      <c r="YG484" s="75"/>
      <c r="YH484" s="75"/>
      <c r="YI484" s="75"/>
      <c r="YJ484" s="75"/>
      <c r="YK484" s="75"/>
      <c r="YL484" s="75"/>
      <c r="YM484" s="75"/>
      <c r="YN484" s="75"/>
      <c r="YO484" s="75"/>
      <c r="YP484" s="75"/>
      <c r="YQ484" s="75"/>
      <c r="YR484" s="75"/>
      <c r="YS484" s="75"/>
      <c r="YT484" s="75"/>
      <c r="YU484" s="75"/>
      <c r="YV484" s="75"/>
      <c r="YW484" s="75"/>
      <c r="YX484" s="75"/>
      <c r="YY484" s="75"/>
      <c r="YZ484" s="75"/>
      <c r="ZA484" s="75"/>
      <c r="ZB484" s="75"/>
      <c r="ZC484" s="75"/>
      <c r="ZD484" s="75"/>
      <c r="ZE484" s="75"/>
      <c r="ZF484" s="75"/>
      <c r="ZG484" s="75"/>
      <c r="ZH484" s="75"/>
      <c r="ZI484" s="75"/>
      <c r="ZJ484" s="75"/>
      <c r="ZK484" s="75"/>
      <c r="ZL484" s="75"/>
      <c r="ZM484" s="75"/>
      <c r="ZN484" s="75"/>
      <c r="ZO484" s="75"/>
      <c r="ZP484" s="75"/>
      <c r="ZQ484" s="75"/>
      <c r="ZR484" s="75"/>
      <c r="ZS484" s="75"/>
      <c r="ZT484" s="75"/>
      <c r="ZU484" s="75"/>
      <c r="ZV484" s="75"/>
      <c r="ZW484" s="75"/>
      <c r="ZX484" s="75"/>
      <c r="ZY484" s="75"/>
      <c r="ZZ484" s="75"/>
      <c r="AAA484" s="75"/>
      <c r="AAB484" s="75"/>
      <c r="AAC484" s="75"/>
      <c r="AAD484" s="75"/>
      <c r="AAE484" s="75"/>
      <c r="AAF484" s="75"/>
      <c r="AAG484" s="75"/>
      <c r="AAH484" s="75"/>
      <c r="AAI484" s="75"/>
      <c r="AAJ484" s="75"/>
      <c r="AAK484" s="75"/>
      <c r="AAL484" s="75"/>
      <c r="AAM484" s="75"/>
      <c r="AAN484" s="75"/>
      <c r="AAO484" s="75"/>
      <c r="AAP484" s="75"/>
      <c r="AAQ484" s="75"/>
      <c r="AAR484" s="75"/>
      <c r="AAS484" s="75"/>
      <c r="AAT484" s="75"/>
      <c r="AAU484" s="75"/>
      <c r="AAV484" s="75"/>
      <c r="AAW484" s="75"/>
      <c r="AAX484" s="75"/>
      <c r="AAY484" s="75"/>
      <c r="AAZ484" s="75"/>
      <c r="ABA484" s="75"/>
      <c r="ABB484" s="75"/>
      <c r="ABC484" s="75"/>
      <c r="ABD484" s="75"/>
      <c r="ABE484" s="75"/>
      <c r="ABF484" s="75"/>
      <c r="ABG484" s="75"/>
      <c r="ABH484" s="75"/>
      <c r="ABI484" s="75"/>
      <c r="ABJ484" s="75"/>
      <c r="ABK484" s="75"/>
      <c r="ABL484" s="75"/>
      <c r="ABM484" s="75"/>
      <c r="ABN484" s="75"/>
      <c r="ABO484" s="75"/>
      <c r="ABP484" s="75"/>
      <c r="ABQ484" s="75"/>
      <c r="ABR484" s="75"/>
      <c r="ABS484" s="75"/>
      <c r="ABT484" s="75"/>
      <c r="ABU484" s="75"/>
      <c r="ABV484" s="75"/>
      <c r="ABW484" s="75"/>
      <c r="ABX484" s="75"/>
      <c r="ABY484" s="75"/>
      <c r="ABZ484" s="75"/>
      <c r="ACA484" s="75"/>
      <c r="ACB484" s="75"/>
      <c r="ACC484" s="75"/>
      <c r="ACD484" s="75"/>
      <c r="ACE484" s="75"/>
      <c r="ACF484" s="75"/>
      <c r="ACG484" s="75"/>
      <c r="ACH484" s="75"/>
      <c r="ACI484" s="75"/>
      <c r="ACJ484" s="75"/>
      <c r="ACK484" s="75"/>
      <c r="ACL484" s="75"/>
      <c r="ACM484" s="75"/>
      <c r="ACN484" s="75"/>
      <c r="ACO484" s="75"/>
      <c r="ACP484" s="75"/>
      <c r="ACQ484" s="75"/>
      <c r="ACR484" s="75"/>
      <c r="ACS484" s="75"/>
      <c r="ACT484" s="75"/>
      <c r="ACU484" s="75"/>
      <c r="ACV484" s="75"/>
      <c r="ACW484" s="75"/>
      <c r="ACX484" s="75"/>
      <c r="ACY484" s="75"/>
      <c r="ACZ484" s="75"/>
      <c r="ADA484" s="75"/>
      <c r="ADB484" s="75"/>
      <c r="ADC484" s="75"/>
      <c r="ADD484" s="75"/>
      <c r="ADE484" s="75"/>
      <c r="ADF484" s="75"/>
      <c r="ADG484" s="75"/>
      <c r="ADH484" s="75"/>
      <c r="ADI484" s="75"/>
      <c r="ADJ484" s="75"/>
      <c r="ADK484" s="75"/>
      <c r="ADL484" s="75"/>
      <c r="ADM484" s="75"/>
      <c r="ADN484" s="75"/>
      <c r="ADO484" s="75"/>
      <c r="ADP484" s="75"/>
      <c r="ADQ484" s="75"/>
      <c r="ADR484" s="75"/>
      <c r="ADS484" s="75"/>
      <c r="ADT484" s="75"/>
      <c r="ADU484" s="75"/>
      <c r="ADV484" s="75"/>
      <c r="ADW484" s="75"/>
      <c r="ADX484" s="75"/>
      <c r="ADY484" s="75"/>
      <c r="ADZ484" s="75"/>
      <c r="AEA484" s="75"/>
      <c r="AEB484" s="75"/>
      <c r="AEC484" s="75"/>
      <c r="AED484" s="75"/>
      <c r="AEE484" s="75"/>
      <c r="AEF484" s="75"/>
      <c r="AEG484" s="75"/>
      <c r="AEH484" s="75"/>
      <c r="AEI484" s="75"/>
      <c r="AEJ484" s="75"/>
      <c r="AEK484" s="75"/>
      <c r="AEL484" s="75"/>
      <c r="AEM484" s="75"/>
      <c r="AEN484" s="75"/>
      <c r="AEO484" s="75"/>
      <c r="AEP484" s="75"/>
      <c r="AEQ484" s="75"/>
      <c r="AER484" s="75"/>
      <c r="AES484" s="75"/>
      <c r="AET484" s="75"/>
      <c r="AEU484" s="75"/>
      <c r="AEV484" s="75"/>
      <c r="AEW484" s="75"/>
      <c r="AEX484" s="75"/>
      <c r="AEY484" s="75"/>
      <c r="AEZ484" s="75"/>
      <c r="AFA484" s="75"/>
      <c r="AFB484" s="75"/>
      <c r="AFC484" s="75"/>
      <c r="AFD484" s="75"/>
      <c r="AFE484" s="75"/>
      <c r="AFF484" s="75"/>
      <c r="AFG484" s="75"/>
      <c r="AFH484" s="75"/>
      <c r="AFI484" s="75"/>
      <c r="AFJ484" s="75"/>
      <c r="AFK484" s="75"/>
      <c r="AFL484" s="75"/>
      <c r="AFM484" s="75"/>
      <c r="AFN484" s="75"/>
      <c r="AFO484" s="75"/>
      <c r="AFP484" s="75"/>
      <c r="AFQ484" s="75"/>
      <c r="AFR484" s="75"/>
      <c r="AFS484" s="75"/>
      <c r="AFT484" s="75"/>
      <c r="AFU484" s="75"/>
      <c r="AFV484" s="75"/>
      <c r="AFW484" s="75"/>
      <c r="AFX484" s="75"/>
      <c r="AFY484" s="75"/>
      <c r="AFZ484" s="75"/>
      <c r="AGA484" s="75"/>
      <c r="AGB484" s="75"/>
      <c r="AGC484" s="75"/>
      <c r="AGD484" s="75"/>
      <c r="AGE484" s="75"/>
      <c r="AGF484" s="75"/>
      <c r="AGG484" s="75"/>
      <c r="AGH484" s="75"/>
      <c r="AGI484" s="75"/>
      <c r="AGJ484" s="75"/>
      <c r="AGK484" s="75"/>
      <c r="AGL484" s="75"/>
      <c r="AGM484" s="75"/>
      <c r="AGN484" s="75"/>
      <c r="AGO484" s="75"/>
      <c r="AGP484" s="75"/>
      <c r="AGQ484" s="75"/>
      <c r="AGR484" s="75"/>
      <c r="AGS484" s="75"/>
      <c r="AGT484" s="75"/>
      <c r="AGU484" s="75"/>
      <c r="AGV484" s="75"/>
      <c r="AGW484" s="75"/>
      <c r="AGX484" s="75"/>
      <c r="AGY484" s="75"/>
      <c r="AGZ484" s="75"/>
      <c r="AHA484" s="75"/>
      <c r="AHB484" s="75"/>
      <c r="AHC484" s="75"/>
      <c r="AHD484" s="75"/>
      <c r="AHE484" s="75"/>
      <c r="AHF484" s="75"/>
      <c r="AHG484" s="75"/>
      <c r="AHH484" s="75"/>
      <c r="AHI484" s="75"/>
      <c r="AHJ484" s="75"/>
      <c r="AHK484" s="75"/>
      <c r="AHL484" s="75"/>
      <c r="AHM484" s="75"/>
      <c r="AHN484" s="75"/>
      <c r="AHO484" s="75"/>
      <c r="AHP484" s="75"/>
      <c r="AHQ484" s="75"/>
      <c r="AHR484" s="75"/>
      <c r="AHS484" s="75"/>
      <c r="AHT484" s="75"/>
      <c r="AHU484" s="75"/>
      <c r="AHV484" s="75"/>
      <c r="AHW484" s="75"/>
      <c r="AHX484" s="75"/>
      <c r="AHY484" s="75"/>
      <c r="AHZ484" s="75"/>
      <c r="AIA484" s="75"/>
      <c r="AIB484" s="75"/>
      <c r="AIC484" s="75"/>
      <c r="AID484" s="75"/>
      <c r="AIE484" s="75"/>
      <c r="AIF484" s="75"/>
      <c r="AIG484" s="75"/>
      <c r="AIH484" s="75"/>
      <c r="AII484" s="75"/>
      <c r="AIJ484" s="75"/>
      <c r="AIK484" s="75"/>
      <c r="AIL484" s="75"/>
      <c r="AIM484" s="75"/>
      <c r="AIN484" s="75"/>
      <c r="AIO484" s="75"/>
      <c r="AIP484" s="75"/>
      <c r="AIQ484" s="75"/>
      <c r="AIR484" s="75"/>
      <c r="AIS484" s="75"/>
      <c r="AIT484" s="75"/>
      <c r="AIU484" s="75"/>
      <c r="AIV484" s="75"/>
      <c r="AIW484" s="75"/>
      <c r="AIX484" s="75"/>
      <c r="AIY484" s="75"/>
      <c r="AIZ484" s="75"/>
      <c r="AJA484" s="75"/>
      <c r="AJB484" s="75"/>
      <c r="AJC484" s="75"/>
      <c r="AJD484" s="75"/>
      <c r="AJE484" s="75"/>
      <c r="AJF484" s="75"/>
      <c r="AJG484" s="75"/>
      <c r="AJH484" s="75"/>
      <c r="AJI484" s="75"/>
      <c r="AJJ484" s="75"/>
      <c r="AJK484" s="75"/>
      <c r="AJL484" s="75"/>
      <c r="AJM484" s="75"/>
      <c r="AJN484" s="75"/>
      <c r="AJO484" s="75"/>
      <c r="AJP484" s="75"/>
      <c r="AJQ484" s="75"/>
      <c r="AJR484" s="75"/>
      <c r="AJS484" s="75"/>
      <c r="AJT484" s="75"/>
      <c r="AJU484" s="75"/>
      <c r="AJV484" s="75"/>
      <c r="AJW484" s="75"/>
      <c r="AJX484" s="75"/>
      <c r="AJY484" s="75"/>
      <c r="AJZ484" s="75"/>
      <c r="AKA484" s="75"/>
      <c r="AKB484" s="75"/>
      <c r="AKC484" s="75"/>
      <c r="AKD484" s="75"/>
      <c r="AKE484" s="75"/>
      <c r="AKF484" s="75"/>
      <c r="AKG484" s="75"/>
      <c r="AKH484" s="75"/>
      <c r="AKI484" s="75"/>
      <c r="AKJ484" s="75"/>
      <c r="AKK484" s="75"/>
      <c r="AKL484" s="75"/>
      <c r="AKM484" s="75"/>
      <c r="AKN484" s="75"/>
      <c r="AKO484" s="75"/>
      <c r="AKP484" s="75"/>
      <c r="AKQ484" s="75"/>
      <c r="AKR484" s="75"/>
      <c r="AKS484" s="75"/>
      <c r="AKT484" s="75"/>
      <c r="AKU484" s="75"/>
      <c r="AKV484" s="75"/>
      <c r="AKW484" s="75"/>
      <c r="AKX484" s="75"/>
      <c r="AKY484" s="75"/>
      <c r="AKZ484" s="75"/>
      <c r="ALA484" s="75"/>
      <c r="ALB484" s="75"/>
      <c r="ALC484" s="75"/>
      <c r="ALD484" s="75"/>
      <c r="ALE484" s="75"/>
      <c r="ALF484" s="75"/>
      <c r="ALG484" s="75"/>
      <c r="ALH484" s="75"/>
      <c r="ALI484" s="75"/>
      <c r="ALJ484" s="75"/>
      <c r="ALK484" s="75"/>
      <c r="ALL484" s="75"/>
      <c r="ALM484" s="75"/>
      <c r="ALN484" s="75"/>
      <c r="ALO484" s="75"/>
    </row>
    <row r="485" spans="1:1003" s="235" customFormat="1" ht="14.55" customHeight="1" outlineLevel="1" x14ac:dyDescent="0.25">
      <c r="A485" s="230" t="s">
        <v>1422</v>
      </c>
      <c r="B485" s="343" t="str">
        <f>"13.0402"</f>
        <v>13.0402</v>
      </c>
      <c r="C485" s="75" t="s">
        <v>2156</v>
      </c>
      <c r="D485" s="127" t="s">
        <v>2157</v>
      </c>
      <c r="E485" s="232"/>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c r="AY485" s="75"/>
      <c r="AZ485" s="75"/>
      <c r="BA485" s="75"/>
      <c r="BB485" s="75"/>
      <c r="BC485" s="75"/>
      <c r="BD485" s="75"/>
      <c r="BE485" s="75"/>
      <c r="BF485" s="75"/>
      <c r="BG485" s="75"/>
      <c r="BH485" s="75"/>
      <c r="BI485" s="75"/>
      <c r="BJ485" s="75"/>
      <c r="BK485" s="75"/>
      <c r="BL485" s="75"/>
      <c r="BM485" s="75"/>
      <c r="BN485" s="75"/>
      <c r="BO485" s="75"/>
      <c r="BP485" s="75"/>
      <c r="BQ485" s="75"/>
      <c r="BR485" s="75"/>
      <c r="BS485" s="75"/>
      <c r="BT485" s="75"/>
      <c r="BU485" s="75"/>
      <c r="BV485" s="75"/>
      <c r="BW485" s="75"/>
      <c r="BX485" s="75"/>
      <c r="BY485" s="75"/>
      <c r="BZ485" s="75"/>
      <c r="CA485" s="75"/>
      <c r="CB485" s="75"/>
      <c r="CC485" s="75"/>
      <c r="CD485" s="75"/>
      <c r="CE485" s="75"/>
      <c r="CF485" s="75"/>
      <c r="CG485" s="75"/>
      <c r="CH485" s="75"/>
      <c r="CI485" s="75"/>
      <c r="CJ485" s="75"/>
      <c r="CK485" s="75"/>
      <c r="CL485" s="75"/>
      <c r="CM485" s="75"/>
      <c r="CN485" s="75"/>
      <c r="CO485" s="75"/>
      <c r="CP485" s="75"/>
      <c r="CQ485" s="75"/>
      <c r="CR485" s="75"/>
      <c r="CS485" s="75"/>
      <c r="CT485" s="75"/>
      <c r="CU485" s="75"/>
      <c r="CV485" s="75"/>
      <c r="CW485" s="75"/>
      <c r="CX485" s="75"/>
      <c r="CY485" s="75"/>
      <c r="CZ485" s="75"/>
      <c r="DA485" s="75"/>
      <c r="DB485" s="75"/>
      <c r="DC485" s="75"/>
      <c r="DD485" s="75"/>
      <c r="DE485" s="75"/>
      <c r="DF485" s="75"/>
      <c r="DG485" s="75"/>
      <c r="DH485" s="75"/>
      <c r="DI485" s="75"/>
      <c r="DJ485" s="75"/>
      <c r="DK485" s="75"/>
      <c r="DL485" s="75"/>
      <c r="DM485" s="75"/>
      <c r="DN485" s="75"/>
      <c r="DO485" s="75"/>
      <c r="DP485" s="75"/>
      <c r="DQ485" s="75"/>
      <c r="DR485" s="75"/>
      <c r="DS485" s="75"/>
      <c r="DT485" s="75"/>
      <c r="DU485" s="75"/>
      <c r="DV485" s="75"/>
      <c r="DW485" s="75"/>
      <c r="DX485" s="75"/>
      <c r="DY485" s="75"/>
      <c r="DZ485" s="75"/>
      <c r="EA485" s="75"/>
      <c r="EB485" s="75"/>
      <c r="EC485" s="75"/>
      <c r="ED485" s="75"/>
      <c r="EE485" s="75"/>
      <c r="EF485" s="75"/>
      <c r="EG485" s="75"/>
      <c r="EH485" s="75"/>
      <c r="EI485" s="75"/>
      <c r="EJ485" s="75"/>
      <c r="EK485" s="75"/>
      <c r="EL485" s="75"/>
      <c r="EM485" s="75"/>
      <c r="EN485" s="75"/>
      <c r="EO485" s="75"/>
      <c r="EP485" s="75"/>
      <c r="EQ485" s="75"/>
      <c r="ER485" s="75"/>
      <c r="ES485" s="75"/>
      <c r="ET485" s="75"/>
      <c r="EU485" s="75"/>
      <c r="EV485" s="75"/>
      <c r="EW485" s="75"/>
      <c r="EX485" s="75"/>
      <c r="EY485" s="75"/>
      <c r="EZ485" s="75"/>
      <c r="FA485" s="75"/>
      <c r="FB485" s="75"/>
      <c r="FC485" s="75"/>
      <c r="FD485" s="75"/>
      <c r="FE485" s="75"/>
      <c r="FF485" s="75"/>
      <c r="FG485" s="75"/>
      <c r="FH485" s="75"/>
      <c r="FI485" s="75"/>
      <c r="FJ485" s="75"/>
      <c r="FK485" s="75"/>
      <c r="FL485" s="75"/>
      <c r="FM485" s="75"/>
      <c r="FN485" s="75"/>
      <c r="FO485" s="75"/>
      <c r="FP485" s="75"/>
      <c r="FQ485" s="75"/>
      <c r="FR485" s="75"/>
      <c r="FS485" s="75"/>
      <c r="FT485" s="75"/>
      <c r="FU485" s="75"/>
      <c r="FV485" s="75"/>
      <c r="FW485" s="75"/>
      <c r="FX485" s="75"/>
      <c r="FY485" s="75"/>
      <c r="FZ485" s="75"/>
      <c r="GA485" s="75"/>
      <c r="GB485" s="75"/>
      <c r="GC485" s="75"/>
      <c r="GD485" s="75"/>
      <c r="GE485" s="75"/>
      <c r="GF485" s="75"/>
      <c r="GG485" s="75"/>
      <c r="GH485" s="75"/>
      <c r="GI485" s="75"/>
      <c r="GJ485" s="75"/>
      <c r="GK485" s="75"/>
      <c r="GL485" s="75"/>
      <c r="GM485" s="75"/>
      <c r="GN485" s="75"/>
      <c r="GO485" s="75"/>
      <c r="GP485" s="75"/>
      <c r="GQ485" s="75"/>
      <c r="GR485" s="75"/>
      <c r="GS485" s="75"/>
      <c r="GT485" s="75"/>
      <c r="GU485" s="75"/>
      <c r="GV485" s="75"/>
      <c r="GW485" s="75"/>
      <c r="GX485" s="75"/>
      <c r="GY485" s="75"/>
      <c r="GZ485" s="75"/>
      <c r="HA485" s="75"/>
      <c r="HB485" s="75"/>
      <c r="HC485" s="75"/>
      <c r="HD485" s="75"/>
      <c r="HE485" s="75"/>
      <c r="HF485" s="75"/>
      <c r="HG485" s="75"/>
      <c r="HH485" s="75"/>
      <c r="HI485" s="75"/>
      <c r="HJ485" s="75"/>
      <c r="HK485" s="75"/>
      <c r="HL485" s="75"/>
      <c r="HM485" s="75"/>
      <c r="HN485" s="75"/>
      <c r="HO485" s="75"/>
      <c r="HP485" s="75"/>
      <c r="HQ485" s="75"/>
      <c r="HR485" s="75"/>
      <c r="HS485" s="75"/>
      <c r="HT485" s="75"/>
      <c r="HU485" s="75"/>
      <c r="HV485" s="75"/>
      <c r="HW485" s="75"/>
      <c r="HX485" s="75"/>
      <c r="HY485" s="75"/>
      <c r="HZ485" s="75"/>
      <c r="IA485" s="75"/>
      <c r="IB485" s="75"/>
      <c r="IC485" s="75"/>
      <c r="ID485" s="75"/>
      <c r="IE485" s="75"/>
      <c r="IF485" s="75"/>
      <c r="IG485" s="75"/>
      <c r="IH485" s="75"/>
      <c r="II485" s="75"/>
      <c r="IJ485" s="75"/>
      <c r="IK485" s="75"/>
      <c r="IL485" s="75"/>
      <c r="IM485" s="75"/>
      <c r="IN485" s="75"/>
      <c r="IO485" s="75"/>
      <c r="IP485" s="75"/>
      <c r="IQ485" s="75"/>
      <c r="IR485" s="75"/>
      <c r="IS485" s="75"/>
      <c r="IT485" s="75"/>
      <c r="IU485" s="75"/>
      <c r="IV485" s="75"/>
      <c r="IW485" s="75"/>
      <c r="IX485" s="75"/>
      <c r="IY485" s="75"/>
      <c r="IZ485" s="75"/>
      <c r="JA485" s="75"/>
      <c r="JB485" s="75"/>
      <c r="JC485" s="75"/>
      <c r="JD485" s="75"/>
      <c r="JE485" s="75"/>
      <c r="JF485" s="75"/>
      <c r="JG485" s="75"/>
      <c r="JH485" s="75"/>
      <c r="JI485" s="75"/>
      <c r="JJ485" s="75"/>
      <c r="JK485" s="75"/>
      <c r="JL485" s="75"/>
      <c r="JM485" s="75"/>
      <c r="JN485" s="75"/>
      <c r="JO485" s="75"/>
      <c r="JP485" s="75"/>
      <c r="JQ485" s="75"/>
      <c r="JR485" s="75"/>
      <c r="JS485" s="75"/>
      <c r="JT485" s="75"/>
      <c r="JU485" s="75"/>
      <c r="JV485" s="75"/>
      <c r="JW485" s="75"/>
      <c r="JX485" s="75"/>
      <c r="JY485" s="75"/>
      <c r="JZ485" s="75"/>
      <c r="KA485" s="75"/>
      <c r="KB485" s="75"/>
      <c r="KC485" s="75"/>
      <c r="KD485" s="75"/>
      <c r="KE485" s="75"/>
      <c r="KF485" s="75"/>
      <c r="KG485" s="75"/>
      <c r="KH485" s="75"/>
      <c r="KI485" s="75"/>
      <c r="KJ485" s="75"/>
      <c r="KK485" s="75"/>
      <c r="KL485" s="75"/>
      <c r="KM485" s="75"/>
      <c r="KN485" s="75"/>
      <c r="KO485" s="75"/>
      <c r="KP485" s="75"/>
      <c r="KQ485" s="75"/>
      <c r="KR485" s="75"/>
      <c r="KS485" s="75"/>
      <c r="KT485" s="75"/>
      <c r="KU485" s="75"/>
      <c r="KV485" s="75"/>
      <c r="KW485" s="75"/>
      <c r="KX485" s="75"/>
      <c r="KY485" s="75"/>
      <c r="KZ485" s="75"/>
      <c r="LA485" s="75"/>
      <c r="LB485" s="75"/>
      <c r="LC485" s="75"/>
      <c r="LD485" s="75"/>
      <c r="LE485" s="75"/>
      <c r="LF485" s="75"/>
      <c r="LG485" s="75"/>
      <c r="LH485" s="75"/>
      <c r="LI485" s="75"/>
      <c r="LJ485" s="75"/>
      <c r="LK485" s="75"/>
      <c r="LL485" s="75"/>
      <c r="LM485" s="75"/>
      <c r="LN485" s="75"/>
      <c r="LO485" s="75"/>
      <c r="LP485" s="75"/>
      <c r="LQ485" s="75"/>
      <c r="LR485" s="75"/>
      <c r="LS485" s="75"/>
      <c r="LT485" s="75"/>
      <c r="LU485" s="75"/>
      <c r="LV485" s="75"/>
      <c r="LW485" s="75"/>
      <c r="LX485" s="75"/>
      <c r="LY485" s="75"/>
      <c r="LZ485" s="75"/>
      <c r="MA485" s="75"/>
      <c r="MB485" s="75"/>
      <c r="MC485" s="75"/>
      <c r="MD485" s="75"/>
      <c r="ME485" s="75"/>
      <c r="MF485" s="75"/>
      <c r="MG485" s="75"/>
      <c r="MH485" s="75"/>
      <c r="MI485" s="75"/>
      <c r="MJ485" s="75"/>
      <c r="MK485" s="75"/>
      <c r="ML485" s="75"/>
      <c r="MM485" s="75"/>
      <c r="MN485" s="75"/>
      <c r="MO485" s="75"/>
      <c r="MP485" s="75"/>
      <c r="MQ485" s="75"/>
      <c r="MR485" s="75"/>
      <c r="MS485" s="75"/>
      <c r="MT485" s="75"/>
      <c r="MU485" s="75"/>
      <c r="MV485" s="75"/>
      <c r="MW485" s="75"/>
      <c r="MX485" s="75"/>
      <c r="MY485" s="75"/>
      <c r="MZ485" s="75"/>
      <c r="NA485" s="75"/>
      <c r="NB485" s="75"/>
      <c r="NC485" s="75"/>
      <c r="ND485" s="75"/>
      <c r="NE485" s="75"/>
      <c r="NF485" s="75"/>
      <c r="NG485" s="75"/>
      <c r="NH485" s="75"/>
      <c r="NI485" s="75"/>
      <c r="NJ485" s="75"/>
      <c r="NK485" s="75"/>
      <c r="NL485" s="75"/>
      <c r="NM485" s="75"/>
      <c r="NN485" s="75"/>
      <c r="NO485" s="75"/>
      <c r="NP485" s="75"/>
      <c r="NQ485" s="75"/>
      <c r="NR485" s="75"/>
      <c r="NS485" s="75"/>
      <c r="NT485" s="75"/>
      <c r="NU485" s="75"/>
      <c r="NV485" s="75"/>
      <c r="NW485" s="75"/>
      <c r="NX485" s="75"/>
      <c r="NY485" s="75"/>
      <c r="NZ485" s="75"/>
      <c r="OA485" s="75"/>
      <c r="OB485" s="75"/>
      <c r="OC485" s="75"/>
      <c r="OD485" s="75"/>
      <c r="OE485" s="75"/>
      <c r="OF485" s="75"/>
      <c r="OG485" s="75"/>
      <c r="OH485" s="75"/>
      <c r="OI485" s="75"/>
      <c r="OJ485" s="75"/>
      <c r="OK485" s="75"/>
      <c r="OL485" s="75"/>
      <c r="OM485" s="75"/>
      <c r="ON485" s="75"/>
      <c r="OO485" s="75"/>
      <c r="OP485" s="75"/>
      <c r="OQ485" s="75"/>
      <c r="OR485" s="75"/>
      <c r="OS485" s="75"/>
      <c r="OT485" s="75"/>
      <c r="OU485" s="75"/>
      <c r="OV485" s="75"/>
      <c r="OW485" s="75"/>
      <c r="OX485" s="75"/>
      <c r="OY485" s="75"/>
      <c r="OZ485" s="75"/>
      <c r="PA485" s="75"/>
      <c r="PB485" s="75"/>
      <c r="PC485" s="75"/>
      <c r="PD485" s="75"/>
      <c r="PE485" s="75"/>
      <c r="PF485" s="75"/>
      <c r="PG485" s="75"/>
      <c r="PH485" s="75"/>
      <c r="PI485" s="75"/>
      <c r="PJ485" s="75"/>
      <c r="PK485" s="75"/>
      <c r="PL485" s="75"/>
      <c r="PM485" s="75"/>
      <c r="PN485" s="75"/>
      <c r="PO485" s="75"/>
      <c r="PP485" s="75"/>
      <c r="PQ485" s="75"/>
      <c r="PR485" s="75"/>
      <c r="PS485" s="75"/>
      <c r="PT485" s="75"/>
      <c r="PU485" s="75"/>
      <c r="PV485" s="75"/>
      <c r="PW485" s="75"/>
      <c r="PX485" s="75"/>
      <c r="PY485" s="75"/>
      <c r="PZ485" s="75"/>
      <c r="QA485" s="75"/>
      <c r="QB485" s="75"/>
      <c r="QC485" s="75"/>
      <c r="QD485" s="75"/>
      <c r="QE485" s="75"/>
      <c r="QF485" s="75"/>
      <c r="QG485" s="75"/>
      <c r="QH485" s="75"/>
      <c r="QI485" s="75"/>
      <c r="QJ485" s="75"/>
      <c r="QK485" s="75"/>
      <c r="QL485" s="75"/>
      <c r="QM485" s="75"/>
      <c r="QN485" s="75"/>
      <c r="QO485" s="75"/>
      <c r="QP485" s="75"/>
      <c r="QQ485" s="75"/>
      <c r="QR485" s="75"/>
      <c r="QS485" s="75"/>
      <c r="QT485" s="75"/>
      <c r="QU485" s="75"/>
      <c r="QV485" s="75"/>
      <c r="QW485" s="75"/>
      <c r="QX485" s="75"/>
      <c r="QY485" s="75"/>
      <c r="QZ485" s="75"/>
      <c r="RA485" s="75"/>
      <c r="RB485" s="75"/>
      <c r="RC485" s="75"/>
      <c r="RD485" s="75"/>
      <c r="RE485" s="75"/>
      <c r="RF485" s="75"/>
      <c r="RG485" s="75"/>
      <c r="RH485" s="75"/>
      <c r="RI485" s="75"/>
      <c r="RJ485" s="75"/>
      <c r="RK485" s="75"/>
      <c r="RL485" s="75"/>
      <c r="RM485" s="75"/>
      <c r="RN485" s="75"/>
      <c r="RO485" s="75"/>
      <c r="RP485" s="75"/>
      <c r="RQ485" s="75"/>
      <c r="RR485" s="75"/>
      <c r="RS485" s="75"/>
      <c r="RT485" s="75"/>
      <c r="RU485" s="75"/>
      <c r="RV485" s="75"/>
      <c r="RW485" s="75"/>
      <c r="RX485" s="75"/>
      <c r="RY485" s="75"/>
      <c r="RZ485" s="75"/>
      <c r="SA485" s="75"/>
      <c r="SB485" s="75"/>
      <c r="SC485" s="75"/>
      <c r="SD485" s="75"/>
      <c r="SE485" s="75"/>
      <c r="SF485" s="75"/>
      <c r="SG485" s="75"/>
      <c r="SH485" s="75"/>
      <c r="SI485" s="75"/>
      <c r="SJ485" s="75"/>
      <c r="SK485" s="75"/>
      <c r="SL485" s="75"/>
      <c r="SM485" s="75"/>
      <c r="SN485" s="75"/>
      <c r="SO485" s="75"/>
      <c r="SP485" s="75"/>
      <c r="SQ485" s="75"/>
      <c r="SR485" s="75"/>
      <c r="SS485" s="75"/>
      <c r="ST485" s="75"/>
      <c r="SU485" s="75"/>
      <c r="SV485" s="75"/>
      <c r="SW485" s="75"/>
      <c r="SX485" s="75"/>
      <c r="SY485" s="75"/>
      <c r="SZ485" s="75"/>
      <c r="TA485" s="75"/>
      <c r="TB485" s="75"/>
      <c r="TC485" s="75"/>
      <c r="TD485" s="75"/>
      <c r="TE485" s="75"/>
      <c r="TF485" s="75"/>
      <c r="TG485" s="75"/>
      <c r="TH485" s="75"/>
      <c r="TI485" s="75"/>
      <c r="TJ485" s="75"/>
      <c r="TK485" s="75"/>
      <c r="TL485" s="75"/>
      <c r="TM485" s="75"/>
      <c r="TN485" s="75"/>
      <c r="TO485" s="75"/>
      <c r="TP485" s="75"/>
      <c r="TQ485" s="75"/>
      <c r="TR485" s="75"/>
      <c r="TS485" s="75"/>
      <c r="TT485" s="75"/>
      <c r="TU485" s="75"/>
      <c r="TV485" s="75"/>
      <c r="TW485" s="75"/>
      <c r="TX485" s="75"/>
      <c r="TY485" s="75"/>
      <c r="TZ485" s="75"/>
      <c r="UA485" s="75"/>
      <c r="UB485" s="75"/>
      <c r="UC485" s="75"/>
      <c r="UD485" s="75"/>
      <c r="UE485" s="75"/>
      <c r="UF485" s="75"/>
      <c r="UG485" s="75"/>
      <c r="UH485" s="75"/>
      <c r="UI485" s="75"/>
      <c r="UJ485" s="75"/>
      <c r="UK485" s="75"/>
      <c r="UL485" s="75"/>
      <c r="UM485" s="75"/>
      <c r="UN485" s="75"/>
      <c r="UO485" s="75"/>
      <c r="UP485" s="75"/>
      <c r="UQ485" s="75"/>
      <c r="UR485" s="75"/>
      <c r="US485" s="75"/>
      <c r="UT485" s="75"/>
      <c r="UU485" s="75"/>
      <c r="UV485" s="75"/>
      <c r="UW485" s="75"/>
      <c r="UX485" s="75"/>
      <c r="UY485" s="75"/>
      <c r="UZ485" s="75"/>
      <c r="VA485" s="75"/>
      <c r="VB485" s="75"/>
      <c r="VC485" s="75"/>
      <c r="VD485" s="75"/>
      <c r="VE485" s="75"/>
      <c r="VF485" s="75"/>
      <c r="VG485" s="75"/>
      <c r="VH485" s="75"/>
      <c r="VI485" s="75"/>
      <c r="VJ485" s="75"/>
      <c r="VK485" s="75"/>
      <c r="VL485" s="75"/>
      <c r="VM485" s="75"/>
      <c r="VN485" s="75"/>
      <c r="VO485" s="75"/>
      <c r="VP485" s="75"/>
      <c r="VQ485" s="75"/>
      <c r="VR485" s="75"/>
      <c r="VS485" s="75"/>
      <c r="VT485" s="75"/>
      <c r="VU485" s="75"/>
      <c r="VV485" s="75"/>
      <c r="VW485" s="75"/>
      <c r="VX485" s="75"/>
      <c r="VY485" s="75"/>
      <c r="VZ485" s="75"/>
      <c r="WA485" s="75"/>
      <c r="WB485" s="75"/>
      <c r="WC485" s="75"/>
      <c r="WD485" s="75"/>
      <c r="WE485" s="75"/>
      <c r="WF485" s="75"/>
      <c r="WG485" s="75"/>
      <c r="WH485" s="75"/>
      <c r="WI485" s="75"/>
      <c r="WJ485" s="75"/>
      <c r="WK485" s="75"/>
      <c r="WL485" s="75"/>
      <c r="WM485" s="75"/>
      <c r="WN485" s="75"/>
      <c r="WO485" s="75"/>
      <c r="WP485" s="75"/>
      <c r="WQ485" s="75"/>
      <c r="WR485" s="75"/>
      <c r="WS485" s="75"/>
      <c r="WT485" s="75"/>
      <c r="WU485" s="75"/>
      <c r="WV485" s="75"/>
      <c r="WW485" s="75"/>
      <c r="WX485" s="75"/>
      <c r="WY485" s="75"/>
      <c r="WZ485" s="75"/>
      <c r="XA485" s="75"/>
      <c r="XB485" s="75"/>
      <c r="XC485" s="75"/>
      <c r="XD485" s="75"/>
      <c r="XE485" s="75"/>
      <c r="XF485" s="75"/>
      <c r="XG485" s="75"/>
      <c r="XH485" s="75"/>
      <c r="XI485" s="75"/>
      <c r="XJ485" s="75"/>
      <c r="XK485" s="75"/>
      <c r="XL485" s="75"/>
      <c r="XM485" s="75"/>
      <c r="XN485" s="75"/>
      <c r="XO485" s="75"/>
      <c r="XP485" s="75"/>
      <c r="XQ485" s="75"/>
      <c r="XR485" s="75"/>
      <c r="XS485" s="75"/>
      <c r="XT485" s="75"/>
      <c r="XU485" s="75"/>
      <c r="XV485" s="75"/>
      <c r="XW485" s="75"/>
      <c r="XX485" s="75"/>
      <c r="XY485" s="75"/>
      <c r="XZ485" s="75"/>
      <c r="YA485" s="75"/>
      <c r="YB485" s="75"/>
      <c r="YC485" s="75"/>
      <c r="YD485" s="75"/>
      <c r="YE485" s="75"/>
      <c r="YF485" s="75"/>
      <c r="YG485" s="75"/>
      <c r="YH485" s="75"/>
      <c r="YI485" s="75"/>
      <c r="YJ485" s="75"/>
      <c r="YK485" s="75"/>
      <c r="YL485" s="75"/>
      <c r="YM485" s="75"/>
      <c r="YN485" s="75"/>
      <c r="YO485" s="75"/>
      <c r="YP485" s="75"/>
      <c r="YQ485" s="75"/>
      <c r="YR485" s="75"/>
      <c r="YS485" s="75"/>
      <c r="YT485" s="75"/>
      <c r="YU485" s="75"/>
      <c r="YV485" s="75"/>
      <c r="YW485" s="75"/>
      <c r="YX485" s="75"/>
      <c r="YY485" s="75"/>
      <c r="YZ485" s="75"/>
      <c r="ZA485" s="75"/>
      <c r="ZB485" s="75"/>
      <c r="ZC485" s="75"/>
      <c r="ZD485" s="75"/>
      <c r="ZE485" s="75"/>
      <c r="ZF485" s="75"/>
      <c r="ZG485" s="75"/>
      <c r="ZH485" s="75"/>
      <c r="ZI485" s="75"/>
      <c r="ZJ485" s="75"/>
      <c r="ZK485" s="75"/>
      <c r="ZL485" s="75"/>
      <c r="ZM485" s="75"/>
      <c r="ZN485" s="75"/>
      <c r="ZO485" s="75"/>
      <c r="ZP485" s="75"/>
      <c r="ZQ485" s="75"/>
      <c r="ZR485" s="75"/>
      <c r="ZS485" s="75"/>
      <c r="ZT485" s="75"/>
      <c r="ZU485" s="75"/>
      <c r="ZV485" s="75"/>
      <c r="ZW485" s="75"/>
      <c r="ZX485" s="75"/>
      <c r="ZY485" s="75"/>
      <c r="ZZ485" s="75"/>
      <c r="AAA485" s="75"/>
      <c r="AAB485" s="75"/>
      <c r="AAC485" s="75"/>
      <c r="AAD485" s="75"/>
      <c r="AAE485" s="75"/>
      <c r="AAF485" s="75"/>
      <c r="AAG485" s="75"/>
      <c r="AAH485" s="75"/>
      <c r="AAI485" s="75"/>
      <c r="AAJ485" s="75"/>
      <c r="AAK485" s="75"/>
      <c r="AAL485" s="75"/>
      <c r="AAM485" s="75"/>
      <c r="AAN485" s="75"/>
      <c r="AAO485" s="75"/>
      <c r="AAP485" s="75"/>
      <c r="AAQ485" s="75"/>
      <c r="AAR485" s="75"/>
      <c r="AAS485" s="75"/>
      <c r="AAT485" s="75"/>
      <c r="AAU485" s="75"/>
      <c r="AAV485" s="75"/>
      <c r="AAW485" s="75"/>
      <c r="AAX485" s="75"/>
      <c r="AAY485" s="75"/>
      <c r="AAZ485" s="75"/>
      <c r="ABA485" s="75"/>
      <c r="ABB485" s="75"/>
      <c r="ABC485" s="75"/>
      <c r="ABD485" s="75"/>
      <c r="ABE485" s="75"/>
      <c r="ABF485" s="75"/>
      <c r="ABG485" s="75"/>
      <c r="ABH485" s="75"/>
      <c r="ABI485" s="75"/>
      <c r="ABJ485" s="75"/>
      <c r="ABK485" s="75"/>
      <c r="ABL485" s="75"/>
      <c r="ABM485" s="75"/>
      <c r="ABN485" s="75"/>
      <c r="ABO485" s="75"/>
      <c r="ABP485" s="75"/>
      <c r="ABQ485" s="75"/>
      <c r="ABR485" s="75"/>
      <c r="ABS485" s="75"/>
      <c r="ABT485" s="75"/>
      <c r="ABU485" s="75"/>
      <c r="ABV485" s="75"/>
      <c r="ABW485" s="75"/>
      <c r="ABX485" s="75"/>
      <c r="ABY485" s="75"/>
      <c r="ABZ485" s="75"/>
      <c r="ACA485" s="75"/>
      <c r="ACB485" s="75"/>
      <c r="ACC485" s="75"/>
      <c r="ACD485" s="75"/>
      <c r="ACE485" s="75"/>
      <c r="ACF485" s="75"/>
      <c r="ACG485" s="75"/>
      <c r="ACH485" s="75"/>
      <c r="ACI485" s="75"/>
      <c r="ACJ485" s="75"/>
      <c r="ACK485" s="75"/>
      <c r="ACL485" s="75"/>
      <c r="ACM485" s="75"/>
      <c r="ACN485" s="75"/>
      <c r="ACO485" s="75"/>
      <c r="ACP485" s="75"/>
      <c r="ACQ485" s="75"/>
      <c r="ACR485" s="75"/>
      <c r="ACS485" s="75"/>
      <c r="ACT485" s="75"/>
      <c r="ACU485" s="75"/>
      <c r="ACV485" s="75"/>
      <c r="ACW485" s="75"/>
      <c r="ACX485" s="75"/>
      <c r="ACY485" s="75"/>
      <c r="ACZ485" s="75"/>
      <c r="ADA485" s="75"/>
      <c r="ADB485" s="75"/>
      <c r="ADC485" s="75"/>
      <c r="ADD485" s="75"/>
      <c r="ADE485" s="75"/>
      <c r="ADF485" s="75"/>
      <c r="ADG485" s="75"/>
      <c r="ADH485" s="75"/>
      <c r="ADI485" s="75"/>
      <c r="ADJ485" s="75"/>
      <c r="ADK485" s="75"/>
      <c r="ADL485" s="75"/>
      <c r="ADM485" s="75"/>
      <c r="ADN485" s="75"/>
      <c r="ADO485" s="75"/>
      <c r="ADP485" s="75"/>
      <c r="ADQ485" s="75"/>
      <c r="ADR485" s="75"/>
      <c r="ADS485" s="75"/>
      <c r="ADT485" s="75"/>
      <c r="ADU485" s="75"/>
      <c r="ADV485" s="75"/>
      <c r="ADW485" s="75"/>
      <c r="ADX485" s="75"/>
      <c r="ADY485" s="75"/>
      <c r="ADZ485" s="75"/>
      <c r="AEA485" s="75"/>
      <c r="AEB485" s="75"/>
      <c r="AEC485" s="75"/>
      <c r="AED485" s="75"/>
      <c r="AEE485" s="75"/>
      <c r="AEF485" s="75"/>
      <c r="AEG485" s="75"/>
      <c r="AEH485" s="75"/>
      <c r="AEI485" s="75"/>
      <c r="AEJ485" s="75"/>
      <c r="AEK485" s="75"/>
      <c r="AEL485" s="75"/>
      <c r="AEM485" s="75"/>
      <c r="AEN485" s="75"/>
      <c r="AEO485" s="75"/>
      <c r="AEP485" s="75"/>
      <c r="AEQ485" s="75"/>
      <c r="AER485" s="75"/>
      <c r="AES485" s="75"/>
      <c r="AET485" s="75"/>
      <c r="AEU485" s="75"/>
      <c r="AEV485" s="75"/>
      <c r="AEW485" s="75"/>
      <c r="AEX485" s="75"/>
      <c r="AEY485" s="75"/>
      <c r="AEZ485" s="75"/>
      <c r="AFA485" s="75"/>
      <c r="AFB485" s="75"/>
      <c r="AFC485" s="75"/>
      <c r="AFD485" s="75"/>
      <c r="AFE485" s="75"/>
      <c r="AFF485" s="75"/>
      <c r="AFG485" s="75"/>
      <c r="AFH485" s="75"/>
      <c r="AFI485" s="75"/>
      <c r="AFJ485" s="75"/>
      <c r="AFK485" s="75"/>
      <c r="AFL485" s="75"/>
      <c r="AFM485" s="75"/>
      <c r="AFN485" s="75"/>
      <c r="AFO485" s="75"/>
      <c r="AFP485" s="75"/>
      <c r="AFQ485" s="75"/>
      <c r="AFR485" s="75"/>
      <c r="AFS485" s="75"/>
      <c r="AFT485" s="75"/>
      <c r="AFU485" s="75"/>
      <c r="AFV485" s="75"/>
      <c r="AFW485" s="75"/>
      <c r="AFX485" s="75"/>
      <c r="AFY485" s="75"/>
      <c r="AFZ485" s="75"/>
      <c r="AGA485" s="75"/>
      <c r="AGB485" s="75"/>
      <c r="AGC485" s="75"/>
      <c r="AGD485" s="75"/>
      <c r="AGE485" s="75"/>
      <c r="AGF485" s="75"/>
      <c r="AGG485" s="75"/>
      <c r="AGH485" s="75"/>
      <c r="AGI485" s="75"/>
      <c r="AGJ485" s="75"/>
      <c r="AGK485" s="75"/>
      <c r="AGL485" s="75"/>
      <c r="AGM485" s="75"/>
      <c r="AGN485" s="75"/>
      <c r="AGO485" s="75"/>
      <c r="AGP485" s="75"/>
      <c r="AGQ485" s="75"/>
      <c r="AGR485" s="75"/>
      <c r="AGS485" s="75"/>
      <c r="AGT485" s="75"/>
      <c r="AGU485" s="75"/>
      <c r="AGV485" s="75"/>
      <c r="AGW485" s="75"/>
      <c r="AGX485" s="75"/>
      <c r="AGY485" s="75"/>
      <c r="AGZ485" s="75"/>
      <c r="AHA485" s="75"/>
      <c r="AHB485" s="75"/>
      <c r="AHC485" s="75"/>
      <c r="AHD485" s="75"/>
      <c r="AHE485" s="75"/>
      <c r="AHF485" s="75"/>
      <c r="AHG485" s="75"/>
      <c r="AHH485" s="75"/>
      <c r="AHI485" s="75"/>
      <c r="AHJ485" s="75"/>
      <c r="AHK485" s="75"/>
      <c r="AHL485" s="75"/>
      <c r="AHM485" s="75"/>
      <c r="AHN485" s="75"/>
      <c r="AHO485" s="75"/>
      <c r="AHP485" s="75"/>
      <c r="AHQ485" s="75"/>
      <c r="AHR485" s="75"/>
      <c r="AHS485" s="75"/>
      <c r="AHT485" s="75"/>
      <c r="AHU485" s="75"/>
      <c r="AHV485" s="75"/>
      <c r="AHW485" s="75"/>
      <c r="AHX485" s="75"/>
      <c r="AHY485" s="75"/>
      <c r="AHZ485" s="75"/>
      <c r="AIA485" s="75"/>
      <c r="AIB485" s="75"/>
      <c r="AIC485" s="75"/>
      <c r="AID485" s="75"/>
      <c r="AIE485" s="75"/>
      <c r="AIF485" s="75"/>
      <c r="AIG485" s="75"/>
      <c r="AIH485" s="75"/>
      <c r="AII485" s="75"/>
      <c r="AIJ485" s="75"/>
      <c r="AIK485" s="75"/>
      <c r="AIL485" s="75"/>
      <c r="AIM485" s="75"/>
      <c r="AIN485" s="75"/>
      <c r="AIO485" s="75"/>
      <c r="AIP485" s="75"/>
      <c r="AIQ485" s="75"/>
      <c r="AIR485" s="75"/>
      <c r="AIS485" s="75"/>
      <c r="AIT485" s="75"/>
      <c r="AIU485" s="75"/>
      <c r="AIV485" s="75"/>
      <c r="AIW485" s="75"/>
      <c r="AIX485" s="75"/>
      <c r="AIY485" s="75"/>
      <c r="AIZ485" s="75"/>
      <c r="AJA485" s="75"/>
      <c r="AJB485" s="75"/>
      <c r="AJC485" s="75"/>
      <c r="AJD485" s="75"/>
      <c r="AJE485" s="75"/>
      <c r="AJF485" s="75"/>
      <c r="AJG485" s="75"/>
      <c r="AJH485" s="75"/>
      <c r="AJI485" s="75"/>
      <c r="AJJ485" s="75"/>
      <c r="AJK485" s="75"/>
      <c r="AJL485" s="75"/>
      <c r="AJM485" s="75"/>
      <c r="AJN485" s="75"/>
      <c r="AJO485" s="75"/>
      <c r="AJP485" s="75"/>
      <c r="AJQ485" s="75"/>
      <c r="AJR485" s="75"/>
      <c r="AJS485" s="75"/>
      <c r="AJT485" s="75"/>
      <c r="AJU485" s="75"/>
      <c r="AJV485" s="75"/>
      <c r="AJW485" s="75"/>
      <c r="AJX485" s="75"/>
      <c r="AJY485" s="75"/>
      <c r="AJZ485" s="75"/>
      <c r="AKA485" s="75"/>
      <c r="AKB485" s="75"/>
      <c r="AKC485" s="75"/>
      <c r="AKD485" s="75"/>
      <c r="AKE485" s="75"/>
      <c r="AKF485" s="75"/>
      <c r="AKG485" s="75"/>
      <c r="AKH485" s="75"/>
      <c r="AKI485" s="75"/>
      <c r="AKJ485" s="75"/>
      <c r="AKK485" s="75"/>
      <c r="AKL485" s="75"/>
      <c r="AKM485" s="75"/>
      <c r="AKN485" s="75"/>
      <c r="AKO485" s="75"/>
      <c r="AKP485" s="75"/>
      <c r="AKQ485" s="75"/>
      <c r="AKR485" s="75"/>
      <c r="AKS485" s="75"/>
      <c r="AKT485" s="75"/>
      <c r="AKU485" s="75"/>
      <c r="AKV485" s="75"/>
      <c r="AKW485" s="75"/>
      <c r="AKX485" s="75"/>
      <c r="AKY485" s="75"/>
      <c r="AKZ485" s="75"/>
      <c r="ALA485" s="75"/>
      <c r="ALB485" s="75"/>
      <c r="ALC485" s="75"/>
      <c r="ALD485" s="75"/>
      <c r="ALE485" s="75"/>
      <c r="ALF485" s="75"/>
      <c r="ALG485" s="75"/>
      <c r="ALH485" s="75"/>
      <c r="ALI485" s="75"/>
      <c r="ALJ485" s="75"/>
      <c r="ALK485" s="75"/>
      <c r="ALL485" s="75"/>
      <c r="ALM485" s="75"/>
      <c r="ALN485" s="75"/>
      <c r="ALO485" s="75"/>
    </row>
    <row r="486" spans="1:1003" s="235" customFormat="1" ht="14.55" customHeight="1" outlineLevel="1" x14ac:dyDescent="0.25">
      <c r="A486" s="230" t="s">
        <v>1422</v>
      </c>
      <c r="B486" s="343" t="str">
        <f>"13.0403"</f>
        <v>13.0403</v>
      </c>
      <c r="C486" s="75" t="s">
        <v>2158</v>
      </c>
      <c r="D486" s="127" t="s">
        <v>2159</v>
      </c>
      <c r="E486" s="232"/>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c r="AY486" s="75"/>
      <c r="AZ486" s="75"/>
      <c r="BA486" s="75"/>
      <c r="BB486" s="75"/>
      <c r="BC486" s="75"/>
      <c r="BD486" s="75"/>
      <c r="BE486" s="75"/>
      <c r="BF486" s="75"/>
      <c r="BG486" s="75"/>
      <c r="BH486" s="75"/>
      <c r="BI486" s="75"/>
      <c r="BJ486" s="75"/>
      <c r="BK486" s="75"/>
      <c r="BL486" s="75"/>
      <c r="BM486" s="75"/>
      <c r="BN486" s="75"/>
      <c r="BO486" s="75"/>
      <c r="BP486" s="75"/>
      <c r="BQ486" s="75"/>
      <c r="BR486" s="75"/>
      <c r="BS486" s="75"/>
      <c r="BT486" s="75"/>
      <c r="BU486" s="75"/>
      <c r="BV486" s="75"/>
      <c r="BW486" s="75"/>
      <c r="BX486" s="75"/>
      <c r="BY486" s="75"/>
      <c r="BZ486" s="75"/>
      <c r="CA486" s="75"/>
      <c r="CB486" s="75"/>
      <c r="CC486" s="75"/>
      <c r="CD486" s="75"/>
      <c r="CE486" s="75"/>
      <c r="CF486" s="75"/>
      <c r="CG486" s="75"/>
      <c r="CH486" s="75"/>
      <c r="CI486" s="75"/>
      <c r="CJ486" s="75"/>
      <c r="CK486" s="75"/>
      <c r="CL486" s="75"/>
      <c r="CM486" s="75"/>
      <c r="CN486" s="75"/>
      <c r="CO486" s="75"/>
      <c r="CP486" s="75"/>
      <c r="CQ486" s="75"/>
      <c r="CR486" s="75"/>
      <c r="CS486" s="75"/>
      <c r="CT486" s="75"/>
      <c r="CU486" s="75"/>
      <c r="CV486" s="75"/>
      <c r="CW486" s="75"/>
      <c r="CX486" s="75"/>
      <c r="CY486" s="75"/>
      <c r="CZ486" s="75"/>
      <c r="DA486" s="75"/>
      <c r="DB486" s="75"/>
      <c r="DC486" s="75"/>
      <c r="DD486" s="75"/>
      <c r="DE486" s="75"/>
      <c r="DF486" s="75"/>
      <c r="DG486" s="75"/>
      <c r="DH486" s="75"/>
      <c r="DI486" s="75"/>
      <c r="DJ486" s="75"/>
      <c r="DK486" s="75"/>
      <c r="DL486" s="75"/>
      <c r="DM486" s="75"/>
      <c r="DN486" s="75"/>
      <c r="DO486" s="75"/>
      <c r="DP486" s="75"/>
      <c r="DQ486" s="75"/>
      <c r="DR486" s="75"/>
      <c r="DS486" s="75"/>
      <c r="DT486" s="75"/>
      <c r="DU486" s="75"/>
      <c r="DV486" s="75"/>
      <c r="DW486" s="75"/>
      <c r="DX486" s="75"/>
      <c r="DY486" s="75"/>
      <c r="DZ486" s="75"/>
      <c r="EA486" s="75"/>
      <c r="EB486" s="75"/>
      <c r="EC486" s="75"/>
      <c r="ED486" s="75"/>
      <c r="EE486" s="75"/>
      <c r="EF486" s="75"/>
      <c r="EG486" s="75"/>
      <c r="EH486" s="75"/>
      <c r="EI486" s="75"/>
      <c r="EJ486" s="75"/>
      <c r="EK486" s="75"/>
      <c r="EL486" s="75"/>
      <c r="EM486" s="75"/>
      <c r="EN486" s="75"/>
      <c r="EO486" s="75"/>
      <c r="EP486" s="75"/>
      <c r="EQ486" s="75"/>
      <c r="ER486" s="75"/>
      <c r="ES486" s="75"/>
      <c r="ET486" s="75"/>
      <c r="EU486" s="75"/>
      <c r="EV486" s="75"/>
      <c r="EW486" s="75"/>
      <c r="EX486" s="75"/>
      <c r="EY486" s="75"/>
      <c r="EZ486" s="75"/>
      <c r="FA486" s="75"/>
      <c r="FB486" s="75"/>
      <c r="FC486" s="75"/>
      <c r="FD486" s="75"/>
      <c r="FE486" s="75"/>
      <c r="FF486" s="75"/>
      <c r="FG486" s="75"/>
      <c r="FH486" s="75"/>
      <c r="FI486" s="75"/>
      <c r="FJ486" s="75"/>
      <c r="FK486" s="75"/>
      <c r="FL486" s="75"/>
      <c r="FM486" s="75"/>
      <c r="FN486" s="75"/>
      <c r="FO486" s="75"/>
      <c r="FP486" s="75"/>
      <c r="FQ486" s="75"/>
      <c r="FR486" s="75"/>
      <c r="FS486" s="75"/>
      <c r="FT486" s="75"/>
      <c r="FU486" s="75"/>
      <c r="FV486" s="75"/>
      <c r="FW486" s="75"/>
      <c r="FX486" s="75"/>
      <c r="FY486" s="75"/>
      <c r="FZ486" s="75"/>
      <c r="GA486" s="75"/>
      <c r="GB486" s="75"/>
      <c r="GC486" s="75"/>
      <c r="GD486" s="75"/>
      <c r="GE486" s="75"/>
      <c r="GF486" s="75"/>
      <c r="GG486" s="75"/>
      <c r="GH486" s="75"/>
      <c r="GI486" s="75"/>
      <c r="GJ486" s="75"/>
      <c r="GK486" s="75"/>
      <c r="GL486" s="75"/>
      <c r="GM486" s="75"/>
      <c r="GN486" s="75"/>
      <c r="GO486" s="75"/>
      <c r="GP486" s="75"/>
      <c r="GQ486" s="75"/>
      <c r="GR486" s="75"/>
      <c r="GS486" s="75"/>
      <c r="GT486" s="75"/>
      <c r="GU486" s="75"/>
      <c r="GV486" s="75"/>
      <c r="GW486" s="75"/>
      <c r="GX486" s="75"/>
      <c r="GY486" s="75"/>
      <c r="GZ486" s="75"/>
      <c r="HA486" s="75"/>
      <c r="HB486" s="75"/>
      <c r="HC486" s="75"/>
      <c r="HD486" s="75"/>
      <c r="HE486" s="75"/>
      <c r="HF486" s="75"/>
      <c r="HG486" s="75"/>
      <c r="HH486" s="75"/>
      <c r="HI486" s="75"/>
      <c r="HJ486" s="75"/>
      <c r="HK486" s="75"/>
      <c r="HL486" s="75"/>
      <c r="HM486" s="75"/>
      <c r="HN486" s="75"/>
      <c r="HO486" s="75"/>
      <c r="HP486" s="75"/>
      <c r="HQ486" s="75"/>
      <c r="HR486" s="75"/>
      <c r="HS486" s="75"/>
      <c r="HT486" s="75"/>
      <c r="HU486" s="75"/>
      <c r="HV486" s="75"/>
      <c r="HW486" s="75"/>
      <c r="HX486" s="75"/>
      <c r="HY486" s="75"/>
      <c r="HZ486" s="75"/>
      <c r="IA486" s="75"/>
      <c r="IB486" s="75"/>
      <c r="IC486" s="75"/>
      <c r="ID486" s="75"/>
      <c r="IE486" s="75"/>
      <c r="IF486" s="75"/>
      <c r="IG486" s="75"/>
      <c r="IH486" s="75"/>
      <c r="II486" s="75"/>
      <c r="IJ486" s="75"/>
      <c r="IK486" s="75"/>
      <c r="IL486" s="75"/>
      <c r="IM486" s="75"/>
      <c r="IN486" s="75"/>
      <c r="IO486" s="75"/>
      <c r="IP486" s="75"/>
      <c r="IQ486" s="75"/>
      <c r="IR486" s="75"/>
      <c r="IS486" s="75"/>
      <c r="IT486" s="75"/>
      <c r="IU486" s="75"/>
      <c r="IV486" s="75"/>
      <c r="IW486" s="75"/>
      <c r="IX486" s="75"/>
      <c r="IY486" s="75"/>
      <c r="IZ486" s="75"/>
      <c r="JA486" s="75"/>
      <c r="JB486" s="75"/>
      <c r="JC486" s="75"/>
      <c r="JD486" s="75"/>
      <c r="JE486" s="75"/>
      <c r="JF486" s="75"/>
      <c r="JG486" s="75"/>
      <c r="JH486" s="75"/>
      <c r="JI486" s="75"/>
      <c r="JJ486" s="75"/>
      <c r="JK486" s="75"/>
      <c r="JL486" s="75"/>
      <c r="JM486" s="75"/>
      <c r="JN486" s="75"/>
      <c r="JO486" s="75"/>
      <c r="JP486" s="75"/>
      <c r="JQ486" s="75"/>
      <c r="JR486" s="75"/>
      <c r="JS486" s="75"/>
      <c r="JT486" s="75"/>
      <c r="JU486" s="75"/>
      <c r="JV486" s="75"/>
      <c r="JW486" s="75"/>
      <c r="JX486" s="75"/>
      <c r="JY486" s="75"/>
      <c r="JZ486" s="75"/>
      <c r="KA486" s="75"/>
      <c r="KB486" s="75"/>
      <c r="KC486" s="75"/>
      <c r="KD486" s="75"/>
      <c r="KE486" s="75"/>
      <c r="KF486" s="75"/>
      <c r="KG486" s="75"/>
      <c r="KH486" s="75"/>
      <c r="KI486" s="75"/>
      <c r="KJ486" s="75"/>
      <c r="KK486" s="75"/>
      <c r="KL486" s="75"/>
      <c r="KM486" s="75"/>
      <c r="KN486" s="75"/>
      <c r="KO486" s="75"/>
      <c r="KP486" s="75"/>
      <c r="KQ486" s="75"/>
      <c r="KR486" s="75"/>
      <c r="KS486" s="75"/>
      <c r="KT486" s="75"/>
      <c r="KU486" s="75"/>
      <c r="KV486" s="75"/>
      <c r="KW486" s="75"/>
      <c r="KX486" s="75"/>
      <c r="KY486" s="75"/>
      <c r="KZ486" s="75"/>
      <c r="LA486" s="75"/>
      <c r="LB486" s="75"/>
      <c r="LC486" s="75"/>
      <c r="LD486" s="75"/>
      <c r="LE486" s="75"/>
      <c r="LF486" s="75"/>
      <c r="LG486" s="75"/>
      <c r="LH486" s="75"/>
      <c r="LI486" s="75"/>
      <c r="LJ486" s="75"/>
      <c r="LK486" s="75"/>
      <c r="LL486" s="75"/>
      <c r="LM486" s="75"/>
      <c r="LN486" s="75"/>
      <c r="LO486" s="75"/>
      <c r="LP486" s="75"/>
      <c r="LQ486" s="75"/>
      <c r="LR486" s="75"/>
      <c r="LS486" s="75"/>
      <c r="LT486" s="75"/>
      <c r="LU486" s="75"/>
      <c r="LV486" s="75"/>
      <c r="LW486" s="75"/>
      <c r="LX486" s="75"/>
      <c r="LY486" s="75"/>
      <c r="LZ486" s="75"/>
      <c r="MA486" s="75"/>
      <c r="MB486" s="75"/>
      <c r="MC486" s="75"/>
      <c r="MD486" s="75"/>
      <c r="ME486" s="75"/>
      <c r="MF486" s="75"/>
      <c r="MG486" s="75"/>
      <c r="MH486" s="75"/>
      <c r="MI486" s="75"/>
      <c r="MJ486" s="75"/>
      <c r="MK486" s="75"/>
      <c r="ML486" s="75"/>
      <c r="MM486" s="75"/>
      <c r="MN486" s="75"/>
      <c r="MO486" s="75"/>
      <c r="MP486" s="75"/>
      <c r="MQ486" s="75"/>
      <c r="MR486" s="75"/>
      <c r="MS486" s="75"/>
      <c r="MT486" s="75"/>
      <c r="MU486" s="75"/>
      <c r="MV486" s="75"/>
      <c r="MW486" s="75"/>
      <c r="MX486" s="75"/>
      <c r="MY486" s="75"/>
      <c r="MZ486" s="75"/>
      <c r="NA486" s="75"/>
      <c r="NB486" s="75"/>
      <c r="NC486" s="75"/>
      <c r="ND486" s="75"/>
      <c r="NE486" s="75"/>
      <c r="NF486" s="75"/>
      <c r="NG486" s="75"/>
      <c r="NH486" s="75"/>
      <c r="NI486" s="75"/>
      <c r="NJ486" s="75"/>
      <c r="NK486" s="75"/>
      <c r="NL486" s="75"/>
      <c r="NM486" s="75"/>
      <c r="NN486" s="75"/>
      <c r="NO486" s="75"/>
      <c r="NP486" s="75"/>
      <c r="NQ486" s="75"/>
      <c r="NR486" s="75"/>
      <c r="NS486" s="75"/>
      <c r="NT486" s="75"/>
      <c r="NU486" s="75"/>
      <c r="NV486" s="75"/>
      <c r="NW486" s="75"/>
      <c r="NX486" s="75"/>
      <c r="NY486" s="75"/>
      <c r="NZ486" s="75"/>
      <c r="OA486" s="75"/>
      <c r="OB486" s="75"/>
      <c r="OC486" s="75"/>
      <c r="OD486" s="75"/>
      <c r="OE486" s="75"/>
      <c r="OF486" s="75"/>
      <c r="OG486" s="75"/>
      <c r="OH486" s="75"/>
      <c r="OI486" s="75"/>
      <c r="OJ486" s="75"/>
      <c r="OK486" s="75"/>
      <c r="OL486" s="75"/>
      <c r="OM486" s="75"/>
      <c r="ON486" s="75"/>
      <c r="OO486" s="75"/>
      <c r="OP486" s="75"/>
      <c r="OQ486" s="75"/>
      <c r="OR486" s="75"/>
      <c r="OS486" s="75"/>
      <c r="OT486" s="75"/>
      <c r="OU486" s="75"/>
      <c r="OV486" s="75"/>
      <c r="OW486" s="75"/>
      <c r="OX486" s="75"/>
      <c r="OY486" s="75"/>
      <c r="OZ486" s="75"/>
      <c r="PA486" s="75"/>
      <c r="PB486" s="75"/>
      <c r="PC486" s="75"/>
      <c r="PD486" s="75"/>
      <c r="PE486" s="75"/>
      <c r="PF486" s="75"/>
      <c r="PG486" s="75"/>
      <c r="PH486" s="75"/>
      <c r="PI486" s="75"/>
      <c r="PJ486" s="75"/>
      <c r="PK486" s="75"/>
      <c r="PL486" s="75"/>
      <c r="PM486" s="75"/>
      <c r="PN486" s="75"/>
      <c r="PO486" s="75"/>
      <c r="PP486" s="75"/>
      <c r="PQ486" s="75"/>
      <c r="PR486" s="75"/>
      <c r="PS486" s="75"/>
      <c r="PT486" s="75"/>
      <c r="PU486" s="75"/>
      <c r="PV486" s="75"/>
      <c r="PW486" s="75"/>
      <c r="PX486" s="75"/>
      <c r="PY486" s="75"/>
      <c r="PZ486" s="75"/>
      <c r="QA486" s="75"/>
      <c r="QB486" s="75"/>
      <c r="QC486" s="75"/>
      <c r="QD486" s="75"/>
      <c r="QE486" s="75"/>
      <c r="QF486" s="75"/>
      <c r="QG486" s="75"/>
      <c r="QH486" s="75"/>
      <c r="QI486" s="75"/>
      <c r="QJ486" s="75"/>
      <c r="QK486" s="75"/>
      <c r="QL486" s="75"/>
      <c r="QM486" s="75"/>
      <c r="QN486" s="75"/>
      <c r="QO486" s="75"/>
      <c r="QP486" s="75"/>
      <c r="QQ486" s="75"/>
      <c r="QR486" s="75"/>
      <c r="QS486" s="75"/>
      <c r="QT486" s="75"/>
      <c r="QU486" s="75"/>
      <c r="QV486" s="75"/>
      <c r="QW486" s="75"/>
      <c r="QX486" s="75"/>
      <c r="QY486" s="75"/>
      <c r="QZ486" s="75"/>
      <c r="RA486" s="75"/>
      <c r="RB486" s="75"/>
      <c r="RC486" s="75"/>
      <c r="RD486" s="75"/>
      <c r="RE486" s="75"/>
      <c r="RF486" s="75"/>
      <c r="RG486" s="75"/>
      <c r="RH486" s="75"/>
      <c r="RI486" s="75"/>
      <c r="RJ486" s="75"/>
      <c r="RK486" s="75"/>
      <c r="RL486" s="75"/>
      <c r="RM486" s="75"/>
      <c r="RN486" s="75"/>
      <c r="RO486" s="75"/>
      <c r="RP486" s="75"/>
      <c r="RQ486" s="75"/>
      <c r="RR486" s="75"/>
      <c r="RS486" s="75"/>
      <c r="RT486" s="75"/>
      <c r="RU486" s="75"/>
      <c r="RV486" s="75"/>
      <c r="RW486" s="75"/>
      <c r="RX486" s="75"/>
      <c r="RY486" s="75"/>
      <c r="RZ486" s="75"/>
      <c r="SA486" s="75"/>
      <c r="SB486" s="75"/>
      <c r="SC486" s="75"/>
      <c r="SD486" s="75"/>
      <c r="SE486" s="75"/>
      <c r="SF486" s="75"/>
      <c r="SG486" s="75"/>
      <c r="SH486" s="75"/>
      <c r="SI486" s="75"/>
      <c r="SJ486" s="75"/>
      <c r="SK486" s="75"/>
      <c r="SL486" s="75"/>
      <c r="SM486" s="75"/>
      <c r="SN486" s="75"/>
      <c r="SO486" s="75"/>
      <c r="SP486" s="75"/>
      <c r="SQ486" s="75"/>
      <c r="SR486" s="75"/>
      <c r="SS486" s="75"/>
      <c r="ST486" s="75"/>
      <c r="SU486" s="75"/>
      <c r="SV486" s="75"/>
      <c r="SW486" s="75"/>
      <c r="SX486" s="75"/>
      <c r="SY486" s="75"/>
      <c r="SZ486" s="75"/>
      <c r="TA486" s="75"/>
      <c r="TB486" s="75"/>
      <c r="TC486" s="75"/>
      <c r="TD486" s="75"/>
      <c r="TE486" s="75"/>
      <c r="TF486" s="75"/>
      <c r="TG486" s="75"/>
      <c r="TH486" s="75"/>
      <c r="TI486" s="75"/>
      <c r="TJ486" s="75"/>
      <c r="TK486" s="75"/>
      <c r="TL486" s="75"/>
      <c r="TM486" s="75"/>
      <c r="TN486" s="75"/>
      <c r="TO486" s="75"/>
      <c r="TP486" s="75"/>
      <c r="TQ486" s="75"/>
      <c r="TR486" s="75"/>
      <c r="TS486" s="75"/>
      <c r="TT486" s="75"/>
      <c r="TU486" s="75"/>
      <c r="TV486" s="75"/>
      <c r="TW486" s="75"/>
      <c r="TX486" s="75"/>
      <c r="TY486" s="75"/>
      <c r="TZ486" s="75"/>
      <c r="UA486" s="75"/>
      <c r="UB486" s="75"/>
      <c r="UC486" s="75"/>
      <c r="UD486" s="75"/>
      <c r="UE486" s="75"/>
      <c r="UF486" s="75"/>
      <c r="UG486" s="75"/>
      <c r="UH486" s="75"/>
      <c r="UI486" s="75"/>
      <c r="UJ486" s="75"/>
      <c r="UK486" s="75"/>
      <c r="UL486" s="75"/>
      <c r="UM486" s="75"/>
      <c r="UN486" s="75"/>
      <c r="UO486" s="75"/>
      <c r="UP486" s="75"/>
      <c r="UQ486" s="75"/>
      <c r="UR486" s="75"/>
      <c r="US486" s="75"/>
      <c r="UT486" s="75"/>
      <c r="UU486" s="75"/>
      <c r="UV486" s="75"/>
      <c r="UW486" s="75"/>
      <c r="UX486" s="75"/>
      <c r="UY486" s="75"/>
      <c r="UZ486" s="75"/>
      <c r="VA486" s="75"/>
      <c r="VB486" s="75"/>
      <c r="VC486" s="75"/>
      <c r="VD486" s="75"/>
      <c r="VE486" s="75"/>
      <c r="VF486" s="75"/>
      <c r="VG486" s="75"/>
      <c r="VH486" s="75"/>
      <c r="VI486" s="75"/>
      <c r="VJ486" s="75"/>
      <c r="VK486" s="75"/>
      <c r="VL486" s="75"/>
      <c r="VM486" s="75"/>
      <c r="VN486" s="75"/>
      <c r="VO486" s="75"/>
      <c r="VP486" s="75"/>
      <c r="VQ486" s="75"/>
      <c r="VR486" s="75"/>
      <c r="VS486" s="75"/>
      <c r="VT486" s="75"/>
      <c r="VU486" s="75"/>
      <c r="VV486" s="75"/>
      <c r="VW486" s="75"/>
      <c r="VX486" s="75"/>
      <c r="VY486" s="75"/>
      <c r="VZ486" s="75"/>
      <c r="WA486" s="75"/>
      <c r="WB486" s="75"/>
      <c r="WC486" s="75"/>
      <c r="WD486" s="75"/>
      <c r="WE486" s="75"/>
      <c r="WF486" s="75"/>
      <c r="WG486" s="75"/>
      <c r="WH486" s="75"/>
      <c r="WI486" s="75"/>
      <c r="WJ486" s="75"/>
      <c r="WK486" s="75"/>
      <c r="WL486" s="75"/>
      <c r="WM486" s="75"/>
      <c r="WN486" s="75"/>
      <c r="WO486" s="75"/>
      <c r="WP486" s="75"/>
      <c r="WQ486" s="75"/>
      <c r="WR486" s="75"/>
      <c r="WS486" s="75"/>
      <c r="WT486" s="75"/>
      <c r="WU486" s="75"/>
      <c r="WV486" s="75"/>
      <c r="WW486" s="75"/>
      <c r="WX486" s="75"/>
      <c r="WY486" s="75"/>
      <c r="WZ486" s="75"/>
      <c r="XA486" s="75"/>
      <c r="XB486" s="75"/>
      <c r="XC486" s="75"/>
      <c r="XD486" s="75"/>
      <c r="XE486" s="75"/>
      <c r="XF486" s="75"/>
      <c r="XG486" s="75"/>
      <c r="XH486" s="75"/>
      <c r="XI486" s="75"/>
      <c r="XJ486" s="75"/>
      <c r="XK486" s="75"/>
      <c r="XL486" s="75"/>
      <c r="XM486" s="75"/>
      <c r="XN486" s="75"/>
      <c r="XO486" s="75"/>
      <c r="XP486" s="75"/>
      <c r="XQ486" s="75"/>
      <c r="XR486" s="75"/>
      <c r="XS486" s="75"/>
      <c r="XT486" s="75"/>
      <c r="XU486" s="75"/>
      <c r="XV486" s="75"/>
      <c r="XW486" s="75"/>
      <c r="XX486" s="75"/>
      <c r="XY486" s="75"/>
      <c r="XZ486" s="75"/>
      <c r="YA486" s="75"/>
      <c r="YB486" s="75"/>
      <c r="YC486" s="75"/>
      <c r="YD486" s="75"/>
      <c r="YE486" s="75"/>
      <c r="YF486" s="75"/>
      <c r="YG486" s="75"/>
      <c r="YH486" s="75"/>
      <c r="YI486" s="75"/>
      <c r="YJ486" s="75"/>
      <c r="YK486" s="75"/>
      <c r="YL486" s="75"/>
      <c r="YM486" s="75"/>
      <c r="YN486" s="75"/>
      <c r="YO486" s="75"/>
      <c r="YP486" s="75"/>
      <c r="YQ486" s="75"/>
      <c r="YR486" s="75"/>
      <c r="YS486" s="75"/>
      <c r="YT486" s="75"/>
      <c r="YU486" s="75"/>
      <c r="YV486" s="75"/>
      <c r="YW486" s="75"/>
      <c r="YX486" s="75"/>
      <c r="YY486" s="75"/>
      <c r="YZ486" s="75"/>
      <c r="ZA486" s="75"/>
      <c r="ZB486" s="75"/>
      <c r="ZC486" s="75"/>
      <c r="ZD486" s="75"/>
      <c r="ZE486" s="75"/>
      <c r="ZF486" s="75"/>
      <c r="ZG486" s="75"/>
      <c r="ZH486" s="75"/>
      <c r="ZI486" s="75"/>
      <c r="ZJ486" s="75"/>
      <c r="ZK486" s="75"/>
      <c r="ZL486" s="75"/>
      <c r="ZM486" s="75"/>
      <c r="ZN486" s="75"/>
      <c r="ZO486" s="75"/>
      <c r="ZP486" s="75"/>
      <c r="ZQ486" s="75"/>
      <c r="ZR486" s="75"/>
      <c r="ZS486" s="75"/>
      <c r="ZT486" s="75"/>
      <c r="ZU486" s="75"/>
      <c r="ZV486" s="75"/>
      <c r="ZW486" s="75"/>
      <c r="ZX486" s="75"/>
      <c r="ZY486" s="75"/>
      <c r="ZZ486" s="75"/>
      <c r="AAA486" s="75"/>
      <c r="AAB486" s="75"/>
      <c r="AAC486" s="75"/>
      <c r="AAD486" s="75"/>
      <c r="AAE486" s="75"/>
      <c r="AAF486" s="75"/>
      <c r="AAG486" s="75"/>
      <c r="AAH486" s="75"/>
      <c r="AAI486" s="75"/>
      <c r="AAJ486" s="75"/>
      <c r="AAK486" s="75"/>
      <c r="AAL486" s="75"/>
      <c r="AAM486" s="75"/>
      <c r="AAN486" s="75"/>
      <c r="AAO486" s="75"/>
      <c r="AAP486" s="75"/>
      <c r="AAQ486" s="75"/>
      <c r="AAR486" s="75"/>
      <c r="AAS486" s="75"/>
      <c r="AAT486" s="75"/>
      <c r="AAU486" s="75"/>
      <c r="AAV486" s="75"/>
      <c r="AAW486" s="75"/>
      <c r="AAX486" s="75"/>
      <c r="AAY486" s="75"/>
      <c r="AAZ486" s="75"/>
      <c r="ABA486" s="75"/>
      <c r="ABB486" s="75"/>
      <c r="ABC486" s="75"/>
      <c r="ABD486" s="75"/>
      <c r="ABE486" s="75"/>
      <c r="ABF486" s="75"/>
      <c r="ABG486" s="75"/>
      <c r="ABH486" s="75"/>
      <c r="ABI486" s="75"/>
      <c r="ABJ486" s="75"/>
      <c r="ABK486" s="75"/>
      <c r="ABL486" s="75"/>
      <c r="ABM486" s="75"/>
      <c r="ABN486" s="75"/>
      <c r="ABO486" s="75"/>
      <c r="ABP486" s="75"/>
      <c r="ABQ486" s="75"/>
      <c r="ABR486" s="75"/>
      <c r="ABS486" s="75"/>
      <c r="ABT486" s="75"/>
      <c r="ABU486" s="75"/>
      <c r="ABV486" s="75"/>
      <c r="ABW486" s="75"/>
      <c r="ABX486" s="75"/>
      <c r="ABY486" s="75"/>
      <c r="ABZ486" s="75"/>
      <c r="ACA486" s="75"/>
      <c r="ACB486" s="75"/>
      <c r="ACC486" s="75"/>
      <c r="ACD486" s="75"/>
      <c r="ACE486" s="75"/>
      <c r="ACF486" s="75"/>
      <c r="ACG486" s="75"/>
      <c r="ACH486" s="75"/>
      <c r="ACI486" s="75"/>
      <c r="ACJ486" s="75"/>
      <c r="ACK486" s="75"/>
      <c r="ACL486" s="75"/>
      <c r="ACM486" s="75"/>
      <c r="ACN486" s="75"/>
      <c r="ACO486" s="75"/>
      <c r="ACP486" s="75"/>
      <c r="ACQ486" s="75"/>
      <c r="ACR486" s="75"/>
      <c r="ACS486" s="75"/>
      <c r="ACT486" s="75"/>
      <c r="ACU486" s="75"/>
      <c r="ACV486" s="75"/>
      <c r="ACW486" s="75"/>
      <c r="ACX486" s="75"/>
      <c r="ACY486" s="75"/>
      <c r="ACZ486" s="75"/>
      <c r="ADA486" s="75"/>
      <c r="ADB486" s="75"/>
      <c r="ADC486" s="75"/>
      <c r="ADD486" s="75"/>
      <c r="ADE486" s="75"/>
      <c r="ADF486" s="75"/>
      <c r="ADG486" s="75"/>
      <c r="ADH486" s="75"/>
      <c r="ADI486" s="75"/>
      <c r="ADJ486" s="75"/>
      <c r="ADK486" s="75"/>
      <c r="ADL486" s="75"/>
      <c r="ADM486" s="75"/>
      <c r="ADN486" s="75"/>
      <c r="ADO486" s="75"/>
      <c r="ADP486" s="75"/>
      <c r="ADQ486" s="75"/>
      <c r="ADR486" s="75"/>
      <c r="ADS486" s="75"/>
      <c r="ADT486" s="75"/>
      <c r="ADU486" s="75"/>
      <c r="ADV486" s="75"/>
      <c r="ADW486" s="75"/>
      <c r="ADX486" s="75"/>
      <c r="ADY486" s="75"/>
      <c r="ADZ486" s="75"/>
      <c r="AEA486" s="75"/>
      <c r="AEB486" s="75"/>
      <c r="AEC486" s="75"/>
      <c r="AED486" s="75"/>
      <c r="AEE486" s="75"/>
      <c r="AEF486" s="75"/>
      <c r="AEG486" s="75"/>
      <c r="AEH486" s="75"/>
      <c r="AEI486" s="75"/>
      <c r="AEJ486" s="75"/>
      <c r="AEK486" s="75"/>
      <c r="AEL486" s="75"/>
      <c r="AEM486" s="75"/>
      <c r="AEN486" s="75"/>
      <c r="AEO486" s="75"/>
      <c r="AEP486" s="75"/>
      <c r="AEQ486" s="75"/>
      <c r="AER486" s="75"/>
      <c r="AES486" s="75"/>
      <c r="AET486" s="75"/>
      <c r="AEU486" s="75"/>
      <c r="AEV486" s="75"/>
      <c r="AEW486" s="75"/>
      <c r="AEX486" s="75"/>
      <c r="AEY486" s="75"/>
      <c r="AEZ486" s="75"/>
      <c r="AFA486" s="75"/>
      <c r="AFB486" s="75"/>
      <c r="AFC486" s="75"/>
      <c r="AFD486" s="75"/>
      <c r="AFE486" s="75"/>
      <c r="AFF486" s="75"/>
      <c r="AFG486" s="75"/>
      <c r="AFH486" s="75"/>
      <c r="AFI486" s="75"/>
      <c r="AFJ486" s="75"/>
      <c r="AFK486" s="75"/>
      <c r="AFL486" s="75"/>
      <c r="AFM486" s="75"/>
      <c r="AFN486" s="75"/>
      <c r="AFO486" s="75"/>
      <c r="AFP486" s="75"/>
      <c r="AFQ486" s="75"/>
      <c r="AFR486" s="75"/>
      <c r="AFS486" s="75"/>
      <c r="AFT486" s="75"/>
      <c r="AFU486" s="75"/>
      <c r="AFV486" s="75"/>
      <c r="AFW486" s="75"/>
      <c r="AFX486" s="75"/>
      <c r="AFY486" s="75"/>
      <c r="AFZ486" s="75"/>
      <c r="AGA486" s="75"/>
      <c r="AGB486" s="75"/>
      <c r="AGC486" s="75"/>
      <c r="AGD486" s="75"/>
      <c r="AGE486" s="75"/>
      <c r="AGF486" s="75"/>
      <c r="AGG486" s="75"/>
      <c r="AGH486" s="75"/>
      <c r="AGI486" s="75"/>
      <c r="AGJ486" s="75"/>
      <c r="AGK486" s="75"/>
      <c r="AGL486" s="75"/>
      <c r="AGM486" s="75"/>
      <c r="AGN486" s="75"/>
      <c r="AGO486" s="75"/>
      <c r="AGP486" s="75"/>
      <c r="AGQ486" s="75"/>
      <c r="AGR486" s="75"/>
      <c r="AGS486" s="75"/>
      <c r="AGT486" s="75"/>
      <c r="AGU486" s="75"/>
      <c r="AGV486" s="75"/>
      <c r="AGW486" s="75"/>
      <c r="AGX486" s="75"/>
      <c r="AGY486" s="75"/>
      <c r="AGZ486" s="75"/>
      <c r="AHA486" s="75"/>
      <c r="AHB486" s="75"/>
      <c r="AHC486" s="75"/>
      <c r="AHD486" s="75"/>
      <c r="AHE486" s="75"/>
      <c r="AHF486" s="75"/>
      <c r="AHG486" s="75"/>
      <c r="AHH486" s="75"/>
      <c r="AHI486" s="75"/>
      <c r="AHJ486" s="75"/>
      <c r="AHK486" s="75"/>
      <c r="AHL486" s="75"/>
      <c r="AHM486" s="75"/>
      <c r="AHN486" s="75"/>
      <c r="AHO486" s="75"/>
      <c r="AHP486" s="75"/>
      <c r="AHQ486" s="75"/>
      <c r="AHR486" s="75"/>
      <c r="AHS486" s="75"/>
      <c r="AHT486" s="75"/>
      <c r="AHU486" s="75"/>
      <c r="AHV486" s="75"/>
      <c r="AHW486" s="75"/>
      <c r="AHX486" s="75"/>
      <c r="AHY486" s="75"/>
      <c r="AHZ486" s="75"/>
      <c r="AIA486" s="75"/>
      <c r="AIB486" s="75"/>
      <c r="AIC486" s="75"/>
      <c r="AID486" s="75"/>
      <c r="AIE486" s="75"/>
      <c r="AIF486" s="75"/>
      <c r="AIG486" s="75"/>
      <c r="AIH486" s="75"/>
      <c r="AII486" s="75"/>
      <c r="AIJ486" s="75"/>
      <c r="AIK486" s="75"/>
      <c r="AIL486" s="75"/>
      <c r="AIM486" s="75"/>
      <c r="AIN486" s="75"/>
      <c r="AIO486" s="75"/>
      <c r="AIP486" s="75"/>
      <c r="AIQ486" s="75"/>
      <c r="AIR486" s="75"/>
      <c r="AIS486" s="75"/>
      <c r="AIT486" s="75"/>
      <c r="AIU486" s="75"/>
      <c r="AIV486" s="75"/>
      <c r="AIW486" s="75"/>
      <c r="AIX486" s="75"/>
      <c r="AIY486" s="75"/>
      <c r="AIZ486" s="75"/>
      <c r="AJA486" s="75"/>
      <c r="AJB486" s="75"/>
      <c r="AJC486" s="75"/>
      <c r="AJD486" s="75"/>
      <c r="AJE486" s="75"/>
      <c r="AJF486" s="75"/>
      <c r="AJG486" s="75"/>
      <c r="AJH486" s="75"/>
      <c r="AJI486" s="75"/>
      <c r="AJJ486" s="75"/>
      <c r="AJK486" s="75"/>
      <c r="AJL486" s="75"/>
      <c r="AJM486" s="75"/>
      <c r="AJN486" s="75"/>
      <c r="AJO486" s="75"/>
      <c r="AJP486" s="75"/>
      <c r="AJQ486" s="75"/>
      <c r="AJR486" s="75"/>
      <c r="AJS486" s="75"/>
      <c r="AJT486" s="75"/>
      <c r="AJU486" s="75"/>
      <c r="AJV486" s="75"/>
      <c r="AJW486" s="75"/>
      <c r="AJX486" s="75"/>
      <c r="AJY486" s="75"/>
      <c r="AJZ486" s="75"/>
      <c r="AKA486" s="75"/>
      <c r="AKB486" s="75"/>
      <c r="AKC486" s="75"/>
      <c r="AKD486" s="75"/>
      <c r="AKE486" s="75"/>
      <c r="AKF486" s="75"/>
      <c r="AKG486" s="75"/>
      <c r="AKH486" s="75"/>
      <c r="AKI486" s="75"/>
      <c r="AKJ486" s="75"/>
      <c r="AKK486" s="75"/>
      <c r="AKL486" s="75"/>
      <c r="AKM486" s="75"/>
      <c r="AKN486" s="75"/>
      <c r="AKO486" s="75"/>
      <c r="AKP486" s="75"/>
      <c r="AKQ486" s="75"/>
      <c r="AKR486" s="75"/>
      <c r="AKS486" s="75"/>
      <c r="AKT486" s="75"/>
      <c r="AKU486" s="75"/>
      <c r="AKV486" s="75"/>
      <c r="AKW486" s="75"/>
      <c r="AKX486" s="75"/>
      <c r="AKY486" s="75"/>
      <c r="AKZ486" s="75"/>
      <c r="ALA486" s="75"/>
      <c r="ALB486" s="75"/>
      <c r="ALC486" s="75"/>
      <c r="ALD486" s="75"/>
      <c r="ALE486" s="75"/>
      <c r="ALF486" s="75"/>
      <c r="ALG486" s="75"/>
      <c r="ALH486" s="75"/>
      <c r="ALI486" s="75"/>
      <c r="ALJ486" s="75"/>
      <c r="ALK486" s="75"/>
      <c r="ALL486" s="75"/>
      <c r="ALM486" s="75"/>
      <c r="ALN486" s="75"/>
      <c r="ALO486" s="75"/>
    </row>
    <row r="487" spans="1:1003" s="235" customFormat="1" ht="14.55" customHeight="1" outlineLevel="1" x14ac:dyDescent="0.25">
      <c r="A487" s="230" t="s">
        <v>1422</v>
      </c>
      <c r="B487" s="343" t="str">
        <f>"13.0404"</f>
        <v>13.0404</v>
      </c>
      <c r="C487" s="75" t="s">
        <v>2160</v>
      </c>
      <c r="D487" s="127" t="s">
        <v>2161</v>
      </c>
      <c r="E487" s="232"/>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c r="AY487" s="75"/>
      <c r="AZ487" s="75"/>
      <c r="BA487" s="75"/>
      <c r="BB487" s="75"/>
      <c r="BC487" s="75"/>
      <c r="BD487" s="75"/>
      <c r="BE487" s="75"/>
      <c r="BF487" s="75"/>
      <c r="BG487" s="75"/>
      <c r="BH487" s="75"/>
      <c r="BI487" s="75"/>
      <c r="BJ487" s="75"/>
      <c r="BK487" s="75"/>
      <c r="BL487" s="75"/>
      <c r="BM487" s="75"/>
      <c r="BN487" s="75"/>
      <c r="BO487" s="75"/>
      <c r="BP487" s="75"/>
      <c r="BQ487" s="75"/>
      <c r="BR487" s="75"/>
      <c r="BS487" s="75"/>
      <c r="BT487" s="75"/>
      <c r="BU487" s="75"/>
      <c r="BV487" s="75"/>
      <c r="BW487" s="75"/>
      <c r="BX487" s="75"/>
      <c r="BY487" s="75"/>
      <c r="BZ487" s="75"/>
      <c r="CA487" s="75"/>
      <c r="CB487" s="75"/>
      <c r="CC487" s="75"/>
      <c r="CD487" s="75"/>
      <c r="CE487" s="75"/>
      <c r="CF487" s="75"/>
      <c r="CG487" s="75"/>
      <c r="CH487" s="75"/>
      <c r="CI487" s="75"/>
      <c r="CJ487" s="75"/>
      <c r="CK487" s="75"/>
      <c r="CL487" s="75"/>
      <c r="CM487" s="75"/>
      <c r="CN487" s="75"/>
      <c r="CO487" s="75"/>
      <c r="CP487" s="75"/>
      <c r="CQ487" s="75"/>
      <c r="CR487" s="75"/>
      <c r="CS487" s="75"/>
      <c r="CT487" s="75"/>
      <c r="CU487" s="75"/>
      <c r="CV487" s="75"/>
      <c r="CW487" s="75"/>
      <c r="CX487" s="75"/>
      <c r="CY487" s="75"/>
      <c r="CZ487" s="75"/>
      <c r="DA487" s="75"/>
      <c r="DB487" s="75"/>
      <c r="DC487" s="75"/>
      <c r="DD487" s="75"/>
      <c r="DE487" s="75"/>
      <c r="DF487" s="75"/>
      <c r="DG487" s="75"/>
      <c r="DH487" s="75"/>
      <c r="DI487" s="75"/>
      <c r="DJ487" s="75"/>
      <c r="DK487" s="75"/>
      <c r="DL487" s="75"/>
      <c r="DM487" s="75"/>
      <c r="DN487" s="75"/>
      <c r="DO487" s="75"/>
      <c r="DP487" s="75"/>
      <c r="DQ487" s="75"/>
      <c r="DR487" s="75"/>
      <c r="DS487" s="75"/>
      <c r="DT487" s="75"/>
      <c r="DU487" s="75"/>
      <c r="DV487" s="75"/>
      <c r="DW487" s="75"/>
      <c r="DX487" s="75"/>
      <c r="DY487" s="75"/>
      <c r="DZ487" s="75"/>
      <c r="EA487" s="75"/>
      <c r="EB487" s="75"/>
      <c r="EC487" s="75"/>
      <c r="ED487" s="75"/>
      <c r="EE487" s="75"/>
      <c r="EF487" s="75"/>
      <c r="EG487" s="75"/>
      <c r="EH487" s="75"/>
      <c r="EI487" s="75"/>
      <c r="EJ487" s="75"/>
      <c r="EK487" s="75"/>
      <c r="EL487" s="75"/>
      <c r="EM487" s="75"/>
      <c r="EN487" s="75"/>
      <c r="EO487" s="75"/>
      <c r="EP487" s="75"/>
      <c r="EQ487" s="75"/>
      <c r="ER487" s="75"/>
      <c r="ES487" s="75"/>
      <c r="ET487" s="75"/>
      <c r="EU487" s="75"/>
      <c r="EV487" s="75"/>
      <c r="EW487" s="75"/>
      <c r="EX487" s="75"/>
      <c r="EY487" s="75"/>
      <c r="EZ487" s="75"/>
      <c r="FA487" s="75"/>
      <c r="FB487" s="75"/>
      <c r="FC487" s="75"/>
      <c r="FD487" s="75"/>
      <c r="FE487" s="75"/>
      <c r="FF487" s="75"/>
      <c r="FG487" s="75"/>
      <c r="FH487" s="75"/>
      <c r="FI487" s="75"/>
      <c r="FJ487" s="75"/>
      <c r="FK487" s="75"/>
      <c r="FL487" s="75"/>
      <c r="FM487" s="75"/>
      <c r="FN487" s="75"/>
      <c r="FO487" s="75"/>
      <c r="FP487" s="75"/>
      <c r="FQ487" s="75"/>
      <c r="FR487" s="75"/>
      <c r="FS487" s="75"/>
      <c r="FT487" s="75"/>
      <c r="FU487" s="75"/>
      <c r="FV487" s="75"/>
      <c r="FW487" s="75"/>
      <c r="FX487" s="75"/>
      <c r="FY487" s="75"/>
      <c r="FZ487" s="75"/>
      <c r="GA487" s="75"/>
      <c r="GB487" s="75"/>
      <c r="GC487" s="75"/>
      <c r="GD487" s="75"/>
      <c r="GE487" s="75"/>
      <c r="GF487" s="75"/>
      <c r="GG487" s="75"/>
      <c r="GH487" s="75"/>
      <c r="GI487" s="75"/>
      <c r="GJ487" s="75"/>
      <c r="GK487" s="75"/>
      <c r="GL487" s="75"/>
      <c r="GM487" s="75"/>
      <c r="GN487" s="75"/>
      <c r="GO487" s="75"/>
      <c r="GP487" s="75"/>
      <c r="GQ487" s="75"/>
      <c r="GR487" s="75"/>
      <c r="GS487" s="75"/>
      <c r="GT487" s="75"/>
      <c r="GU487" s="75"/>
      <c r="GV487" s="75"/>
      <c r="GW487" s="75"/>
      <c r="GX487" s="75"/>
      <c r="GY487" s="75"/>
      <c r="GZ487" s="75"/>
      <c r="HA487" s="75"/>
      <c r="HB487" s="75"/>
      <c r="HC487" s="75"/>
      <c r="HD487" s="75"/>
      <c r="HE487" s="75"/>
      <c r="HF487" s="75"/>
      <c r="HG487" s="75"/>
      <c r="HH487" s="75"/>
      <c r="HI487" s="75"/>
      <c r="HJ487" s="75"/>
      <c r="HK487" s="75"/>
      <c r="HL487" s="75"/>
      <c r="HM487" s="75"/>
      <c r="HN487" s="75"/>
      <c r="HO487" s="75"/>
      <c r="HP487" s="75"/>
      <c r="HQ487" s="75"/>
      <c r="HR487" s="75"/>
      <c r="HS487" s="75"/>
      <c r="HT487" s="75"/>
      <c r="HU487" s="75"/>
      <c r="HV487" s="75"/>
      <c r="HW487" s="75"/>
      <c r="HX487" s="75"/>
      <c r="HY487" s="75"/>
      <c r="HZ487" s="75"/>
      <c r="IA487" s="75"/>
      <c r="IB487" s="75"/>
      <c r="IC487" s="75"/>
      <c r="ID487" s="75"/>
      <c r="IE487" s="75"/>
      <c r="IF487" s="75"/>
      <c r="IG487" s="75"/>
      <c r="IH487" s="75"/>
      <c r="II487" s="75"/>
      <c r="IJ487" s="75"/>
      <c r="IK487" s="75"/>
      <c r="IL487" s="75"/>
      <c r="IM487" s="75"/>
      <c r="IN487" s="75"/>
      <c r="IO487" s="75"/>
      <c r="IP487" s="75"/>
      <c r="IQ487" s="75"/>
      <c r="IR487" s="75"/>
      <c r="IS487" s="75"/>
      <c r="IT487" s="75"/>
      <c r="IU487" s="75"/>
      <c r="IV487" s="75"/>
      <c r="IW487" s="75"/>
      <c r="IX487" s="75"/>
      <c r="IY487" s="75"/>
      <c r="IZ487" s="75"/>
      <c r="JA487" s="75"/>
      <c r="JB487" s="75"/>
      <c r="JC487" s="75"/>
      <c r="JD487" s="75"/>
      <c r="JE487" s="75"/>
      <c r="JF487" s="75"/>
      <c r="JG487" s="75"/>
      <c r="JH487" s="75"/>
      <c r="JI487" s="75"/>
      <c r="JJ487" s="75"/>
      <c r="JK487" s="75"/>
      <c r="JL487" s="75"/>
      <c r="JM487" s="75"/>
      <c r="JN487" s="75"/>
      <c r="JO487" s="75"/>
      <c r="JP487" s="75"/>
      <c r="JQ487" s="75"/>
      <c r="JR487" s="75"/>
      <c r="JS487" s="75"/>
      <c r="JT487" s="75"/>
      <c r="JU487" s="75"/>
      <c r="JV487" s="75"/>
      <c r="JW487" s="75"/>
      <c r="JX487" s="75"/>
      <c r="JY487" s="75"/>
      <c r="JZ487" s="75"/>
      <c r="KA487" s="75"/>
      <c r="KB487" s="75"/>
      <c r="KC487" s="75"/>
      <c r="KD487" s="75"/>
      <c r="KE487" s="75"/>
      <c r="KF487" s="75"/>
      <c r="KG487" s="75"/>
      <c r="KH487" s="75"/>
      <c r="KI487" s="75"/>
      <c r="KJ487" s="75"/>
      <c r="KK487" s="75"/>
      <c r="KL487" s="75"/>
      <c r="KM487" s="75"/>
      <c r="KN487" s="75"/>
      <c r="KO487" s="75"/>
      <c r="KP487" s="75"/>
      <c r="KQ487" s="75"/>
      <c r="KR487" s="75"/>
      <c r="KS487" s="75"/>
      <c r="KT487" s="75"/>
      <c r="KU487" s="75"/>
      <c r="KV487" s="75"/>
      <c r="KW487" s="75"/>
      <c r="KX487" s="75"/>
      <c r="KY487" s="75"/>
      <c r="KZ487" s="75"/>
      <c r="LA487" s="75"/>
      <c r="LB487" s="75"/>
      <c r="LC487" s="75"/>
      <c r="LD487" s="75"/>
      <c r="LE487" s="75"/>
      <c r="LF487" s="75"/>
      <c r="LG487" s="75"/>
      <c r="LH487" s="75"/>
      <c r="LI487" s="75"/>
      <c r="LJ487" s="75"/>
      <c r="LK487" s="75"/>
      <c r="LL487" s="75"/>
      <c r="LM487" s="75"/>
      <c r="LN487" s="75"/>
      <c r="LO487" s="75"/>
      <c r="LP487" s="75"/>
      <c r="LQ487" s="75"/>
      <c r="LR487" s="75"/>
      <c r="LS487" s="75"/>
      <c r="LT487" s="75"/>
      <c r="LU487" s="75"/>
      <c r="LV487" s="75"/>
      <c r="LW487" s="75"/>
      <c r="LX487" s="75"/>
      <c r="LY487" s="75"/>
      <c r="LZ487" s="75"/>
      <c r="MA487" s="75"/>
      <c r="MB487" s="75"/>
      <c r="MC487" s="75"/>
      <c r="MD487" s="75"/>
      <c r="ME487" s="75"/>
      <c r="MF487" s="75"/>
      <c r="MG487" s="75"/>
      <c r="MH487" s="75"/>
      <c r="MI487" s="75"/>
      <c r="MJ487" s="75"/>
      <c r="MK487" s="75"/>
      <c r="ML487" s="75"/>
      <c r="MM487" s="75"/>
      <c r="MN487" s="75"/>
      <c r="MO487" s="75"/>
      <c r="MP487" s="75"/>
      <c r="MQ487" s="75"/>
      <c r="MR487" s="75"/>
      <c r="MS487" s="75"/>
      <c r="MT487" s="75"/>
      <c r="MU487" s="75"/>
      <c r="MV487" s="75"/>
      <c r="MW487" s="75"/>
      <c r="MX487" s="75"/>
      <c r="MY487" s="75"/>
      <c r="MZ487" s="75"/>
      <c r="NA487" s="75"/>
      <c r="NB487" s="75"/>
      <c r="NC487" s="75"/>
      <c r="ND487" s="75"/>
      <c r="NE487" s="75"/>
      <c r="NF487" s="75"/>
      <c r="NG487" s="75"/>
      <c r="NH487" s="75"/>
      <c r="NI487" s="75"/>
      <c r="NJ487" s="75"/>
      <c r="NK487" s="75"/>
      <c r="NL487" s="75"/>
      <c r="NM487" s="75"/>
      <c r="NN487" s="75"/>
      <c r="NO487" s="75"/>
      <c r="NP487" s="75"/>
      <c r="NQ487" s="75"/>
      <c r="NR487" s="75"/>
      <c r="NS487" s="75"/>
      <c r="NT487" s="75"/>
      <c r="NU487" s="75"/>
      <c r="NV487" s="75"/>
      <c r="NW487" s="75"/>
      <c r="NX487" s="75"/>
      <c r="NY487" s="75"/>
      <c r="NZ487" s="75"/>
      <c r="OA487" s="75"/>
      <c r="OB487" s="75"/>
      <c r="OC487" s="75"/>
      <c r="OD487" s="75"/>
      <c r="OE487" s="75"/>
      <c r="OF487" s="75"/>
      <c r="OG487" s="75"/>
      <c r="OH487" s="75"/>
      <c r="OI487" s="75"/>
      <c r="OJ487" s="75"/>
      <c r="OK487" s="75"/>
      <c r="OL487" s="75"/>
      <c r="OM487" s="75"/>
      <c r="ON487" s="75"/>
      <c r="OO487" s="75"/>
      <c r="OP487" s="75"/>
      <c r="OQ487" s="75"/>
      <c r="OR487" s="75"/>
      <c r="OS487" s="75"/>
      <c r="OT487" s="75"/>
      <c r="OU487" s="75"/>
      <c r="OV487" s="75"/>
      <c r="OW487" s="75"/>
      <c r="OX487" s="75"/>
      <c r="OY487" s="75"/>
      <c r="OZ487" s="75"/>
      <c r="PA487" s="75"/>
      <c r="PB487" s="75"/>
      <c r="PC487" s="75"/>
      <c r="PD487" s="75"/>
      <c r="PE487" s="75"/>
      <c r="PF487" s="75"/>
      <c r="PG487" s="75"/>
      <c r="PH487" s="75"/>
      <c r="PI487" s="75"/>
      <c r="PJ487" s="75"/>
      <c r="PK487" s="75"/>
      <c r="PL487" s="75"/>
      <c r="PM487" s="75"/>
      <c r="PN487" s="75"/>
      <c r="PO487" s="75"/>
      <c r="PP487" s="75"/>
      <c r="PQ487" s="75"/>
      <c r="PR487" s="75"/>
      <c r="PS487" s="75"/>
      <c r="PT487" s="75"/>
      <c r="PU487" s="75"/>
      <c r="PV487" s="75"/>
      <c r="PW487" s="75"/>
      <c r="PX487" s="75"/>
      <c r="PY487" s="75"/>
      <c r="PZ487" s="75"/>
      <c r="QA487" s="75"/>
      <c r="QB487" s="75"/>
      <c r="QC487" s="75"/>
      <c r="QD487" s="75"/>
      <c r="QE487" s="75"/>
      <c r="QF487" s="75"/>
      <c r="QG487" s="75"/>
      <c r="QH487" s="75"/>
      <c r="QI487" s="75"/>
      <c r="QJ487" s="75"/>
      <c r="QK487" s="75"/>
      <c r="QL487" s="75"/>
      <c r="QM487" s="75"/>
      <c r="QN487" s="75"/>
      <c r="QO487" s="75"/>
      <c r="QP487" s="75"/>
      <c r="QQ487" s="75"/>
      <c r="QR487" s="75"/>
      <c r="QS487" s="75"/>
      <c r="QT487" s="75"/>
      <c r="QU487" s="75"/>
      <c r="QV487" s="75"/>
      <c r="QW487" s="75"/>
      <c r="QX487" s="75"/>
      <c r="QY487" s="75"/>
      <c r="QZ487" s="75"/>
      <c r="RA487" s="75"/>
      <c r="RB487" s="75"/>
      <c r="RC487" s="75"/>
      <c r="RD487" s="75"/>
      <c r="RE487" s="75"/>
      <c r="RF487" s="75"/>
      <c r="RG487" s="75"/>
      <c r="RH487" s="75"/>
      <c r="RI487" s="75"/>
      <c r="RJ487" s="75"/>
      <c r="RK487" s="75"/>
      <c r="RL487" s="75"/>
      <c r="RM487" s="75"/>
      <c r="RN487" s="75"/>
      <c r="RO487" s="75"/>
      <c r="RP487" s="75"/>
      <c r="RQ487" s="75"/>
      <c r="RR487" s="75"/>
      <c r="RS487" s="75"/>
      <c r="RT487" s="75"/>
      <c r="RU487" s="75"/>
      <c r="RV487" s="75"/>
      <c r="RW487" s="75"/>
      <c r="RX487" s="75"/>
      <c r="RY487" s="75"/>
      <c r="RZ487" s="75"/>
      <c r="SA487" s="75"/>
      <c r="SB487" s="75"/>
      <c r="SC487" s="75"/>
      <c r="SD487" s="75"/>
      <c r="SE487" s="75"/>
      <c r="SF487" s="75"/>
      <c r="SG487" s="75"/>
      <c r="SH487" s="75"/>
      <c r="SI487" s="75"/>
      <c r="SJ487" s="75"/>
      <c r="SK487" s="75"/>
      <c r="SL487" s="75"/>
      <c r="SM487" s="75"/>
      <c r="SN487" s="75"/>
      <c r="SO487" s="75"/>
      <c r="SP487" s="75"/>
      <c r="SQ487" s="75"/>
      <c r="SR487" s="75"/>
      <c r="SS487" s="75"/>
      <c r="ST487" s="75"/>
      <c r="SU487" s="75"/>
      <c r="SV487" s="75"/>
      <c r="SW487" s="75"/>
      <c r="SX487" s="75"/>
      <c r="SY487" s="75"/>
      <c r="SZ487" s="75"/>
      <c r="TA487" s="75"/>
      <c r="TB487" s="75"/>
      <c r="TC487" s="75"/>
      <c r="TD487" s="75"/>
      <c r="TE487" s="75"/>
      <c r="TF487" s="75"/>
      <c r="TG487" s="75"/>
      <c r="TH487" s="75"/>
      <c r="TI487" s="75"/>
      <c r="TJ487" s="75"/>
      <c r="TK487" s="75"/>
      <c r="TL487" s="75"/>
      <c r="TM487" s="75"/>
      <c r="TN487" s="75"/>
      <c r="TO487" s="75"/>
      <c r="TP487" s="75"/>
      <c r="TQ487" s="75"/>
      <c r="TR487" s="75"/>
      <c r="TS487" s="75"/>
      <c r="TT487" s="75"/>
      <c r="TU487" s="75"/>
      <c r="TV487" s="75"/>
      <c r="TW487" s="75"/>
      <c r="TX487" s="75"/>
      <c r="TY487" s="75"/>
      <c r="TZ487" s="75"/>
      <c r="UA487" s="75"/>
      <c r="UB487" s="75"/>
      <c r="UC487" s="75"/>
      <c r="UD487" s="75"/>
      <c r="UE487" s="75"/>
      <c r="UF487" s="75"/>
      <c r="UG487" s="75"/>
      <c r="UH487" s="75"/>
      <c r="UI487" s="75"/>
      <c r="UJ487" s="75"/>
      <c r="UK487" s="75"/>
      <c r="UL487" s="75"/>
      <c r="UM487" s="75"/>
      <c r="UN487" s="75"/>
      <c r="UO487" s="75"/>
      <c r="UP487" s="75"/>
      <c r="UQ487" s="75"/>
      <c r="UR487" s="75"/>
      <c r="US487" s="75"/>
      <c r="UT487" s="75"/>
      <c r="UU487" s="75"/>
      <c r="UV487" s="75"/>
      <c r="UW487" s="75"/>
      <c r="UX487" s="75"/>
      <c r="UY487" s="75"/>
      <c r="UZ487" s="75"/>
      <c r="VA487" s="75"/>
      <c r="VB487" s="75"/>
      <c r="VC487" s="75"/>
      <c r="VD487" s="75"/>
      <c r="VE487" s="75"/>
      <c r="VF487" s="75"/>
      <c r="VG487" s="75"/>
      <c r="VH487" s="75"/>
      <c r="VI487" s="75"/>
      <c r="VJ487" s="75"/>
      <c r="VK487" s="75"/>
      <c r="VL487" s="75"/>
      <c r="VM487" s="75"/>
      <c r="VN487" s="75"/>
      <c r="VO487" s="75"/>
      <c r="VP487" s="75"/>
      <c r="VQ487" s="75"/>
      <c r="VR487" s="75"/>
      <c r="VS487" s="75"/>
      <c r="VT487" s="75"/>
      <c r="VU487" s="75"/>
      <c r="VV487" s="75"/>
      <c r="VW487" s="75"/>
      <c r="VX487" s="75"/>
      <c r="VY487" s="75"/>
      <c r="VZ487" s="75"/>
      <c r="WA487" s="75"/>
      <c r="WB487" s="75"/>
      <c r="WC487" s="75"/>
      <c r="WD487" s="75"/>
      <c r="WE487" s="75"/>
      <c r="WF487" s="75"/>
      <c r="WG487" s="75"/>
      <c r="WH487" s="75"/>
      <c r="WI487" s="75"/>
      <c r="WJ487" s="75"/>
      <c r="WK487" s="75"/>
      <c r="WL487" s="75"/>
      <c r="WM487" s="75"/>
      <c r="WN487" s="75"/>
      <c r="WO487" s="75"/>
      <c r="WP487" s="75"/>
      <c r="WQ487" s="75"/>
      <c r="WR487" s="75"/>
      <c r="WS487" s="75"/>
      <c r="WT487" s="75"/>
      <c r="WU487" s="75"/>
      <c r="WV487" s="75"/>
      <c r="WW487" s="75"/>
      <c r="WX487" s="75"/>
      <c r="WY487" s="75"/>
      <c r="WZ487" s="75"/>
      <c r="XA487" s="75"/>
      <c r="XB487" s="75"/>
      <c r="XC487" s="75"/>
      <c r="XD487" s="75"/>
      <c r="XE487" s="75"/>
      <c r="XF487" s="75"/>
      <c r="XG487" s="75"/>
      <c r="XH487" s="75"/>
      <c r="XI487" s="75"/>
      <c r="XJ487" s="75"/>
      <c r="XK487" s="75"/>
      <c r="XL487" s="75"/>
      <c r="XM487" s="75"/>
      <c r="XN487" s="75"/>
      <c r="XO487" s="75"/>
      <c r="XP487" s="75"/>
      <c r="XQ487" s="75"/>
      <c r="XR487" s="75"/>
      <c r="XS487" s="75"/>
      <c r="XT487" s="75"/>
      <c r="XU487" s="75"/>
      <c r="XV487" s="75"/>
      <c r="XW487" s="75"/>
      <c r="XX487" s="75"/>
      <c r="XY487" s="75"/>
      <c r="XZ487" s="75"/>
      <c r="YA487" s="75"/>
      <c r="YB487" s="75"/>
      <c r="YC487" s="75"/>
      <c r="YD487" s="75"/>
      <c r="YE487" s="75"/>
      <c r="YF487" s="75"/>
      <c r="YG487" s="75"/>
      <c r="YH487" s="75"/>
      <c r="YI487" s="75"/>
      <c r="YJ487" s="75"/>
      <c r="YK487" s="75"/>
      <c r="YL487" s="75"/>
      <c r="YM487" s="75"/>
      <c r="YN487" s="75"/>
      <c r="YO487" s="75"/>
      <c r="YP487" s="75"/>
      <c r="YQ487" s="75"/>
      <c r="YR487" s="75"/>
      <c r="YS487" s="75"/>
      <c r="YT487" s="75"/>
      <c r="YU487" s="75"/>
      <c r="YV487" s="75"/>
      <c r="YW487" s="75"/>
      <c r="YX487" s="75"/>
      <c r="YY487" s="75"/>
      <c r="YZ487" s="75"/>
      <c r="ZA487" s="75"/>
      <c r="ZB487" s="75"/>
      <c r="ZC487" s="75"/>
      <c r="ZD487" s="75"/>
      <c r="ZE487" s="75"/>
      <c r="ZF487" s="75"/>
      <c r="ZG487" s="75"/>
      <c r="ZH487" s="75"/>
      <c r="ZI487" s="75"/>
      <c r="ZJ487" s="75"/>
      <c r="ZK487" s="75"/>
      <c r="ZL487" s="75"/>
      <c r="ZM487" s="75"/>
      <c r="ZN487" s="75"/>
      <c r="ZO487" s="75"/>
      <c r="ZP487" s="75"/>
      <c r="ZQ487" s="75"/>
      <c r="ZR487" s="75"/>
      <c r="ZS487" s="75"/>
      <c r="ZT487" s="75"/>
      <c r="ZU487" s="75"/>
      <c r="ZV487" s="75"/>
      <c r="ZW487" s="75"/>
      <c r="ZX487" s="75"/>
      <c r="ZY487" s="75"/>
      <c r="ZZ487" s="75"/>
      <c r="AAA487" s="75"/>
      <c r="AAB487" s="75"/>
      <c r="AAC487" s="75"/>
      <c r="AAD487" s="75"/>
      <c r="AAE487" s="75"/>
      <c r="AAF487" s="75"/>
      <c r="AAG487" s="75"/>
      <c r="AAH487" s="75"/>
      <c r="AAI487" s="75"/>
      <c r="AAJ487" s="75"/>
      <c r="AAK487" s="75"/>
      <c r="AAL487" s="75"/>
      <c r="AAM487" s="75"/>
      <c r="AAN487" s="75"/>
      <c r="AAO487" s="75"/>
      <c r="AAP487" s="75"/>
      <c r="AAQ487" s="75"/>
      <c r="AAR487" s="75"/>
      <c r="AAS487" s="75"/>
      <c r="AAT487" s="75"/>
      <c r="AAU487" s="75"/>
      <c r="AAV487" s="75"/>
      <c r="AAW487" s="75"/>
      <c r="AAX487" s="75"/>
      <c r="AAY487" s="75"/>
      <c r="AAZ487" s="75"/>
      <c r="ABA487" s="75"/>
      <c r="ABB487" s="75"/>
      <c r="ABC487" s="75"/>
      <c r="ABD487" s="75"/>
      <c r="ABE487" s="75"/>
      <c r="ABF487" s="75"/>
      <c r="ABG487" s="75"/>
      <c r="ABH487" s="75"/>
      <c r="ABI487" s="75"/>
      <c r="ABJ487" s="75"/>
      <c r="ABK487" s="75"/>
      <c r="ABL487" s="75"/>
      <c r="ABM487" s="75"/>
      <c r="ABN487" s="75"/>
      <c r="ABO487" s="75"/>
      <c r="ABP487" s="75"/>
      <c r="ABQ487" s="75"/>
      <c r="ABR487" s="75"/>
      <c r="ABS487" s="75"/>
      <c r="ABT487" s="75"/>
      <c r="ABU487" s="75"/>
      <c r="ABV487" s="75"/>
      <c r="ABW487" s="75"/>
      <c r="ABX487" s="75"/>
      <c r="ABY487" s="75"/>
      <c r="ABZ487" s="75"/>
      <c r="ACA487" s="75"/>
      <c r="ACB487" s="75"/>
      <c r="ACC487" s="75"/>
      <c r="ACD487" s="75"/>
      <c r="ACE487" s="75"/>
      <c r="ACF487" s="75"/>
      <c r="ACG487" s="75"/>
      <c r="ACH487" s="75"/>
      <c r="ACI487" s="75"/>
      <c r="ACJ487" s="75"/>
      <c r="ACK487" s="75"/>
      <c r="ACL487" s="75"/>
      <c r="ACM487" s="75"/>
      <c r="ACN487" s="75"/>
      <c r="ACO487" s="75"/>
      <c r="ACP487" s="75"/>
      <c r="ACQ487" s="75"/>
      <c r="ACR487" s="75"/>
      <c r="ACS487" s="75"/>
      <c r="ACT487" s="75"/>
      <c r="ACU487" s="75"/>
      <c r="ACV487" s="75"/>
      <c r="ACW487" s="75"/>
      <c r="ACX487" s="75"/>
      <c r="ACY487" s="75"/>
      <c r="ACZ487" s="75"/>
      <c r="ADA487" s="75"/>
      <c r="ADB487" s="75"/>
      <c r="ADC487" s="75"/>
      <c r="ADD487" s="75"/>
      <c r="ADE487" s="75"/>
      <c r="ADF487" s="75"/>
      <c r="ADG487" s="75"/>
      <c r="ADH487" s="75"/>
      <c r="ADI487" s="75"/>
      <c r="ADJ487" s="75"/>
      <c r="ADK487" s="75"/>
      <c r="ADL487" s="75"/>
      <c r="ADM487" s="75"/>
      <c r="ADN487" s="75"/>
      <c r="ADO487" s="75"/>
      <c r="ADP487" s="75"/>
      <c r="ADQ487" s="75"/>
      <c r="ADR487" s="75"/>
      <c r="ADS487" s="75"/>
      <c r="ADT487" s="75"/>
      <c r="ADU487" s="75"/>
      <c r="ADV487" s="75"/>
      <c r="ADW487" s="75"/>
      <c r="ADX487" s="75"/>
      <c r="ADY487" s="75"/>
      <c r="ADZ487" s="75"/>
      <c r="AEA487" s="75"/>
      <c r="AEB487" s="75"/>
      <c r="AEC487" s="75"/>
      <c r="AED487" s="75"/>
      <c r="AEE487" s="75"/>
      <c r="AEF487" s="75"/>
      <c r="AEG487" s="75"/>
      <c r="AEH487" s="75"/>
      <c r="AEI487" s="75"/>
      <c r="AEJ487" s="75"/>
      <c r="AEK487" s="75"/>
      <c r="AEL487" s="75"/>
      <c r="AEM487" s="75"/>
      <c r="AEN487" s="75"/>
      <c r="AEO487" s="75"/>
      <c r="AEP487" s="75"/>
      <c r="AEQ487" s="75"/>
      <c r="AER487" s="75"/>
      <c r="AES487" s="75"/>
      <c r="AET487" s="75"/>
      <c r="AEU487" s="75"/>
      <c r="AEV487" s="75"/>
      <c r="AEW487" s="75"/>
      <c r="AEX487" s="75"/>
      <c r="AEY487" s="75"/>
      <c r="AEZ487" s="75"/>
      <c r="AFA487" s="75"/>
      <c r="AFB487" s="75"/>
      <c r="AFC487" s="75"/>
      <c r="AFD487" s="75"/>
      <c r="AFE487" s="75"/>
      <c r="AFF487" s="75"/>
      <c r="AFG487" s="75"/>
      <c r="AFH487" s="75"/>
      <c r="AFI487" s="75"/>
      <c r="AFJ487" s="75"/>
      <c r="AFK487" s="75"/>
      <c r="AFL487" s="75"/>
      <c r="AFM487" s="75"/>
      <c r="AFN487" s="75"/>
      <c r="AFO487" s="75"/>
      <c r="AFP487" s="75"/>
      <c r="AFQ487" s="75"/>
      <c r="AFR487" s="75"/>
      <c r="AFS487" s="75"/>
      <c r="AFT487" s="75"/>
      <c r="AFU487" s="75"/>
      <c r="AFV487" s="75"/>
      <c r="AFW487" s="75"/>
      <c r="AFX487" s="75"/>
      <c r="AFY487" s="75"/>
      <c r="AFZ487" s="75"/>
      <c r="AGA487" s="75"/>
      <c r="AGB487" s="75"/>
      <c r="AGC487" s="75"/>
      <c r="AGD487" s="75"/>
      <c r="AGE487" s="75"/>
      <c r="AGF487" s="75"/>
      <c r="AGG487" s="75"/>
      <c r="AGH487" s="75"/>
      <c r="AGI487" s="75"/>
      <c r="AGJ487" s="75"/>
      <c r="AGK487" s="75"/>
      <c r="AGL487" s="75"/>
      <c r="AGM487" s="75"/>
      <c r="AGN487" s="75"/>
      <c r="AGO487" s="75"/>
      <c r="AGP487" s="75"/>
      <c r="AGQ487" s="75"/>
      <c r="AGR487" s="75"/>
      <c r="AGS487" s="75"/>
      <c r="AGT487" s="75"/>
      <c r="AGU487" s="75"/>
      <c r="AGV487" s="75"/>
      <c r="AGW487" s="75"/>
      <c r="AGX487" s="75"/>
      <c r="AGY487" s="75"/>
      <c r="AGZ487" s="75"/>
      <c r="AHA487" s="75"/>
      <c r="AHB487" s="75"/>
      <c r="AHC487" s="75"/>
      <c r="AHD487" s="75"/>
      <c r="AHE487" s="75"/>
      <c r="AHF487" s="75"/>
      <c r="AHG487" s="75"/>
      <c r="AHH487" s="75"/>
      <c r="AHI487" s="75"/>
      <c r="AHJ487" s="75"/>
      <c r="AHK487" s="75"/>
      <c r="AHL487" s="75"/>
      <c r="AHM487" s="75"/>
      <c r="AHN487" s="75"/>
      <c r="AHO487" s="75"/>
      <c r="AHP487" s="75"/>
      <c r="AHQ487" s="75"/>
      <c r="AHR487" s="75"/>
      <c r="AHS487" s="75"/>
      <c r="AHT487" s="75"/>
      <c r="AHU487" s="75"/>
      <c r="AHV487" s="75"/>
      <c r="AHW487" s="75"/>
      <c r="AHX487" s="75"/>
      <c r="AHY487" s="75"/>
      <c r="AHZ487" s="75"/>
      <c r="AIA487" s="75"/>
      <c r="AIB487" s="75"/>
      <c r="AIC487" s="75"/>
      <c r="AID487" s="75"/>
      <c r="AIE487" s="75"/>
      <c r="AIF487" s="75"/>
      <c r="AIG487" s="75"/>
      <c r="AIH487" s="75"/>
      <c r="AII487" s="75"/>
      <c r="AIJ487" s="75"/>
      <c r="AIK487" s="75"/>
      <c r="AIL487" s="75"/>
      <c r="AIM487" s="75"/>
      <c r="AIN487" s="75"/>
      <c r="AIO487" s="75"/>
      <c r="AIP487" s="75"/>
      <c r="AIQ487" s="75"/>
      <c r="AIR487" s="75"/>
      <c r="AIS487" s="75"/>
      <c r="AIT487" s="75"/>
      <c r="AIU487" s="75"/>
      <c r="AIV487" s="75"/>
      <c r="AIW487" s="75"/>
      <c r="AIX487" s="75"/>
      <c r="AIY487" s="75"/>
      <c r="AIZ487" s="75"/>
      <c r="AJA487" s="75"/>
      <c r="AJB487" s="75"/>
      <c r="AJC487" s="75"/>
      <c r="AJD487" s="75"/>
      <c r="AJE487" s="75"/>
      <c r="AJF487" s="75"/>
      <c r="AJG487" s="75"/>
      <c r="AJH487" s="75"/>
      <c r="AJI487" s="75"/>
      <c r="AJJ487" s="75"/>
      <c r="AJK487" s="75"/>
      <c r="AJL487" s="75"/>
      <c r="AJM487" s="75"/>
      <c r="AJN487" s="75"/>
      <c r="AJO487" s="75"/>
      <c r="AJP487" s="75"/>
      <c r="AJQ487" s="75"/>
      <c r="AJR487" s="75"/>
      <c r="AJS487" s="75"/>
      <c r="AJT487" s="75"/>
      <c r="AJU487" s="75"/>
      <c r="AJV487" s="75"/>
      <c r="AJW487" s="75"/>
      <c r="AJX487" s="75"/>
      <c r="AJY487" s="75"/>
      <c r="AJZ487" s="75"/>
      <c r="AKA487" s="75"/>
      <c r="AKB487" s="75"/>
      <c r="AKC487" s="75"/>
      <c r="AKD487" s="75"/>
      <c r="AKE487" s="75"/>
      <c r="AKF487" s="75"/>
      <c r="AKG487" s="75"/>
      <c r="AKH487" s="75"/>
      <c r="AKI487" s="75"/>
      <c r="AKJ487" s="75"/>
      <c r="AKK487" s="75"/>
      <c r="AKL487" s="75"/>
      <c r="AKM487" s="75"/>
      <c r="AKN487" s="75"/>
      <c r="AKO487" s="75"/>
      <c r="AKP487" s="75"/>
      <c r="AKQ487" s="75"/>
      <c r="AKR487" s="75"/>
      <c r="AKS487" s="75"/>
      <c r="AKT487" s="75"/>
      <c r="AKU487" s="75"/>
      <c r="AKV487" s="75"/>
      <c r="AKW487" s="75"/>
      <c r="AKX487" s="75"/>
      <c r="AKY487" s="75"/>
      <c r="AKZ487" s="75"/>
      <c r="ALA487" s="75"/>
      <c r="ALB487" s="75"/>
      <c r="ALC487" s="75"/>
      <c r="ALD487" s="75"/>
      <c r="ALE487" s="75"/>
      <c r="ALF487" s="75"/>
      <c r="ALG487" s="75"/>
      <c r="ALH487" s="75"/>
      <c r="ALI487" s="75"/>
      <c r="ALJ487" s="75"/>
      <c r="ALK487" s="75"/>
      <c r="ALL487" s="75"/>
      <c r="ALM487" s="75"/>
      <c r="ALN487" s="75"/>
      <c r="ALO487" s="75"/>
    </row>
    <row r="488" spans="1:1003" s="235" customFormat="1" ht="14.55" customHeight="1" outlineLevel="1" x14ac:dyDescent="0.25">
      <c r="A488" s="230" t="s">
        <v>1422</v>
      </c>
      <c r="B488" s="343" t="str">
        <f>"13.0406"</f>
        <v>13.0406</v>
      </c>
      <c r="C488" s="75" t="s">
        <v>2162</v>
      </c>
      <c r="D488" s="127" t="s">
        <v>2163</v>
      </c>
      <c r="E488" s="232"/>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c r="AY488" s="75"/>
      <c r="AZ488" s="75"/>
      <c r="BA488" s="75"/>
      <c r="BB488" s="75"/>
      <c r="BC488" s="75"/>
      <c r="BD488" s="75"/>
      <c r="BE488" s="75"/>
      <c r="BF488" s="75"/>
      <c r="BG488" s="75"/>
      <c r="BH488" s="75"/>
      <c r="BI488" s="75"/>
      <c r="BJ488" s="75"/>
      <c r="BK488" s="75"/>
      <c r="BL488" s="75"/>
      <c r="BM488" s="75"/>
      <c r="BN488" s="75"/>
      <c r="BO488" s="75"/>
      <c r="BP488" s="75"/>
      <c r="BQ488" s="75"/>
      <c r="BR488" s="75"/>
      <c r="BS488" s="75"/>
      <c r="BT488" s="75"/>
      <c r="BU488" s="75"/>
      <c r="BV488" s="75"/>
      <c r="BW488" s="75"/>
      <c r="BX488" s="75"/>
      <c r="BY488" s="75"/>
      <c r="BZ488" s="75"/>
      <c r="CA488" s="75"/>
      <c r="CB488" s="75"/>
      <c r="CC488" s="75"/>
      <c r="CD488" s="75"/>
      <c r="CE488" s="75"/>
      <c r="CF488" s="75"/>
      <c r="CG488" s="75"/>
      <c r="CH488" s="75"/>
      <c r="CI488" s="75"/>
      <c r="CJ488" s="75"/>
      <c r="CK488" s="75"/>
      <c r="CL488" s="75"/>
      <c r="CM488" s="75"/>
      <c r="CN488" s="75"/>
      <c r="CO488" s="75"/>
      <c r="CP488" s="75"/>
      <c r="CQ488" s="75"/>
      <c r="CR488" s="75"/>
      <c r="CS488" s="75"/>
      <c r="CT488" s="75"/>
      <c r="CU488" s="75"/>
      <c r="CV488" s="75"/>
      <c r="CW488" s="75"/>
      <c r="CX488" s="75"/>
      <c r="CY488" s="75"/>
      <c r="CZ488" s="75"/>
      <c r="DA488" s="75"/>
      <c r="DB488" s="75"/>
      <c r="DC488" s="75"/>
      <c r="DD488" s="75"/>
      <c r="DE488" s="75"/>
      <c r="DF488" s="75"/>
      <c r="DG488" s="75"/>
      <c r="DH488" s="75"/>
      <c r="DI488" s="75"/>
      <c r="DJ488" s="75"/>
      <c r="DK488" s="75"/>
      <c r="DL488" s="75"/>
      <c r="DM488" s="75"/>
      <c r="DN488" s="75"/>
      <c r="DO488" s="75"/>
      <c r="DP488" s="75"/>
      <c r="DQ488" s="75"/>
      <c r="DR488" s="75"/>
      <c r="DS488" s="75"/>
      <c r="DT488" s="75"/>
      <c r="DU488" s="75"/>
      <c r="DV488" s="75"/>
      <c r="DW488" s="75"/>
      <c r="DX488" s="75"/>
      <c r="DY488" s="75"/>
      <c r="DZ488" s="75"/>
      <c r="EA488" s="75"/>
      <c r="EB488" s="75"/>
      <c r="EC488" s="75"/>
      <c r="ED488" s="75"/>
      <c r="EE488" s="75"/>
      <c r="EF488" s="75"/>
      <c r="EG488" s="75"/>
      <c r="EH488" s="75"/>
      <c r="EI488" s="75"/>
      <c r="EJ488" s="75"/>
      <c r="EK488" s="75"/>
      <c r="EL488" s="75"/>
      <c r="EM488" s="75"/>
      <c r="EN488" s="75"/>
      <c r="EO488" s="75"/>
      <c r="EP488" s="75"/>
      <c r="EQ488" s="75"/>
      <c r="ER488" s="75"/>
      <c r="ES488" s="75"/>
      <c r="ET488" s="75"/>
      <c r="EU488" s="75"/>
      <c r="EV488" s="75"/>
      <c r="EW488" s="75"/>
      <c r="EX488" s="75"/>
      <c r="EY488" s="75"/>
      <c r="EZ488" s="75"/>
      <c r="FA488" s="75"/>
      <c r="FB488" s="75"/>
      <c r="FC488" s="75"/>
      <c r="FD488" s="75"/>
      <c r="FE488" s="75"/>
      <c r="FF488" s="75"/>
      <c r="FG488" s="75"/>
      <c r="FH488" s="75"/>
      <c r="FI488" s="75"/>
      <c r="FJ488" s="75"/>
      <c r="FK488" s="75"/>
      <c r="FL488" s="75"/>
      <c r="FM488" s="75"/>
      <c r="FN488" s="75"/>
      <c r="FO488" s="75"/>
      <c r="FP488" s="75"/>
      <c r="FQ488" s="75"/>
      <c r="FR488" s="75"/>
      <c r="FS488" s="75"/>
      <c r="FT488" s="75"/>
      <c r="FU488" s="75"/>
      <c r="FV488" s="75"/>
      <c r="FW488" s="75"/>
      <c r="FX488" s="75"/>
      <c r="FY488" s="75"/>
      <c r="FZ488" s="75"/>
      <c r="GA488" s="75"/>
      <c r="GB488" s="75"/>
      <c r="GC488" s="75"/>
      <c r="GD488" s="75"/>
      <c r="GE488" s="75"/>
      <c r="GF488" s="75"/>
      <c r="GG488" s="75"/>
      <c r="GH488" s="75"/>
      <c r="GI488" s="75"/>
      <c r="GJ488" s="75"/>
      <c r="GK488" s="75"/>
      <c r="GL488" s="75"/>
      <c r="GM488" s="75"/>
      <c r="GN488" s="75"/>
      <c r="GO488" s="75"/>
      <c r="GP488" s="75"/>
      <c r="GQ488" s="75"/>
      <c r="GR488" s="75"/>
      <c r="GS488" s="75"/>
      <c r="GT488" s="75"/>
      <c r="GU488" s="75"/>
      <c r="GV488" s="75"/>
      <c r="GW488" s="75"/>
      <c r="GX488" s="75"/>
      <c r="GY488" s="75"/>
      <c r="GZ488" s="75"/>
      <c r="HA488" s="75"/>
      <c r="HB488" s="75"/>
      <c r="HC488" s="75"/>
      <c r="HD488" s="75"/>
      <c r="HE488" s="75"/>
      <c r="HF488" s="75"/>
      <c r="HG488" s="75"/>
      <c r="HH488" s="75"/>
      <c r="HI488" s="75"/>
      <c r="HJ488" s="75"/>
      <c r="HK488" s="75"/>
      <c r="HL488" s="75"/>
      <c r="HM488" s="75"/>
      <c r="HN488" s="75"/>
      <c r="HO488" s="75"/>
      <c r="HP488" s="75"/>
      <c r="HQ488" s="75"/>
      <c r="HR488" s="75"/>
      <c r="HS488" s="75"/>
      <c r="HT488" s="75"/>
      <c r="HU488" s="75"/>
      <c r="HV488" s="75"/>
      <c r="HW488" s="75"/>
      <c r="HX488" s="75"/>
      <c r="HY488" s="75"/>
      <c r="HZ488" s="75"/>
      <c r="IA488" s="75"/>
      <c r="IB488" s="75"/>
      <c r="IC488" s="75"/>
      <c r="ID488" s="75"/>
      <c r="IE488" s="75"/>
      <c r="IF488" s="75"/>
      <c r="IG488" s="75"/>
      <c r="IH488" s="75"/>
      <c r="II488" s="75"/>
      <c r="IJ488" s="75"/>
      <c r="IK488" s="75"/>
      <c r="IL488" s="75"/>
      <c r="IM488" s="75"/>
      <c r="IN488" s="75"/>
      <c r="IO488" s="75"/>
      <c r="IP488" s="75"/>
      <c r="IQ488" s="75"/>
      <c r="IR488" s="75"/>
      <c r="IS488" s="75"/>
      <c r="IT488" s="75"/>
      <c r="IU488" s="75"/>
      <c r="IV488" s="75"/>
      <c r="IW488" s="75"/>
      <c r="IX488" s="75"/>
      <c r="IY488" s="75"/>
      <c r="IZ488" s="75"/>
      <c r="JA488" s="75"/>
      <c r="JB488" s="75"/>
      <c r="JC488" s="75"/>
      <c r="JD488" s="75"/>
      <c r="JE488" s="75"/>
      <c r="JF488" s="75"/>
      <c r="JG488" s="75"/>
      <c r="JH488" s="75"/>
      <c r="JI488" s="75"/>
      <c r="JJ488" s="75"/>
      <c r="JK488" s="75"/>
      <c r="JL488" s="75"/>
      <c r="JM488" s="75"/>
      <c r="JN488" s="75"/>
      <c r="JO488" s="75"/>
      <c r="JP488" s="75"/>
      <c r="JQ488" s="75"/>
      <c r="JR488" s="75"/>
      <c r="JS488" s="75"/>
      <c r="JT488" s="75"/>
      <c r="JU488" s="75"/>
      <c r="JV488" s="75"/>
      <c r="JW488" s="75"/>
      <c r="JX488" s="75"/>
      <c r="JY488" s="75"/>
      <c r="JZ488" s="75"/>
      <c r="KA488" s="75"/>
      <c r="KB488" s="75"/>
      <c r="KC488" s="75"/>
      <c r="KD488" s="75"/>
      <c r="KE488" s="75"/>
      <c r="KF488" s="75"/>
      <c r="KG488" s="75"/>
      <c r="KH488" s="75"/>
      <c r="KI488" s="75"/>
      <c r="KJ488" s="75"/>
      <c r="KK488" s="75"/>
      <c r="KL488" s="75"/>
      <c r="KM488" s="75"/>
      <c r="KN488" s="75"/>
      <c r="KO488" s="75"/>
      <c r="KP488" s="75"/>
      <c r="KQ488" s="75"/>
      <c r="KR488" s="75"/>
      <c r="KS488" s="75"/>
      <c r="KT488" s="75"/>
      <c r="KU488" s="75"/>
      <c r="KV488" s="75"/>
      <c r="KW488" s="75"/>
      <c r="KX488" s="75"/>
      <c r="KY488" s="75"/>
      <c r="KZ488" s="75"/>
      <c r="LA488" s="75"/>
      <c r="LB488" s="75"/>
      <c r="LC488" s="75"/>
      <c r="LD488" s="75"/>
      <c r="LE488" s="75"/>
      <c r="LF488" s="75"/>
      <c r="LG488" s="75"/>
      <c r="LH488" s="75"/>
      <c r="LI488" s="75"/>
      <c r="LJ488" s="75"/>
      <c r="LK488" s="75"/>
      <c r="LL488" s="75"/>
      <c r="LM488" s="75"/>
      <c r="LN488" s="75"/>
      <c r="LO488" s="75"/>
      <c r="LP488" s="75"/>
      <c r="LQ488" s="75"/>
      <c r="LR488" s="75"/>
      <c r="LS488" s="75"/>
      <c r="LT488" s="75"/>
      <c r="LU488" s="75"/>
      <c r="LV488" s="75"/>
      <c r="LW488" s="75"/>
      <c r="LX488" s="75"/>
      <c r="LY488" s="75"/>
      <c r="LZ488" s="75"/>
      <c r="MA488" s="75"/>
      <c r="MB488" s="75"/>
      <c r="MC488" s="75"/>
      <c r="MD488" s="75"/>
      <c r="ME488" s="75"/>
      <c r="MF488" s="75"/>
      <c r="MG488" s="75"/>
      <c r="MH488" s="75"/>
      <c r="MI488" s="75"/>
      <c r="MJ488" s="75"/>
      <c r="MK488" s="75"/>
      <c r="ML488" s="75"/>
      <c r="MM488" s="75"/>
      <c r="MN488" s="75"/>
      <c r="MO488" s="75"/>
      <c r="MP488" s="75"/>
      <c r="MQ488" s="75"/>
      <c r="MR488" s="75"/>
      <c r="MS488" s="75"/>
      <c r="MT488" s="75"/>
      <c r="MU488" s="75"/>
      <c r="MV488" s="75"/>
      <c r="MW488" s="75"/>
      <c r="MX488" s="75"/>
      <c r="MY488" s="75"/>
      <c r="MZ488" s="75"/>
      <c r="NA488" s="75"/>
      <c r="NB488" s="75"/>
      <c r="NC488" s="75"/>
      <c r="ND488" s="75"/>
      <c r="NE488" s="75"/>
      <c r="NF488" s="75"/>
      <c r="NG488" s="75"/>
      <c r="NH488" s="75"/>
      <c r="NI488" s="75"/>
      <c r="NJ488" s="75"/>
      <c r="NK488" s="75"/>
      <c r="NL488" s="75"/>
      <c r="NM488" s="75"/>
      <c r="NN488" s="75"/>
      <c r="NO488" s="75"/>
      <c r="NP488" s="75"/>
      <c r="NQ488" s="75"/>
      <c r="NR488" s="75"/>
      <c r="NS488" s="75"/>
      <c r="NT488" s="75"/>
      <c r="NU488" s="75"/>
      <c r="NV488" s="75"/>
      <c r="NW488" s="75"/>
      <c r="NX488" s="75"/>
      <c r="NY488" s="75"/>
      <c r="NZ488" s="75"/>
      <c r="OA488" s="75"/>
      <c r="OB488" s="75"/>
      <c r="OC488" s="75"/>
      <c r="OD488" s="75"/>
      <c r="OE488" s="75"/>
      <c r="OF488" s="75"/>
      <c r="OG488" s="75"/>
      <c r="OH488" s="75"/>
      <c r="OI488" s="75"/>
      <c r="OJ488" s="75"/>
      <c r="OK488" s="75"/>
      <c r="OL488" s="75"/>
      <c r="OM488" s="75"/>
      <c r="ON488" s="75"/>
      <c r="OO488" s="75"/>
      <c r="OP488" s="75"/>
      <c r="OQ488" s="75"/>
      <c r="OR488" s="75"/>
      <c r="OS488" s="75"/>
      <c r="OT488" s="75"/>
      <c r="OU488" s="75"/>
      <c r="OV488" s="75"/>
      <c r="OW488" s="75"/>
      <c r="OX488" s="75"/>
      <c r="OY488" s="75"/>
      <c r="OZ488" s="75"/>
      <c r="PA488" s="75"/>
      <c r="PB488" s="75"/>
      <c r="PC488" s="75"/>
      <c r="PD488" s="75"/>
      <c r="PE488" s="75"/>
      <c r="PF488" s="75"/>
      <c r="PG488" s="75"/>
      <c r="PH488" s="75"/>
      <c r="PI488" s="75"/>
      <c r="PJ488" s="75"/>
      <c r="PK488" s="75"/>
      <c r="PL488" s="75"/>
      <c r="PM488" s="75"/>
      <c r="PN488" s="75"/>
      <c r="PO488" s="75"/>
      <c r="PP488" s="75"/>
      <c r="PQ488" s="75"/>
      <c r="PR488" s="75"/>
      <c r="PS488" s="75"/>
      <c r="PT488" s="75"/>
      <c r="PU488" s="75"/>
      <c r="PV488" s="75"/>
      <c r="PW488" s="75"/>
      <c r="PX488" s="75"/>
      <c r="PY488" s="75"/>
      <c r="PZ488" s="75"/>
      <c r="QA488" s="75"/>
      <c r="QB488" s="75"/>
      <c r="QC488" s="75"/>
      <c r="QD488" s="75"/>
      <c r="QE488" s="75"/>
      <c r="QF488" s="75"/>
      <c r="QG488" s="75"/>
      <c r="QH488" s="75"/>
      <c r="QI488" s="75"/>
      <c r="QJ488" s="75"/>
      <c r="QK488" s="75"/>
      <c r="QL488" s="75"/>
      <c r="QM488" s="75"/>
      <c r="QN488" s="75"/>
      <c r="QO488" s="75"/>
      <c r="QP488" s="75"/>
      <c r="QQ488" s="75"/>
      <c r="QR488" s="75"/>
      <c r="QS488" s="75"/>
      <c r="QT488" s="75"/>
      <c r="QU488" s="75"/>
      <c r="QV488" s="75"/>
      <c r="QW488" s="75"/>
      <c r="QX488" s="75"/>
      <c r="QY488" s="75"/>
      <c r="QZ488" s="75"/>
      <c r="RA488" s="75"/>
      <c r="RB488" s="75"/>
      <c r="RC488" s="75"/>
      <c r="RD488" s="75"/>
      <c r="RE488" s="75"/>
      <c r="RF488" s="75"/>
      <c r="RG488" s="75"/>
      <c r="RH488" s="75"/>
      <c r="RI488" s="75"/>
      <c r="RJ488" s="75"/>
      <c r="RK488" s="75"/>
      <c r="RL488" s="75"/>
      <c r="RM488" s="75"/>
      <c r="RN488" s="75"/>
      <c r="RO488" s="75"/>
      <c r="RP488" s="75"/>
      <c r="RQ488" s="75"/>
      <c r="RR488" s="75"/>
      <c r="RS488" s="75"/>
      <c r="RT488" s="75"/>
      <c r="RU488" s="75"/>
      <c r="RV488" s="75"/>
      <c r="RW488" s="75"/>
      <c r="RX488" s="75"/>
      <c r="RY488" s="75"/>
      <c r="RZ488" s="75"/>
      <c r="SA488" s="75"/>
      <c r="SB488" s="75"/>
      <c r="SC488" s="75"/>
      <c r="SD488" s="75"/>
      <c r="SE488" s="75"/>
      <c r="SF488" s="75"/>
      <c r="SG488" s="75"/>
      <c r="SH488" s="75"/>
      <c r="SI488" s="75"/>
      <c r="SJ488" s="75"/>
      <c r="SK488" s="75"/>
      <c r="SL488" s="75"/>
      <c r="SM488" s="75"/>
      <c r="SN488" s="75"/>
      <c r="SO488" s="75"/>
      <c r="SP488" s="75"/>
      <c r="SQ488" s="75"/>
      <c r="SR488" s="75"/>
      <c r="SS488" s="75"/>
      <c r="ST488" s="75"/>
      <c r="SU488" s="75"/>
      <c r="SV488" s="75"/>
      <c r="SW488" s="75"/>
      <c r="SX488" s="75"/>
      <c r="SY488" s="75"/>
      <c r="SZ488" s="75"/>
      <c r="TA488" s="75"/>
      <c r="TB488" s="75"/>
      <c r="TC488" s="75"/>
      <c r="TD488" s="75"/>
      <c r="TE488" s="75"/>
      <c r="TF488" s="75"/>
      <c r="TG488" s="75"/>
      <c r="TH488" s="75"/>
      <c r="TI488" s="75"/>
      <c r="TJ488" s="75"/>
      <c r="TK488" s="75"/>
      <c r="TL488" s="75"/>
      <c r="TM488" s="75"/>
      <c r="TN488" s="75"/>
      <c r="TO488" s="75"/>
      <c r="TP488" s="75"/>
      <c r="TQ488" s="75"/>
      <c r="TR488" s="75"/>
      <c r="TS488" s="75"/>
      <c r="TT488" s="75"/>
      <c r="TU488" s="75"/>
      <c r="TV488" s="75"/>
      <c r="TW488" s="75"/>
      <c r="TX488" s="75"/>
      <c r="TY488" s="75"/>
      <c r="TZ488" s="75"/>
      <c r="UA488" s="75"/>
      <c r="UB488" s="75"/>
      <c r="UC488" s="75"/>
      <c r="UD488" s="75"/>
      <c r="UE488" s="75"/>
      <c r="UF488" s="75"/>
      <c r="UG488" s="75"/>
      <c r="UH488" s="75"/>
      <c r="UI488" s="75"/>
      <c r="UJ488" s="75"/>
      <c r="UK488" s="75"/>
      <c r="UL488" s="75"/>
      <c r="UM488" s="75"/>
      <c r="UN488" s="75"/>
      <c r="UO488" s="75"/>
      <c r="UP488" s="75"/>
      <c r="UQ488" s="75"/>
      <c r="UR488" s="75"/>
      <c r="US488" s="75"/>
      <c r="UT488" s="75"/>
      <c r="UU488" s="75"/>
      <c r="UV488" s="75"/>
      <c r="UW488" s="75"/>
      <c r="UX488" s="75"/>
      <c r="UY488" s="75"/>
      <c r="UZ488" s="75"/>
      <c r="VA488" s="75"/>
      <c r="VB488" s="75"/>
      <c r="VC488" s="75"/>
      <c r="VD488" s="75"/>
      <c r="VE488" s="75"/>
      <c r="VF488" s="75"/>
      <c r="VG488" s="75"/>
      <c r="VH488" s="75"/>
      <c r="VI488" s="75"/>
      <c r="VJ488" s="75"/>
      <c r="VK488" s="75"/>
      <c r="VL488" s="75"/>
      <c r="VM488" s="75"/>
      <c r="VN488" s="75"/>
      <c r="VO488" s="75"/>
      <c r="VP488" s="75"/>
      <c r="VQ488" s="75"/>
      <c r="VR488" s="75"/>
      <c r="VS488" s="75"/>
      <c r="VT488" s="75"/>
      <c r="VU488" s="75"/>
      <c r="VV488" s="75"/>
      <c r="VW488" s="75"/>
      <c r="VX488" s="75"/>
      <c r="VY488" s="75"/>
      <c r="VZ488" s="75"/>
      <c r="WA488" s="75"/>
      <c r="WB488" s="75"/>
      <c r="WC488" s="75"/>
      <c r="WD488" s="75"/>
      <c r="WE488" s="75"/>
      <c r="WF488" s="75"/>
      <c r="WG488" s="75"/>
      <c r="WH488" s="75"/>
      <c r="WI488" s="75"/>
      <c r="WJ488" s="75"/>
      <c r="WK488" s="75"/>
      <c r="WL488" s="75"/>
      <c r="WM488" s="75"/>
      <c r="WN488" s="75"/>
      <c r="WO488" s="75"/>
      <c r="WP488" s="75"/>
      <c r="WQ488" s="75"/>
      <c r="WR488" s="75"/>
      <c r="WS488" s="75"/>
      <c r="WT488" s="75"/>
      <c r="WU488" s="75"/>
      <c r="WV488" s="75"/>
      <c r="WW488" s="75"/>
      <c r="WX488" s="75"/>
      <c r="WY488" s="75"/>
      <c r="WZ488" s="75"/>
      <c r="XA488" s="75"/>
      <c r="XB488" s="75"/>
      <c r="XC488" s="75"/>
      <c r="XD488" s="75"/>
      <c r="XE488" s="75"/>
      <c r="XF488" s="75"/>
      <c r="XG488" s="75"/>
      <c r="XH488" s="75"/>
      <c r="XI488" s="75"/>
      <c r="XJ488" s="75"/>
      <c r="XK488" s="75"/>
      <c r="XL488" s="75"/>
      <c r="XM488" s="75"/>
      <c r="XN488" s="75"/>
      <c r="XO488" s="75"/>
      <c r="XP488" s="75"/>
      <c r="XQ488" s="75"/>
      <c r="XR488" s="75"/>
      <c r="XS488" s="75"/>
      <c r="XT488" s="75"/>
      <c r="XU488" s="75"/>
      <c r="XV488" s="75"/>
      <c r="XW488" s="75"/>
      <c r="XX488" s="75"/>
      <c r="XY488" s="75"/>
      <c r="XZ488" s="75"/>
      <c r="YA488" s="75"/>
      <c r="YB488" s="75"/>
      <c r="YC488" s="75"/>
      <c r="YD488" s="75"/>
      <c r="YE488" s="75"/>
      <c r="YF488" s="75"/>
      <c r="YG488" s="75"/>
      <c r="YH488" s="75"/>
      <c r="YI488" s="75"/>
      <c r="YJ488" s="75"/>
      <c r="YK488" s="75"/>
      <c r="YL488" s="75"/>
      <c r="YM488" s="75"/>
      <c r="YN488" s="75"/>
      <c r="YO488" s="75"/>
      <c r="YP488" s="75"/>
      <c r="YQ488" s="75"/>
      <c r="YR488" s="75"/>
      <c r="YS488" s="75"/>
      <c r="YT488" s="75"/>
      <c r="YU488" s="75"/>
      <c r="YV488" s="75"/>
      <c r="YW488" s="75"/>
      <c r="YX488" s="75"/>
      <c r="YY488" s="75"/>
      <c r="YZ488" s="75"/>
      <c r="ZA488" s="75"/>
      <c r="ZB488" s="75"/>
      <c r="ZC488" s="75"/>
      <c r="ZD488" s="75"/>
      <c r="ZE488" s="75"/>
      <c r="ZF488" s="75"/>
      <c r="ZG488" s="75"/>
      <c r="ZH488" s="75"/>
      <c r="ZI488" s="75"/>
      <c r="ZJ488" s="75"/>
      <c r="ZK488" s="75"/>
      <c r="ZL488" s="75"/>
      <c r="ZM488" s="75"/>
      <c r="ZN488" s="75"/>
      <c r="ZO488" s="75"/>
      <c r="ZP488" s="75"/>
      <c r="ZQ488" s="75"/>
      <c r="ZR488" s="75"/>
      <c r="ZS488" s="75"/>
      <c r="ZT488" s="75"/>
      <c r="ZU488" s="75"/>
      <c r="ZV488" s="75"/>
      <c r="ZW488" s="75"/>
      <c r="ZX488" s="75"/>
      <c r="ZY488" s="75"/>
      <c r="ZZ488" s="75"/>
      <c r="AAA488" s="75"/>
      <c r="AAB488" s="75"/>
      <c r="AAC488" s="75"/>
      <c r="AAD488" s="75"/>
      <c r="AAE488" s="75"/>
      <c r="AAF488" s="75"/>
      <c r="AAG488" s="75"/>
      <c r="AAH488" s="75"/>
      <c r="AAI488" s="75"/>
      <c r="AAJ488" s="75"/>
      <c r="AAK488" s="75"/>
      <c r="AAL488" s="75"/>
      <c r="AAM488" s="75"/>
      <c r="AAN488" s="75"/>
      <c r="AAO488" s="75"/>
      <c r="AAP488" s="75"/>
      <c r="AAQ488" s="75"/>
      <c r="AAR488" s="75"/>
      <c r="AAS488" s="75"/>
      <c r="AAT488" s="75"/>
      <c r="AAU488" s="75"/>
      <c r="AAV488" s="75"/>
      <c r="AAW488" s="75"/>
      <c r="AAX488" s="75"/>
      <c r="AAY488" s="75"/>
      <c r="AAZ488" s="75"/>
      <c r="ABA488" s="75"/>
      <c r="ABB488" s="75"/>
      <c r="ABC488" s="75"/>
      <c r="ABD488" s="75"/>
      <c r="ABE488" s="75"/>
      <c r="ABF488" s="75"/>
      <c r="ABG488" s="75"/>
      <c r="ABH488" s="75"/>
      <c r="ABI488" s="75"/>
      <c r="ABJ488" s="75"/>
      <c r="ABK488" s="75"/>
      <c r="ABL488" s="75"/>
      <c r="ABM488" s="75"/>
      <c r="ABN488" s="75"/>
      <c r="ABO488" s="75"/>
      <c r="ABP488" s="75"/>
      <c r="ABQ488" s="75"/>
      <c r="ABR488" s="75"/>
      <c r="ABS488" s="75"/>
      <c r="ABT488" s="75"/>
      <c r="ABU488" s="75"/>
      <c r="ABV488" s="75"/>
      <c r="ABW488" s="75"/>
      <c r="ABX488" s="75"/>
      <c r="ABY488" s="75"/>
      <c r="ABZ488" s="75"/>
      <c r="ACA488" s="75"/>
      <c r="ACB488" s="75"/>
      <c r="ACC488" s="75"/>
      <c r="ACD488" s="75"/>
      <c r="ACE488" s="75"/>
      <c r="ACF488" s="75"/>
      <c r="ACG488" s="75"/>
      <c r="ACH488" s="75"/>
      <c r="ACI488" s="75"/>
      <c r="ACJ488" s="75"/>
      <c r="ACK488" s="75"/>
      <c r="ACL488" s="75"/>
      <c r="ACM488" s="75"/>
      <c r="ACN488" s="75"/>
      <c r="ACO488" s="75"/>
      <c r="ACP488" s="75"/>
      <c r="ACQ488" s="75"/>
      <c r="ACR488" s="75"/>
      <c r="ACS488" s="75"/>
      <c r="ACT488" s="75"/>
      <c r="ACU488" s="75"/>
      <c r="ACV488" s="75"/>
      <c r="ACW488" s="75"/>
      <c r="ACX488" s="75"/>
      <c r="ACY488" s="75"/>
      <c r="ACZ488" s="75"/>
      <c r="ADA488" s="75"/>
      <c r="ADB488" s="75"/>
      <c r="ADC488" s="75"/>
      <c r="ADD488" s="75"/>
      <c r="ADE488" s="75"/>
      <c r="ADF488" s="75"/>
      <c r="ADG488" s="75"/>
      <c r="ADH488" s="75"/>
      <c r="ADI488" s="75"/>
      <c r="ADJ488" s="75"/>
      <c r="ADK488" s="75"/>
      <c r="ADL488" s="75"/>
      <c r="ADM488" s="75"/>
      <c r="ADN488" s="75"/>
      <c r="ADO488" s="75"/>
      <c r="ADP488" s="75"/>
      <c r="ADQ488" s="75"/>
      <c r="ADR488" s="75"/>
      <c r="ADS488" s="75"/>
      <c r="ADT488" s="75"/>
      <c r="ADU488" s="75"/>
      <c r="ADV488" s="75"/>
      <c r="ADW488" s="75"/>
      <c r="ADX488" s="75"/>
      <c r="ADY488" s="75"/>
      <c r="ADZ488" s="75"/>
      <c r="AEA488" s="75"/>
      <c r="AEB488" s="75"/>
      <c r="AEC488" s="75"/>
      <c r="AED488" s="75"/>
      <c r="AEE488" s="75"/>
      <c r="AEF488" s="75"/>
      <c r="AEG488" s="75"/>
      <c r="AEH488" s="75"/>
      <c r="AEI488" s="75"/>
      <c r="AEJ488" s="75"/>
      <c r="AEK488" s="75"/>
      <c r="AEL488" s="75"/>
      <c r="AEM488" s="75"/>
      <c r="AEN488" s="75"/>
      <c r="AEO488" s="75"/>
      <c r="AEP488" s="75"/>
      <c r="AEQ488" s="75"/>
      <c r="AER488" s="75"/>
      <c r="AES488" s="75"/>
      <c r="AET488" s="75"/>
      <c r="AEU488" s="75"/>
      <c r="AEV488" s="75"/>
      <c r="AEW488" s="75"/>
      <c r="AEX488" s="75"/>
      <c r="AEY488" s="75"/>
      <c r="AEZ488" s="75"/>
      <c r="AFA488" s="75"/>
      <c r="AFB488" s="75"/>
      <c r="AFC488" s="75"/>
      <c r="AFD488" s="75"/>
      <c r="AFE488" s="75"/>
      <c r="AFF488" s="75"/>
      <c r="AFG488" s="75"/>
      <c r="AFH488" s="75"/>
      <c r="AFI488" s="75"/>
      <c r="AFJ488" s="75"/>
      <c r="AFK488" s="75"/>
      <c r="AFL488" s="75"/>
      <c r="AFM488" s="75"/>
      <c r="AFN488" s="75"/>
      <c r="AFO488" s="75"/>
      <c r="AFP488" s="75"/>
      <c r="AFQ488" s="75"/>
      <c r="AFR488" s="75"/>
      <c r="AFS488" s="75"/>
      <c r="AFT488" s="75"/>
      <c r="AFU488" s="75"/>
      <c r="AFV488" s="75"/>
      <c r="AFW488" s="75"/>
      <c r="AFX488" s="75"/>
      <c r="AFY488" s="75"/>
      <c r="AFZ488" s="75"/>
      <c r="AGA488" s="75"/>
      <c r="AGB488" s="75"/>
      <c r="AGC488" s="75"/>
      <c r="AGD488" s="75"/>
      <c r="AGE488" s="75"/>
      <c r="AGF488" s="75"/>
      <c r="AGG488" s="75"/>
      <c r="AGH488" s="75"/>
      <c r="AGI488" s="75"/>
      <c r="AGJ488" s="75"/>
      <c r="AGK488" s="75"/>
      <c r="AGL488" s="75"/>
      <c r="AGM488" s="75"/>
      <c r="AGN488" s="75"/>
      <c r="AGO488" s="75"/>
      <c r="AGP488" s="75"/>
      <c r="AGQ488" s="75"/>
      <c r="AGR488" s="75"/>
      <c r="AGS488" s="75"/>
      <c r="AGT488" s="75"/>
      <c r="AGU488" s="75"/>
      <c r="AGV488" s="75"/>
      <c r="AGW488" s="75"/>
      <c r="AGX488" s="75"/>
      <c r="AGY488" s="75"/>
      <c r="AGZ488" s="75"/>
      <c r="AHA488" s="75"/>
      <c r="AHB488" s="75"/>
      <c r="AHC488" s="75"/>
      <c r="AHD488" s="75"/>
      <c r="AHE488" s="75"/>
      <c r="AHF488" s="75"/>
      <c r="AHG488" s="75"/>
      <c r="AHH488" s="75"/>
      <c r="AHI488" s="75"/>
      <c r="AHJ488" s="75"/>
      <c r="AHK488" s="75"/>
      <c r="AHL488" s="75"/>
      <c r="AHM488" s="75"/>
      <c r="AHN488" s="75"/>
      <c r="AHO488" s="75"/>
      <c r="AHP488" s="75"/>
      <c r="AHQ488" s="75"/>
      <c r="AHR488" s="75"/>
      <c r="AHS488" s="75"/>
      <c r="AHT488" s="75"/>
      <c r="AHU488" s="75"/>
      <c r="AHV488" s="75"/>
      <c r="AHW488" s="75"/>
      <c r="AHX488" s="75"/>
      <c r="AHY488" s="75"/>
      <c r="AHZ488" s="75"/>
      <c r="AIA488" s="75"/>
      <c r="AIB488" s="75"/>
      <c r="AIC488" s="75"/>
      <c r="AID488" s="75"/>
      <c r="AIE488" s="75"/>
      <c r="AIF488" s="75"/>
      <c r="AIG488" s="75"/>
      <c r="AIH488" s="75"/>
      <c r="AII488" s="75"/>
      <c r="AIJ488" s="75"/>
      <c r="AIK488" s="75"/>
      <c r="AIL488" s="75"/>
      <c r="AIM488" s="75"/>
      <c r="AIN488" s="75"/>
      <c r="AIO488" s="75"/>
      <c r="AIP488" s="75"/>
      <c r="AIQ488" s="75"/>
      <c r="AIR488" s="75"/>
      <c r="AIS488" s="75"/>
      <c r="AIT488" s="75"/>
      <c r="AIU488" s="75"/>
      <c r="AIV488" s="75"/>
      <c r="AIW488" s="75"/>
      <c r="AIX488" s="75"/>
      <c r="AIY488" s="75"/>
      <c r="AIZ488" s="75"/>
      <c r="AJA488" s="75"/>
      <c r="AJB488" s="75"/>
      <c r="AJC488" s="75"/>
      <c r="AJD488" s="75"/>
      <c r="AJE488" s="75"/>
      <c r="AJF488" s="75"/>
      <c r="AJG488" s="75"/>
      <c r="AJH488" s="75"/>
      <c r="AJI488" s="75"/>
      <c r="AJJ488" s="75"/>
      <c r="AJK488" s="75"/>
      <c r="AJL488" s="75"/>
      <c r="AJM488" s="75"/>
      <c r="AJN488" s="75"/>
      <c r="AJO488" s="75"/>
      <c r="AJP488" s="75"/>
      <c r="AJQ488" s="75"/>
      <c r="AJR488" s="75"/>
      <c r="AJS488" s="75"/>
      <c r="AJT488" s="75"/>
      <c r="AJU488" s="75"/>
      <c r="AJV488" s="75"/>
      <c r="AJW488" s="75"/>
      <c r="AJX488" s="75"/>
      <c r="AJY488" s="75"/>
      <c r="AJZ488" s="75"/>
      <c r="AKA488" s="75"/>
      <c r="AKB488" s="75"/>
      <c r="AKC488" s="75"/>
      <c r="AKD488" s="75"/>
      <c r="AKE488" s="75"/>
      <c r="AKF488" s="75"/>
      <c r="AKG488" s="75"/>
      <c r="AKH488" s="75"/>
      <c r="AKI488" s="75"/>
      <c r="AKJ488" s="75"/>
      <c r="AKK488" s="75"/>
      <c r="AKL488" s="75"/>
      <c r="AKM488" s="75"/>
      <c r="AKN488" s="75"/>
      <c r="AKO488" s="75"/>
      <c r="AKP488" s="75"/>
      <c r="AKQ488" s="75"/>
      <c r="AKR488" s="75"/>
      <c r="AKS488" s="75"/>
      <c r="AKT488" s="75"/>
      <c r="AKU488" s="75"/>
      <c r="AKV488" s="75"/>
      <c r="AKW488" s="75"/>
      <c r="AKX488" s="75"/>
      <c r="AKY488" s="75"/>
      <c r="AKZ488" s="75"/>
      <c r="ALA488" s="75"/>
      <c r="ALB488" s="75"/>
      <c r="ALC488" s="75"/>
      <c r="ALD488" s="75"/>
      <c r="ALE488" s="75"/>
      <c r="ALF488" s="75"/>
      <c r="ALG488" s="75"/>
      <c r="ALH488" s="75"/>
      <c r="ALI488" s="75"/>
      <c r="ALJ488" s="75"/>
      <c r="ALK488" s="75"/>
      <c r="ALL488" s="75"/>
      <c r="ALM488" s="75"/>
      <c r="ALN488" s="75"/>
      <c r="ALO488" s="75"/>
    </row>
    <row r="489" spans="1:1003" s="235" customFormat="1" ht="14.55" customHeight="1" outlineLevel="1" x14ac:dyDescent="0.25">
      <c r="A489" s="230" t="s">
        <v>1422</v>
      </c>
      <c r="B489" s="343" t="str">
        <f>"13.0407"</f>
        <v>13.0407</v>
      </c>
      <c r="C489" s="75" t="s">
        <v>2164</v>
      </c>
      <c r="D489" s="127" t="s">
        <v>2165</v>
      </c>
      <c r="E489" s="232"/>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c r="AY489" s="75"/>
      <c r="AZ489" s="75"/>
      <c r="BA489" s="75"/>
      <c r="BB489" s="75"/>
      <c r="BC489" s="75"/>
      <c r="BD489" s="75"/>
      <c r="BE489" s="75"/>
      <c r="BF489" s="75"/>
      <c r="BG489" s="75"/>
      <c r="BH489" s="75"/>
      <c r="BI489" s="75"/>
      <c r="BJ489" s="75"/>
      <c r="BK489" s="75"/>
      <c r="BL489" s="75"/>
      <c r="BM489" s="75"/>
      <c r="BN489" s="75"/>
      <c r="BO489" s="75"/>
      <c r="BP489" s="75"/>
      <c r="BQ489" s="75"/>
      <c r="BR489" s="75"/>
      <c r="BS489" s="75"/>
      <c r="BT489" s="75"/>
      <c r="BU489" s="75"/>
      <c r="BV489" s="75"/>
      <c r="BW489" s="75"/>
      <c r="BX489" s="75"/>
      <c r="BY489" s="75"/>
      <c r="BZ489" s="75"/>
      <c r="CA489" s="75"/>
      <c r="CB489" s="75"/>
      <c r="CC489" s="75"/>
      <c r="CD489" s="75"/>
      <c r="CE489" s="75"/>
      <c r="CF489" s="75"/>
      <c r="CG489" s="75"/>
      <c r="CH489" s="75"/>
      <c r="CI489" s="75"/>
      <c r="CJ489" s="75"/>
      <c r="CK489" s="75"/>
      <c r="CL489" s="75"/>
      <c r="CM489" s="75"/>
      <c r="CN489" s="75"/>
      <c r="CO489" s="75"/>
      <c r="CP489" s="75"/>
      <c r="CQ489" s="75"/>
      <c r="CR489" s="75"/>
      <c r="CS489" s="75"/>
      <c r="CT489" s="75"/>
      <c r="CU489" s="75"/>
      <c r="CV489" s="75"/>
      <c r="CW489" s="75"/>
      <c r="CX489" s="75"/>
      <c r="CY489" s="75"/>
      <c r="CZ489" s="75"/>
      <c r="DA489" s="75"/>
      <c r="DB489" s="75"/>
      <c r="DC489" s="75"/>
      <c r="DD489" s="75"/>
      <c r="DE489" s="75"/>
      <c r="DF489" s="75"/>
      <c r="DG489" s="75"/>
      <c r="DH489" s="75"/>
      <c r="DI489" s="75"/>
      <c r="DJ489" s="75"/>
      <c r="DK489" s="75"/>
      <c r="DL489" s="75"/>
      <c r="DM489" s="75"/>
      <c r="DN489" s="75"/>
      <c r="DO489" s="75"/>
      <c r="DP489" s="75"/>
      <c r="DQ489" s="75"/>
      <c r="DR489" s="75"/>
      <c r="DS489" s="75"/>
      <c r="DT489" s="75"/>
      <c r="DU489" s="75"/>
      <c r="DV489" s="75"/>
      <c r="DW489" s="75"/>
      <c r="DX489" s="75"/>
      <c r="DY489" s="75"/>
      <c r="DZ489" s="75"/>
      <c r="EA489" s="75"/>
      <c r="EB489" s="75"/>
      <c r="EC489" s="75"/>
      <c r="ED489" s="75"/>
      <c r="EE489" s="75"/>
      <c r="EF489" s="75"/>
      <c r="EG489" s="75"/>
      <c r="EH489" s="75"/>
      <c r="EI489" s="75"/>
      <c r="EJ489" s="75"/>
      <c r="EK489" s="75"/>
      <c r="EL489" s="75"/>
      <c r="EM489" s="75"/>
      <c r="EN489" s="75"/>
      <c r="EO489" s="75"/>
      <c r="EP489" s="75"/>
      <c r="EQ489" s="75"/>
      <c r="ER489" s="75"/>
      <c r="ES489" s="75"/>
      <c r="ET489" s="75"/>
      <c r="EU489" s="75"/>
      <c r="EV489" s="75"/>
      <c r="EW489" s="75"/>
      <c r="EX489" s="75"/>
      <c r="EY489" s="75"/>
      <c r="EZ489" s="75"/>
      <c r="FA489" s="75"/>
      <c r="FB489" s="75"/>
      <c r="FC489" s="75"/>
      <c r="FD489" s="75"/>
      <c r="FE489" s="75"/>
      <c r="FF489" s="75"/>
      <c r="FG489" s="75"/>
      <c r="FH489" s="75"/>
      <c r="FI489" s="75"/>
      <c r="FJ489" s="75"/>
      <c r="FK489" s="75"/>
      <c r="FL489" s="75"/>
      <c r="FM489" s="75"/>
      <c r="FN489" s="75"/>
      <c r="FO489" s="75"/>
      <c r="FP489" s="75"/>
      <c r="FQ489" s="75"/>
      <c r="FR489" s="75"/>
      <c r="FS489" s="75"/>
      <c r="FT489" s="75"/>
      <c r="FU489" s="75"/>
      <c r="FV489" s="75"/>
      <c r="FW489" s="75"/>
      <c r="FX489" s="75"/>
      <c r="FY489" s="75"/>
      <c r="FZ489" s="75"/>
      <c r="GA489" s="75"/>
      <c r="GB489" s="75"/>
      <c r="GC489" s="75"/>
      <c r="GD489" s="75"/>
      <c r="GE489" s="75"/>
      <c r="GF489" s="75"/>
      <c r="GG489" s="75"/>
      <c r="GH489" s="75"/>
      <c r="GI489" s="75"/>
      <c r="GJ489" s="75"/>
      <c r="GK489" s="75"/>
      <c r="GL489" s="75"/>
      <c r="GM489" s="75"/>
      <c r="GN489" s="75"/>
      <c r="GO489" s="75"/>
      <c r="GP489" s="75"/>
      <c r="GQ489" s="75"/>
      <c r="GR489" s="75"/>
      <c r="GS489" s="75"/>
      <c r="GT489" s="75"/>
      <c r="GU489" s="75"/>
      <c r="GV489" s="75"/>
      <c r="GW489" s="75"/>
      <c r="GX489" s="75"/>
      <c r="GY489" s="75"/>
      <c r="GZ489" s="75"/>
      <c r="HA489" s="75"/>
      <c r="HB489" s="75"/>
      <c r="HC489" s="75"/>
      <c r="HD489" s="75"/>
      <c r="HE489" s="75"/>
      <c r="HF489" s="75"/>
      <c r="HG489" s="75"/>
      <c r="HH489" s="75"/>
      <c r="HI489" s="75"/>
      <c r="HJ489" s="75"/>
      <c r="HK489" s="75"/>
      <c r="HL489" s="75"/>
      <c r="HM489" s="75"/>
      <c r="HN489" s="75"/>
      <c r="HO489" s="75"/>
      <c r="HP489" s="75"/>
      <c r="HQ489" s="75"/>
      <c r="HR489" s="75"/>
      <c r="HS489" s="75"/>
      <c r="HT489" s="75"/>
      <c r="HU489" s="75"/>
      <c r="HV489" s="75"/>
      <c r="HW489" s="75"/>
      <c r="HX489" s="75"/>
      <c r="HY489" s="75"/>
      <c r="HZ489" s="75"/>
      <c r="IA489" s="75"/>
      <c r="IB489" s="75"/>
      <c r="IC489" s="75"/>
      <c r="ID489" s="75"/>
      <c r="IE489" s="75"/>
      <c r="IF489" s="75"/>
      <c r="IG489" s="75"/>
      <c r="IH489" s="75"/>
      <c r="II489" s="75"/>
      <c r="IJ489" s="75"/>
      <c r="IK489" s="75"/>
      <c r="IL489" s="75"/>
      <c r="IM489" s="75"/>
      <c r="IN489" s="75"/>
      <c r="IO489" s="75"/>
      <c r="IP489" s="75"/>
      <c r="IQ489" s="75"/>
      <c r="IR489" s="75"/>
      <c r="IS489" s="75"/>
      <c r="IT489" s="75"/>
      <c r="IU489" s="75"/>
      <c r="IV489" s="75"/>
      <c r="IW489" s="75"/>
      <c r="IX489" s="75"/>
      <c r="IY489" s="75"/>
      <c r="IZ489" s="75"/>
      <c r="JA489" s="75"/>
      <c r="JB489" s="75"/>
      <c r="JC489" s="75"/>
      <c r="JD489" s="75"/>
      <c r="JE489" s="75"/>
      <c r="JF489" s="75"/>
      <c r="JG489" s="75"/>
      <c r="JH489" s="75"/>
      <c r="JI489" s="75"/>
      <c r="JJ489" s="75"/>
      <c r="JK489" s="75"/>
      <c r="JL489" s="75"/>
      <c r="JM489" s="75"/>
      <c r="JN489" s="75"/>
      <c r="JO489" s="75"/>
      <c r="JP489" s="75"/>
      <c r="JQ489" s="75"/>
      <c r="JR489" s="75"/>
      <c r="JS489" s="75"/>
      <c r="JT489" s="75"/>
      <c r="JU489" s="75"/>
      <c r="JV489" s="75"/>
      <c r="JW489" s="75"/>
      <c r="JX489" s="75"/>
      <c r="JY489" s="75"/>
      <c r="JZ489" s="75"/>
      <c r="KA489" s="75"/>
      <c r="KB489" s="75"/>
      <c r="KC489" s="75"/>
      <c r="KD489" s="75"/>
      <c r="KE489" s="75"/>
      <c r="KF489" s="75"/>
      <c r="KG489" s="75"/>
      <c r="KH489" s="75"/>
      <c r="KI489" s="75"/>
      <c r="KJ489" s="75"/>
      <c r="KK489" s="75"/>
      <c r="KL489" s="75"/>
      <c r="KM489" s="75"/>
      <c r="KN489" s="75"/>
      <c r="KO489" s="75"/>
      <c r="KP489" s="75"/>
      <c r="KQ489" s="75"/>
      <c r="KR489" s="75"/>
      <c r="KS489" s="75"/>
      <c r="KT489" s="75"/>
      <c r="KU489" s="75"/>
      <c r="KV489" s="75"/>
      <c r="KW489" s="75"/>
      <c r="KX489" s="75"/>
      <c r="KY489" s="75"/>
      <c r="KZ489" s="75"/>
      <c r="LA489" s="75"/>
      <c r="LB489" s="75"/>
      <c r="LC489" s="75"/>
      <c r="LD489" s="75"/>
      <c r="LE489" s="75"/>
      <c r="LF489" s="75"/>
      <c r="LG489" s="75"/>
      <c r="LH489" s="75"/>
      <c r="LI489" s="75"/>
      <c r="LJ489" s="75"/>
      <c r="LK489" s="75"/>
      <c r="LL489" s="75"/>
      <c r="LM489" s="75"/>
      <c r="LN489" s="75"/>
      <c r="LO489" s="75"/>
      <c r="LP489" s="75"/>
      <c r="LQ489" s="75"/>
      <c r="LR489" s="75"/>
      <c r="LS489" s="75"/>
      <c r="LT489" s="75"/>
      <c r="LU489" s="75"/>
      <c r="LV489" s="75"/>
      <c r="LW489" s="75"/>
      <c r="LX489" s="75"/>
      <c r="LY489" s="75"/>
      <c r="LZ489" s="75"/>
      <c r="MA489" s="75"/>
      <c r="MB489" s="75"/>
      <c r="MC489" s="75"/>
      <c r="MD489" s="75"/>
      <c r="ME489" s="75"/>
      <c r="MF489" s="75"/>
      <c r="MG489" s="75"/>
      <c r="MH489" s="75"/>
      <c r="MI489" s="75"/>
      <c r="MJ489" s="75"/>
      <c r="MK489" s="75"/>
      <c r="ML489" s="75"/>
      <c r="MM489" s="75"/>
      <c r="MN489" s="75"/>
      <c r="MO489" s="75"/>
      <c r="MP489" s="75"/>
      <c r="MQ489" s="75"/>
      <c r="MR489" s="75"/>
      <c r="MS489" s="75"/>
      <c r="MT489" s="75"/>
      <c r="MU489" s="75"/>
      <c r="MV489" s="75"/>
      <c r="MW489" s="75"/>
      <c r="MX489" s="75"/>
      <c r="MY489" s="75"/>
      <c r="MZ489" s="75"/>
      <c r="NA489" s="75"/>
      <c r="NB489" s="75"/>
      <c r="NC489" s="75"/>
      <c r="ND489" s="75"/>
      <c r="NE489" s="75"/>
      <c r="NF489" s="75"/>
      <c r="NG489" s="75"/>
      <c r="NH489" s="75"/>
      <c r="NI489" s="75"/>
      <c r="NJ489" s="75"/>
      <c r="NK489" s="75"/>
      <c r="NL489" s="75"/>
      <c r="NM489" s="75"/>
      <c r="NN489" s="75"/>
      <c r="NO489" s="75"/>
      <c r="NP489" s="75"/>
      <c r="NQ489" s="75"/>
      <c r="NR489" s="75"/>
      <c r="NS489" s="75"/>
      <c r="NT489" s="75"/>
      <c r="NU489" s="75"/>
      <c r="NV489" s="75"/>
      <c r="NW489" s="75"/>
      <c r="NX489" s="75"/>
      <c r="NY489" s="75"/>
      <c r="NZ489" s="75"/>
      <c r="OA489" s="75"/>
      <c r="OB489" s="75"/>
      <c r="OC489" s="75"/>
      <c r="OD489" s="75"/>
      <c r="OE489" s="75"/>
      <c r="OF489" s="75"/>
      <c r="OG489" s="75"/>
      <c r="OH489" s="75"/>
      <c r="OI489" s="75"/>
      <c r="OJ489" s="75"/>
      <c r="OK489" s="75"/>
      <c r="OL489" s="75"/>
      <c r="OM489" s="75"/>
      <c r="ON489" s="75"/>
      <c r="OO489" s="75"/>
      <c r="OP489" s="75"/>
      <c r="OQ489" s="75"/>
      <c r="OR489" s="75"/>
      <c r="OS489" s="75"/>
      <c r="OT489" s="75"/>
      <c r="OU489" s="75"/>
      <c r="OV489" s="75"/>
      <c r="OW489" s="75"/>
      <c r="OX489" s="75"/>
      <c r="OY489" s="75"/>
      <c r="OZ489" s="75"/>
      <c r="PA489" s="75"/>
      <c r="PB489" s="75"/>
      <c r="PC489" s="75"/>
      <c r="PD489" s="75"/>
      <c r="PE489" s="75"/>
      <c r="PF489" s="75"/>
      <c r="PG489" s="75"/>
      <c r="PH489" s="75"/>
      <c r="PI489" s="75"/>
      <c r="PJ489" s="75"/>
      <c r="PK489" s="75"/>
      <c r="PL489" s="75"/>
      <c r="PM489" s="75"/>
      <c r="PN489" s="75"/>
      <c r="PO489" s="75"/>
      <c r="PP489" s="75"/>
      <c r="PQ489" s="75"/>
      <c r="PR489" s="75"/>
      <c r="PS489" s="75"/>
      <c r="PT489" s="75"/>
      <c r="PU489" s="75"/>
      <c r="PV489" s="75"/>
      <c r="PW489" s="75"/>
      <c r="PX489" s="75"/>
      <c r="PY489" s="75"/>
      <c r="PZ489" s="75"/>
      <c r="QA489" s="75"/>
      <c r="QB489" s="75"/>
      <c r="QC489" s="75"/>
      <c r="QD489" s="75"/>
      <c r="QE489" s="75"/>
      <c r="QF489" s="75"/>
      <c r="QG489" s="75"/>
      <c r="QH489" s="75"/>
      <c r="QI489" s="75"/>
      <c r="QJ489" s="75"/>
      <c r="QK489" s="75"/>
      <c r="QL489" s="75"/>
      <c r="QM489" s="75"/>
      <c r="QN489" s="75"/>
      <c r="QO489" s="75"/>
      <c r="QP489" s="75"/>
      <c r="QQ489" s="75"/>
      <c r="QR489" s="75"/>
      <c r="QS489" s="75"/>
      <c r="QT489" s="75"/>
      <c r="QU489" s="75"/>
      <c r="QV489" s="75"/>
      <c r="QW489" s="75"/>
      <c r="QX489" s="75"/>
      <c r="QY489" s="75"/>
      <c r="QZ489" s="75"/>
      <c r="RA489" s="75"/>
      <c r="RB489" s="75"/>
      <c r="RC489" s="75"/>
      <c r="RD489" s="75"/>
      <c r="RE489" s="75"/>
      <c r="RF489" s="75"/>
      <c r="RG489" s="75"/>
      <c r="RH489" s="75"/>
      <c r="RI489" s="75"/>
      <c r="RJ489" s="75"/>
      <c r="RK489" s="75"/>
      <c r="RL489" s="75"/>
      <c r="RM489" s="75"/>
      <c r="RN489" s="75"/>
      <c r="RO489" s="75"/>
      <c r="RP489" s="75"/>
      <c r="RQ489" s="75"/>
      <c r="RR489" s="75"/>
      <c r="RS489" s="75"/>
      <c r="RT489" s="75"/>
      <c r="RU489" s="75"/>
      <c r="RV489" s="75"/>
      <c r="RW489" s="75"/>
      <c r="RX489" s="75"/>
      <c r="RY489" s="75"/>
      <c r="RZ489" s="75"/>
      <c r="SA489" s="75"/>
      <c r="SB489" s="75"/>
      <c r="SC489" s="75"/>
      <c r="SD489" s="75"/>
      <c r="SE489" s="75"/>
      <c r="SF489" s="75"/>
      <c r="SG489" s="75"/>
      <c r="SH489" s="75"/>
      <c r="SI489" s="75"/>
      <c r="SJ489" s="75"/>
      <c r="SK489" s="75"/>
      <c r="SL489" s="75"/>
      <c r="SM489" s="75"/>
      <c r="SN489" s="75"/>
      <c r="SO489" s="75"/>
      <c r="SP489" s="75"/>
      <c r="SQ489" s="75"/>
      <c r="SR489" s="75"/>
      <c r="SS489" s="75"/>
      <c r="ST489" s="75"/>
      <c r="SU489" s="75"/>
      <c r="SV489" s="75"/>
      <c r="SW489" s="75"/>
      <c r="SX489" s="75"/>
      <c r="SY489" s="75"/>
      <c r="SZ489" s="75"/>
      <c r="TA489" s="75"/>
      <c r="TB489" s="75"/>
      <c r="TC489" s="75"/>
      <c r="TD489" s="75"/>
      <c r="TE489" s="75"/>
      <c r="TF489" s="75"/>
      <c r="TG489" s="75"/>
      <c r="TH489" s="75"/>
      <c r="TI489" s="75"/>
      <c r="TJ489" s="75"/>
      <c r="TK489" s="75"/>
      <c r="TL489" s="75"/>
      <c r="TM489" s="75"/>
      <c r="TN489" s="75"/>
      <c r="TO489" s="75"/>
      <c r="TP489" s="75"/>
      <c r="TQ489" s="75"/>
      <c r="TR489" s="75"/>
      <c r="TS489" s="75"/>
      <c r="TT489" s="75"/>
      <c r="TU489" s="75"/>
      <c r="TV489" s="75"/>
      <c r="TW489" s="75"/>
      <c r="TX489" s="75"/>
      <c r="TY489" s="75"/>
      <c r="TZ489" s="75"/>
      <c r="UA489" s="75"/>
      <c r="UB489" s="75"/>
      <c r="UC489" s="75"/>
      <c r="UD489" s="75"/>
      <c r="UE489" s="75"/>
      <c r="UF489" s="75"/>
      <c r="UG489" s="75"/>
      <c r="UH489" s="75"/>
      <c r="UI489" s="75"/>
      <c r="UJ489" s="75"/>
      <c r="UK489" s="75"/>
      <c r="UL489" s="75"/>
      <c r="UM489" s="75"/>
      <c r="UN489" s="75"/>
      <c r="UO489" s="75"/>
      <c r="UP489" s="75"/>
      <c r="UQ489" s="75"/>
      <c r="UR489" s="75"/>
      <c r="US489" s="75"/>
      <c r="UT489" s="75"/>
      <c r="UU489" s="75"/>
      <c r="UV489" s="75"/>
      <c r="UW489" s="75"/>
      <c r="UX489" s="75"/>
      <c r="UY489" s="75"/>
      <c r="UZ489" s="75"/>
      <c r="VA489" s="75"/>
      <c r="VB489" s="75"/>
      <c r="VC489" s="75"/>
      <c r="VD489" s="75"/>
      <c r="VE489" s="75"/>
      <c r="VF489" s="75"/>
      <c r="VG489" s="75"/>
      <c r="VH489" s="75"/>
      <c r="VI489" s="75"/>
      <c r="VJ489" s="75"/>
      <c r="VK489" s="75"/>
      <c r="VL489" s="75"/>
      <c r="VM489" s="75"/>
      <c r="VN489" s="75"/>
      <c r="VO489" s="75"/>
      <c r="VP489" s="75"/>
      <c r="VQ489" s="75"/>
      <c r="VR489" s="75"/>
      <c r="VS489" s="75"/>
      <c r="VT489" s="75"/>
      <c r="VU489" s="75"/>
      <c r="VV489" s="75"/>
      <c r="VW489" s="75"/>
      <c r="VX489" s="75"/>
      <c r="VY489" s="75"/>
      <c r="VZ489" s="75"/>
      <c r="WA489" s="75"/>
      <c r="WB489" s="75"/>
      <c r="WC489" s="75"/>
      <c r="WD489" s="75"/>
      <c r="WE489" s="75"/>
      <c r="WF489" s="75"/>
      <c r="WG489" s="75"/>
      <c r="WH489" s="75"/>
      <c r="WI489" s="75"/>
      <c r="WJ489" s="75"/>
      <c r="WK489" s="75"/>
      <c r="WL489" s="75"/>
      <c r="WM489" s="75"/>
      <c r="WN489" s="75"/>
      <c r="WO489" s="75"/>
      <c r="WP489" s="75"/>
      <c r="WQ489" s="75"/>
      <c r="WR489" s="75"/>
      <c r="WS489" s="75"/>
      <c r="WT489" s="75"/>
      <c r="WU489" s="75"/>
      <c r="WV489" s="75"/>
      <c r="WW489" s="75"/>
      <c r="WX489" s="75"/>
      <c r="WY489" s="75"/>
      <c r="WZ489" s="75"/>
      <c r="XA489" s="75"/>
      <c r="XB489" s="75"/>
      <c r="XC489" s="75"/>
      <c r="XD489" s="75"/>
      <c r="XE489" s="75"/>
      <c r="XF489" s="75"/>
      <c r="XG489" s="75"/>
      <c r="XH489" s="75"/>
      <c r="XI489" s="75"/>
      <c r="XJ489" s="75"/>
      <c r="XK489" s="75"/>
      <c r="XL489" s="75"/>
      <c r="XM489" s="75"/>
      <c r="XN489" s="75"/>
      <c r="XO489" s="75"/>
      <c r="XP489" s="75"/>
      <c r="XQ489" s="75"/>
      <c r="XR489" s="75"/>
      <c r="XS489" s="75"/>
      <c r="XT489" s="75"/>
      <c r="XU489" s="75"/>
      <c r="XV489" s="75"/>
      <c r="XW489" s="75"/>
      <c r="XX489" s="75"/>
      <c r="XY489" s="75"/>
      <c r="XZ489" s="75"/>
      <c r="YA489" s="75"/>
      <c r="YB489" s="75"/>
      <c r="YC489" s="75"/>
      <c r="YD489" s="75"/>
      <c r="YE489" s="75"/>
      <c r="YF489" s="75"/>
      <c r="YG489" s="75"/>
      <c r="YH489" s="75"/>
      <c r="YI489" s="75"/>
      <c r="YJ489" s="75"/>
      <c r="YK489" s="75"/>
      <c r="YL489" s="75"/>
      <c r="YM489" s="75"/>
      <c r="YN489" s="75"/>
      <c r="YO489" s="75"/>
      <c r="YP489" s="75"/>
      <c r="YQ489" s="75"/>
      <c r="YR489" s="75"/>
      <c r="YS489" s="75"/>
      <c r="YT489" s="75"/>
      <c r="YU489" s="75"/>
      <c r="YV489" s="75"/>
      <c r="YW489" s="75"/>
      <c r="YX489" s="75"/>
      <c r="YY489" s="75"/>
      <c r="YZ489" s="75"/>
      <c r="ZA489" s="75"/>
      <c r="ZB489" s="75"/>
      <c r="ZC489" s="75"/>
      <c r="ZD489" s="75"/>
      <c r="ZE489" s="75"/>
      <c r="ZF489" s="75"/>
      <c r="ZG489" s="75"/>
      <c r="ZH489" s="75"/>
      <c r="ZI489" s="75"/>
      <c r="ZJ489" s="75"/>
      <c r="ZK489" s="75"/>
      <c r="ZL489" s="75"/>
      <c r="ZM489" s="75"/>
      <c r="ZN489" s="75"/>
      <c r="ZO489" s="75"/>
      <c r="ZP489" s="75"/>
      <c r="ZQ489" s="75"/>
      <c r="ZR489" s="75"/>
      <c r="ZS489" s="75"/>
      <c r="ZT489" s="75"/>
      <c r="ZU489" s="75"/>
      <c r="ZV489" s="75"/>
      <c r="ZW489" s="75"/>
      <c r="ZX489" s="75"/>
      <c r="ZY489" s="75"/>
      <c r="ZZ489" s="75"/>
      <c r="AAA489" s="75"/>
      <c r="AAB489" s="75"/>
      <c r="AAC489" s="75"/>
      <c r="AAD489" s="75"/>
      <c r="AAE489" s="75"/>
      <c r="AAF489" s="75"/>
      <c r="AAG489" s="75"/>
      <c r="AAH489" s="75"/>
      <c r="AAI489" s="75"/>
      <c r="AAJ489" s="75"/>
      <c r="AAK489" s="75"/>
      <c r="AAL489" s="75"/>
      <c r="AAM489" s="75"/>
      <c r="AAN489" s="75"/>
      <c r="AAO489" s="75"/>
      <c r="AAP489" s="75"/>
      <c r="AAQ489" s="75"/>
      <c r="AAR489" s="75"/>
      <c r="AAS489" s="75"/>
      <c r="AAT489" s="75"/>
      <c r="AAU489" s="75"/>
      <c r="AAV489" s="75"/>
      <c r="AAW489" s="75"/>
      <c r="AAX489" s="75"/>
      <c r="AAY489" s="75"/>
      <c r="AAZ489" s="75"/>
      <c r="ABA489" s="75"/>
      <c r="ABB489" s="75"/>
      <c r="ABC489" s="75"/>
      <c r="ABD489" s="75"/>
      <c r="ABE489" s="75"/>
      <c r="ABF489" s="75"/>
      <c r="ABG489" s="75"/>
      <c r="ABH489" s="75"/>
      <c r="ABI489" s="75"/>
      <c r="ABJ489" s="75"/>
      <c r="ABK489" s="75"/>
      <c r="ABL489" s="75"/>
      <c r="ABM489" s="75"/>
      <c r="ABN489" s="75"/>
      <c r="ABO489" s="75"/>
      <c r="ABP489" s="75"/>
      <c r="ABQ489" s="75"/>
      <c r="ABR489" s="75"/>
      <c r="ABS489" s="75"/>
      <c r="ABT489" s="75"/>
      <c r="ABU489" s="75"/>
      <c r="ABV489" s="75"/>
      <c r="ABW489" s="75"/>
      <c r="ABX489" s="75"/>
      <c r="ABY489" s="75"/>
      <c r="ABZ489" s="75"/>
      <c r="ACA489" s="75"/>
      <c r="ACB489" s="75"/>
      <c r="ACC489" s="75"/>
      <c r="ACD489" s="75"/>
      <c r="ACE489" s="75"/>
      <c r="ACF489" s="75"/>
      <c r="ACG489" s="75"/>
      <c r="ACH489" s="75"/>
      <c r="ACI489" s="75"/>
      <c r="ACJ489" s="75"/>
      <c r="ACK489" s="75"/>
      <c r="ACL489" s="75"/>
      <c r="ACM489" s="75"/>
      <c r="ACN489" s="75"/>
      <c r="ACO489" s="75"/>
      <c r="ACP489" s="75"/>
      <c r="ACQ489" s="75"/>
      <c r="ACR489" s="75"/>
      <c r="ACS489" s="75"/>
      <c r="ACT489" s="75"/>
      <c r="ACU489" s="75"/>
      <c r="ACV489" s="75"/>
      <c r="ACW489" s="75"/>
      <c r="ACX489" s="75"/>
      <c r="ACY489" s="75"/>
      <c r="ACZ489" s="75"/>
      <c r="ADA489" s="75"/>
      <c r="ADB489" s="75"/>
      <c r="ADC489" s="75"/>
      <c r="ADD489" s="75"/>
      <c r="ADE489" s="75"/>
      <c r="ADF489" s="75"/>
      <c r="ADG489" s="75"/>
      <c r="ADH489" s="75"/>
      <c r="ADI489" s="75"/>
      <c r="ADJ489" s="75"/>
      <c r="ADK489" s="75"/>
      <c r="ADL489" s="75"/>
      <c r="ADM489" s="75"/>
      <c r="ADN489" s="75"/>
      <c r="ADO489" s="75"/>
      <c r="ADP489" s="75"/>
      <c r="ADQ489" s="75"/>
      <c r="ADR489" s="75"/>
      <c r="ADS489" s="75"/>
      <c r="ADT489" s="75"/>
      <c r="ADU489" s="75"/>
      <c r="ADV489" s="75"/>
      <c r="ADW489" s="75"/>
      <c r="ADX489" s="75"/>
      <c r="ADY489" s="75"/>
      <c r="ADZ489" s="75"/>
      <c r="AEA489" s="75"/>
      <c r="AEB489" s="75"/>
      <c r="AEC489" s="75"/>
      <c r="AED489" s="75"/>
      <c r="AEE489" s="75"/>
      <c r="AEF489" s="75"/>
      <c r="AEG489" s="75"/>
      <c r="AEH489" s="75"/>
      <c r="AEI489" s="75"/>
      <c r="AEJ489" s="75"/>
      <c r="AEK489" s="75"/>
      <c r="AEL489" s="75"/>
      <c r="AEM489" s="75"/>
      <c r="AEN489" s="75"/>
      <c r="AEO489" s="75"/>
      <c r="AEP489" s="75"/>
      <c r="AEQ489" s="75"/>
      <c r="AER489" s="75"/>
      <c r="AES489" s="75"/>
      <c r="AET489" s="75"/>
      <c r="AEU489" s="75"/>
      <c r="AEV489" s="75"/>
      <c r="AEW489" s="75"/>
      <c r="AEX489" s="75"/>
      <c r="AEY489" s="75"/>
      <c r="AEZ489" s="75"/>
      <c r="AFA489" s="75"/>
      <c r="AFB489" s="75"/>
      <c r="AFC489" s="75"/>
      <c r="AFD489" s="75"/>
      <c r="AFE489" s="75"/>
      <c r="AFF489" s="75"/>
      <c r="AFG489" s="75"/>
      <c r="AFH489" s="75"/>
      <c r="AFI489" s="75"/>
      <c r="AFJ489" s="75"/>
      <c r="AFK489" s="75"/>
      <c r="AFL489" s="75"/>
      <c r="AFM489" s="75"/>
      <c r="AFN489" s="75"/>
      <c r="AFO489" s="75"/>
      <c r="AFP489" s="75"/>
      <c r="AFQ489" s="75"/>
      <c r="AFR489" s="75"/>
      <c r="AFS489" s="75"/>
      <c r="AFT489" s="75"/>
      <c r="AFU489" s="75"/>
      <c r="AFV489" s="75"/>
      <c r="AFW489" s="75"/>
      <c r="AFX489" s="75"/>
      <c r="AFY489" s="75"/>
      <c r="AFZ489" s="75"/>
      <c r="AGA489" s="75"/>
      <c r="AGB489" s="75"/>
      <c r="AGC489" s="75"/>
      <c r="AGD489" s="75"/>
      <c r="AGE489" s="75"/>
      <c r="AGF489" s="75"/>
      <c r="AGG489" s="75"/>
      <c r="AGH489" s="75"/>
      <c r="AGI489" s="75"/>
      <c r="AGJ489" s="75"/>
      <c r="AGK489" s="75"/>
      <c r="AGL489" s="75"/>
      <c r="AGM489" s="75"/>
      <c r="AGN489" s="75"/>
      <c r="AGO489" s="75"/>
      <c r="AGP489" s="75"/>
      <c r="AGQ489" s="75"/>
      <c r="AGR489" s="75"/>
      <c r="AGS489" s="75"/>
      <c r="AGT489" s="75"/>
      <c r="AGU489" s="75"/>
      <c r="AGV489" s="75"/>
      <c r="AGW489" s="75"/>
      <c r="AGX489" s="75"/>
      <c r="AGY489" s="75"/>
      <c r="AGZ489" s="75"/>
      <c r="AHA489" s="75"/>
      <c r="AHB489" s="75"/>
      <c r="AHC489" s="75"/>
      <c r="AHD489" s="75"/>
      <c r="AHE489" s="75"/>
      <c r="AHF489" s="75"/>
      <c r="AHG489" s="75"/>
      <c r="AHH489" s="75"/>
      <c r="AHI489" s="75"/>
      <c r="AHJ489" s="75"/>
      <c r="AHK489" s="75"/>
      <c r="AHL489" s="75"/>
      <c r="AHM489" s="75"/>
      <c r="AHN489" s="75"/>
      <c r="AHO489" s="75"/>
      <c r="AHP489" s="75"/>
      <c r="AHQ489" s="75"/>
      <c r="AHR489" s="75"/>
      <c r="AHS489" s="75"/>
      <c r="AHT489" s="75"/>
      <c r="AHU489" s="75"/>
      <c r="AHV489" s="75"/>
      <c r="AHW489" s="75"/>
      <c r="AHX489" s="75"/>
      <c r="AHY489" s="75"/>
      <c r="AHZ489" s="75"/>
      <c r="AIA489" s="75"/>
      <c r="AIB489" s="75"/>
      <c r="AIC489" s="75"/>
      <c r="AID489" s="75"/>
      <c r="AIE489" s="75"/>
      <c r="AIF489" s="75"/>
      <c r="AIG489" s="75"/>
      <c r="AIH489" s="75"/>
      <c r="AII489" s="75"/>
      <c r="AIJ489" s="75"/>
      <c r="AIK489" s="75"/>
      <c r="AIL489" s="75"/>
      <c r="AIM489" s="75"/>
      <c r="AIN489" s="75"/>
      <c r="AIO489" s="75"/>
      <c r="AIP489" s="75"/>
      <c r="AIQ489" s="75"/>
      <c r="AIR489" s="75"/>
      <c r="AIS489" s="75"/>
      <c r="AIT489" s="75"/>
      <c r="AIU489" s="75"/>
      <c r="AIV489" s="75"/>
      <c r="AIW489" s="75"/>
      <c r="AIX489" s="75"/>
      <c r="AIY489" s="75"/>
      <c r="AIZ489" s="75"/>
      <c r="AJA489" s="75"/>
      <c r="AJB489" s="75"/>
      <c r="AJC489" s="75"/>
      <c r="AJD489" s="75"/>
      <c r="AJE489" s="75"/>
      <c r="AJF489" s="75"/>
      <c r="AJG489" s="75"/>
      <c r="AJH489" s="75"/>
      <c r="AJI489" s="75"/>
      <c r="AJJ489" s="75"/>
      <c r="AJK489" s="75"/>
      <c r="AJL489" s="75"/>
      <c r="AJM489" s="75"/>
      <c r="AJN489" s="75"/>
      <c r="AJO489" s="75"/>
      <c r="AJP489" s="75"/>
      <c r="AJQ489" s="75"/>
      <c r="AJR489" s="75"/>
      <c r="AJS489" s="75"/>
      <c r="AJT489" s="75"/>
      <c r="AJU489" s="75"/>
      <c r="AJV489" s="75"/>
      <c r="AJW489" s="75"/>
      <c r="AJX489" s="75"/>
      <c r="AJY489" s="75"/>
      <c r="AJZ489" s="75"/>
      <c r="AKA489" s="75"/>
      <c r="AKB489" s="75"/>
      <c r="AKC489" s="75"/>
      <c r="AKD489" s="75"/>
      <c r="AKE489" s="75"/>
      <c r="AKF489" s="75"/>
      <c r="AKG489" s="75"/>
      <c r="AKH489" s="75"/>
      <c r="AKI489" s="75"/>
      <c r="AKJ489" s="75"/>
      <c r="AKK489" s="75"/>
      <c r="AKL489" s="75"/>
      <c r="AKM489" s="75"/>
      <c r="AKN489" s="75"/>
      <c r="AKO489" s="75"/>
      <c r="AKP489" s="75"/>
      <c r="AKQ489" s="75"/>
      <c r="AKR489" s="75"/>
      <c r="AKS489" s="75"/>
      <c r="AKT489" s="75"/>
      <c r="AKU489" s="75"/>
      <c r="AKV489" s="75"/>
      <c r="AKW489" s="75"/>
      <c r="AKX489" s="75"/>
      <c r="AKY489" s="75"/>
      <c r="AKZ489" s="75"/>
      <c r="ALA489" s="75"/>
      <c r="ALB489" s="75"/>
      <c r="ALC489" s="75"/>
      <c r="ALD489" s="75"/>
      <c r="ALE489" s="75"/>
      <c r="ALF489" s="75"/>
      <c r="ALG489" s="75"/>
      <c r="ALH489" s="75"/>
      <c r="ALI489" s="75"/>
      <c r="ALJ489" s="75"/>
      <c r="ALK489" s="75"/>
      <c r="ALL489" s="75"/>
      <c r="ALM489" s="75"/>
      <c r="ALN489" s="75"/>
      <c r="ALO489" s="75"/>
    </row>
    <row r="490" spans="1:1003" s="235" customFormat="1" ht="14.55" customHeight="1" outlineLevel="1" x14ac:dyDescent="0.25">
      <c r="A490" s="230" t="s">
        <v>1422</v>
      </c>
      <c r="B490" s="343" t="str">
        <f>"13.0408"</f>
        <v>13.0408</v>
      </c>
      <c r="C490" s="75" t="s">
        <v>2166</v>
      </c>
      <c r="D490" s="127" t="s">
        <v>2167</v>
      </c>
      <c r="E490" s="232"/>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c r="BA490" s="75"/>
      <c r="BB490" s="75"/>
      <c r="BC490" s="75"/>
      <c r="BD490" s="75"/>
      <c r="BE490" s="75"/>
      <c r="BF490" s="75"/>
      <c r="BG490" s="75"/>
      <c r="BH490" s="75"/>
      <c r="BI490" s="75"/>
      <c r="BJ490" s="75"/>
      <c r="BK490" s="75"/>
      <c r="BL490" s="75"/>
      <c r="BM490" s="75"/>
      <c r="BN490" s="75"/>
      <c r="BO490" s="75"/>
      <c r="BP490" s="75"/>
      <c r="BQ490" s="75"/>
      <c r="BR490" s="75"/>
      <c r="BS490" s="75"/>
      <c r="BT490" s="75"/>
      <c r="BU490" s="75"/>
      <c r="BV490" s="75"/>
      <c r="BW490" s="75"/>
      <c r="BX490" s="75"/>
      <c r="BY490" s="75"/>
      <c r="BZ490" s="75"/>
      <c r="CA490" s="75"/>
      <c r="CB490" s="75"/>
      <c r="CC490" s="75"/>
      <c r="CD490" s="75"/>
      <c r="CE490" s="75"/>
      <c r="CF490" s="75"/>
      <c r="CG490" s="75"/>
      <c r="CH490" s="75"/>
      <c r="CI490" s="75"/>
      <c r="CJ490" s="75"/>
      <c r="CK490" s="75"/>
      <c r="CL490" s="75"/>
      <c r="CM490" s="75"/>
      <c r="CN490" s="75"/>
      <c r="CO490" s="75"/>
      <c r="CP490" s="75"/>
      <c r="CQ490" s="75"/>
      <c r="CR490" s="75"/>
      <c r="CS490" s="75"/>
      <c r="CT490" s="75"/>
      <c r="CU490" s="75"/>
      <c r="CV490" s="75"/>
      <c r="CW490" s="75"/>
      <c r="CX490" s="75"/>
      <c r="CY490" s="75"/>
      <c r="CZ490" s="75"/>
      <c r="DA490" s="75"/>
      <c r="DB490" s="75"/>
      <c r="DC490" s="75"/>
      <c r="DD490" s="75"/>
      <c r="DE490" s="75"/>
      <c r="DF490" s="75"/>
      <c r="DG490" s="75"/>
      <c r="DH490" s="75"/>
      <c r="DI490" s="75"/>
      <c r="DJ490" s="75"/>
      <c r="DK490" s="75"/>
      <c r="DL490" s="75"/>
      <c r="DM490" s="75"/>
      <c r="DN490" s="75"/>
      <c r="DO490" s="75"/>
      <c r="DP490" s="75"/>
      <c r="DQ490" s="75"/>
      <c r="DR490" s="75"/>
      <c r="DS490" s="75"/>
      <c r="DT490" s="75"/>
      <c r="DU490" s="75"/>
      <c r="DV490" s="75"/>
      <c r="DW490" s="75"/>
      <c r="DX490" s="75"/>
      <c r="DY490" s="75"/>
      <c r="DZ490" s="75"/>
      <c r="EA490" s="75"/>
      <c r="EB490" s="75"/>
      <c r="EC490" s="75"/>
      <c r="ED490" s="75"/>
      <c r="EE490" s="75"/>
      <c r="EF490" s="75"/>
      <c r="EG490" s="75"/>
      <c r="EH490" s="75"/>
      <c r="EI490" s="75"/>
      <c r="EJ490" s="75"/>
      <c r="EK490" s="75"/>
      <c r="EL490" s="75"/>
      <c r="EM490" s="75"/>
      <c r="EN490" s="75"/>
      <c r="EO490" s="75"/>
      <c r="EP490" s="75"/>
      <c r="EQ490" s="75"/>
      <c r="ER490" s="75"/>
      <c r="ES490" s="75"/>
      <c r="ET490" s="75"/>
      <c r="EU490" s="75"/>
      <c r="EV490" s="75"/>
      <c r="EW490" s="75"/>
      <c r="EX490" s="75"/>
      <c r="EY490" s="75"/>
      <c r="EZ490" s="75"/>
      <c r="FA490" s="75"/>
      <c r="FB490" s="75"/>
      <c r="FC490" s="75"/>
      <c r="FD490" s="75"/>
      <c r="FE490" s="75"/>
      <c r="FF490" s="75"/>
      <c r="FG490" s="75"/>
      <c r="FH490" s="75"/>
      <c r="FI490" s="75"/>
      <c r="FJ490" s="75"/>
      <c r="FK490" s="75"/>
      <c r="FL490" s="75"/>
      <c r="FM490" s="75"/>
      <c r="FN490" s="75"/>
      <c r="FO490" s="75"/>
      <c r="FP490" s="75"/>
      <c r="FQ490" s="75"/>
      <c r="FR490" s="75"/>
      <c r="FS490" s="75"/>
      <c r="FT490" s="75"/>
      <c r="FU490" s="75"/>
      <c r="FV490" s="75"/>
      <c r="FW490" s="75"/>
      <c r="FX490" s="75"/>
      <c r="FY490" s="75"/>
      <c r="FZ490" s="75"/>
      <c r="GA490" s="75"/>
      <c r="GB490" s="75"/>
      <c r="GC490" s="75"/>
      <c r="GD490" s="75"/>
      <c r="GE490" s="75"/>
      <c r="GF490" s="75"/>
      <c r="GG490" s="75"/>
      <c r="GH490" s="75"/>
      <c r="GI490" s="75"/>
      <c r="GJ490" s="75"/>
      <c r="GK490" s="75"/>
      <c r="GL490" s="75"/>
      <c r="GM490" s="75"/>
      <c r="GN490" s="75"/>
      <c r="GO490" s="75"/>
      <c r="GP490" s="75"/>
      <c r="GQ490" s="75"/>
      <c r="GR490" s="75"/>
      <c r="GS490" s="75"/>
      <c r="GT490" s="75"/>
      <c r="GU490" s="75"/>
      <c r="GV490" s="75"/>
      <c r="GW490" s="75"/>
      <c r="GX490" s="75"/>
      <c r="GY490" s="75"/>
      <c r="GZ490" s="75"/>
      <c r="HA490" s="75"/>
      <c r="HB490" s="75"/>
      <c r="HC490" s="75"/>
      <c r="HD490" s="75"/>
      <c r="HE490" s="75"/>
      <c r="HF490" s="75"/>
      <c r="HG490" s="75"/>
      <c r="HH490" s="75"/>
      <c r="HI490" s="75"/>
      <c r="HJ490" s="75"/>
      <c r="HK490" s="75"/>
      <c r="HL490" s="75"/>
      <c r="HM490" s="75"/>
      <c r="HN490" s="75"/>
      <c r="HO490" s="75"/>
      <c r="HP490" s="75"/>
      <c r="HQ490" s="75"/>
      <c r="HR490" s="75"/>
      <c r="HS490" s="75"/>
      <c r="HT490" s="75"/>
      <c r="HU490" s="75"/>
      <c r="HV490" s="75"/>
      <c r="HW490" s="75"/>
      <c r="HX490" s="75"/>
      <c r="HY490" s="75"/>
      <c r="HZ490" s="75"/>
      <c r="IA490" s="75"/>
      <c r="IB490" s="75"/>
      <c r="IC490" s="75"/>
      <c r="ID490" s="75"/>
      <c r="IE490" s="75"/>
      <c r="IF490" s="75"/>
      <c r="IG490" s="75"/>
      <c r="IH490" s="75"/>
      <c r="II490" s="75"/>
      <c r="IJ490" s="75"/>
      <c r="IK490" s="75"/>
      <c r="IL490" s="75"/>
      <c r="IM490" s="75"/>
      <c r="IN490" s="75"/>
      <c r="IO490" s="75"/>
      <c r="IP490" s="75"/>
      <c r="IQ490" s="75"/>
      <c r="IR490" s="75"/>
      <c r="IS490" s="75"/>
      <c r="IT490" s="75"/>
      <c r="IU490" s="75"/>
      <c r="IV490" s="75"/>
      <c r="IW490" s="75"/>
      <c r="IX490" s="75"/>
      <c r="IY490" s="75"/>
      <c r="IZ490" s="75"/>
      <c r="JA490" s="75"/>
      <c r="JB490" s="75"/>
      <c r="JC490" s="75"/>
      <c r="JD490" s="75"/>
      <c r="JE490" s="75"/>
      <c r="JF490" s="75"/>
      <c r="JG490" s="75"/>
      <c r="JH490" s="75"/>
      <c r="JI490" s="75"/>
      <c r="JJ490" s="75"/>
      <c r="JK490" s="75"/>
      <c r="JL490" s="75"/>
      <c r="JM490" s="75"/>
      <c r="JN490" s="75"/>
      <c r="JO490" s="75"/>
      <c r="JP490" s="75"/>
      <c r="JQ490" s="75"/>
      <c r="JR490" s="75"/>
      <c r="JS490" s="75"/>
      <c r="JT490" s="75"/>
      <c r="JU490" s="75"/>
      <c r="JV490" s="75"/>
      <c r="JW490" s="75"/>
      <c r="JX490" s="75"/>
      <c r="JY490" s="75"/>
      <c r="JZ490" s="75"/>
      <c r="KA490" s="75"/>
      <c r="KB490" s="75"/>
      <c r="KC490" s="75"/>
      <c r="KD490" s="75"/>
      <c r="KE490" s="75"/>
      <c r="KF490" s="75"/>
      <c r="KG490" s="75"/>
      <c r="KH490" s="75"/>
      <c r="KI490" s="75"/>
      <c r="KJ490" s="75"/>
      <c r="KK490" s="75"/>
      <c r="KL490" s="75"/>
      <c r="KM490" s="75"/>
      <c r="KN490" s="75"/>
      <c r="KO490" s="75"/>
      <c r="KP490" s="75"/>
      <c r="KQ490" s="75"/>
      <c r="KR490" s="75"/>
      <c r="KS490" s="75"/>
      <c r="KT490" s="75"/>
      <c r="KU490" s="75"/>
      <c r="KV490" s="75"/>
      <c r="KW490" s="75"/>
      <c r="KX490" s="75"/>
      <c r="KY490" s="75"/>
      <c r="KZ490" s="75"/>
      <c r="LA490" s="75"/>
      <c r="LB490" s="75"/>
      <c r="LC490" s="75"/>
      <c r="LD490" s="75"/>
      <c r="LE490" s="75"/>
      <c r="LF490" s="75"/>
      <c r="LG490" s="75"/>
      <c r="LH490" s="75"/>
      <c r="LI490" s="75"/>
      <c r="LJ490" s="75"/>
      <c r="LK490" s="75"/>
      <c r="LL490" s="75"/>
      <c r="LM490" s="75"/>
      <c r="LN490" s="75"/>
      <c r="LO490" s="75"/>
      <c r="LP490" s="75"/>
      <c r="LQ490" s="75"/>
      <c r="LR490" s="75"/>
      <c r="LS490" s="75"/>
      <c r="LT490" s="75"/>
      <c r="LU490" s="75"/>
      <c r="LV490" s="75"/>
      <c r="LW490" s="75"/>
      <c r="LX490" s="75"/>
      <c r="LY490" s="75"/>
      <c r="LZ490" s="75"/>
      <c r="MA490" s="75"/>
      <c r="MB490" s="75"/>
      <c r="MC490" s="75"/>
      <c r="MD490" s="75"/>
      <c r="ME490" s="75"/>
      <c r="MF490" s="75"/>
      <c r="MG490" s="75"/>
      <c r="MH490" s="75"/>
      <c r="MI490" s="75"/>
      <c r="MJ490" s="75"/>
      <c r="MK490" s="75"/>
      <c r="ML490" s="75"/>
      <c r="MM490" s="75"/>
      <c r="MN490" s="75"/>
      <c r="MO490" s="75"/>
      <c r="MP490" s="75"/>
      <c r="MQ490" s="75"/>
      <c r="MR490" s="75"/>
      <c r="MS490" s="75"/>
      <c r="MT490" s="75"/>
      <c r="MU490" s="75"/>
      <c r="MV490" s="75"/>
      <c r="MW490" s="75"/>
      <c r="MX490" s="75"/>
      <c r="MY490" s="75"/>
      <c r="MZ490" s="75"/>
      <c r="NA490" s="75"/>
      <c r="NB490" s="75"/>
      <c r="NC490" s="75"/>
      <c r="ND490" s="75"/>
      <c r="NE490" s="75"/>
      <c r="NF490" s="75"/>
      <c r="NG490" s="75"/>
      <c r="NH490" s="75"/>
      <c r="NI490" s="75"/>
      <c r="NJ490" s="75"/>
      <c r="NK490" s="75"/>
      <c r="NL490" s="75"/>
      <c r="NM490" s="75"/>
      <c r="NN490" s="75"/>
      <c r="NO490" s="75"/>
      <c r="NP490" s="75"/>
      <c r="NQ490" s="75"/>
      <c r="NR490" s="75"/>
      <c r="NS490" s="75"/>
      <c r="NT490" s="75"/>
      <c r="NU490" s="75"/>
      <c r="NV490" s="75"/>
      <c r="NW490" s="75"/>
      <c r="NX490" s="75"/>
      <c r="NY490" s="75"/>
      <c r="NZ490" s="75"/>
      <c r="OA490" s="75"/>
      <c r="OB490" s="75"/>
      <c r="OC490" s="75"/>
      <c r="OD490" s="75"/>
      <c r="OE490" s="75"/>
      <c r="OF490" s="75"/>
      <c r="OG490" s="75"/>
      <c r="OH490" s="75"/>
      <c r="OI490" s="75"/>
      <c r="OJ490" s="75"/>
      <c r="OK490" s="75"/>
      <c r="OL490" s="75"/>
      <c r="OM490" s="75"/>
      <c r="ON490" s="75"/>
      <c r="OO490" s="75"/>
      <c r="OP490" s="75"/>
      <c r="OQ490" s="75"/>
      <c r="OR490" s="75"/>
      <c r="OS490" s="75"/>
      <c r="OT490" s="75"/>
      <c r="OU490" s="75"/>
      <c r="OV490" s="75"/>
      <c r="OW490" s="75"/>
      <c r="OX490" s="75"/>
      <c r="OY490" s="75"/>
      <c r="OZ490" s="75"/>
      <c r="PA490" s="75"/>
      <c r="PB490" s="75"/>
      <c r="PC490" s="75"/>
      <c r="PD490" s="75"/>
      <c r="PE490" s="75"/>
      <c r="PF490" s="75"/>
      <c r="PG490" s="75"/>
      <c r="PH490" s="75"/>
      <c r="PI490" s="75"/>
      <c r="PJ490" s="75"/>
      <c r="PK490" s="75"/>
      <c r="PL490" s="75"/>
      <c r="PM490" s="75"/>
      <c r="PN490" s="75"/>
      <c r="PO490" s="75"/>
      <c r="PP490" s="75"/>
      <c r="PQ490" s="75"/>
      <c r="PR490" s="75"/>
      <c r="PS490" s="75"/>
      <c r="PT490" s="75"/>
      <c r="PU490" s="75"/>
      <c r="PV490" s="75"/>
      <c r="PW490" s="75"/>
      <c r="PX490" s="75"/>
      <c r="PY490" s="75"/>
      <c r="PZ490" s="75"/>
      <c r="QA490" s="75"/>
      <c r="QB490" s="75"/>
      <c r="QC490" s="75"/>
      <c r="QD490" s="75"/>
      <c r="QE490" s="75"/>
      <c r="QF490" s="75"/>
      <c r="QG490" s="75"/>
      <c r="QH490" s="75"/>
      <c r="QI490" s="75"/>
      <c r="QJ490" s="75"/>
      <c r="QK490" s="75"/>
      <c r="QL490" s="75"/>
      <c r="QM490" s="75"/>
      <c r="QN490" s="75"/>
      <c r="QO490" s="75"/>
      <c r="QP490" s="75"/>
      <c r="QQ490" s="75"/>
      <c r="QR490" s="75"/>
      <c r="QS490" s="75"/>
      <c r="QT490" s="75"/>
      <c r="QU490" s="75"/>
      <c r="QV490" s="75"/>
      <c r="QW490" s="75"/>
      <c r="QX490" s="75"/>
      <c r="QY490" s="75"/>
      <c r="QZ490" s="75"/>
      <c r="RA490" s="75"/>
      <c r="RB490" s="75"/>
      <c r="RC490" s="75"/>
      <c r="RD490" s="75"/>
      <c r="RE490" s="75"/>
      <c r="RF490" s="75"/>
      <c r="RG490" s="75"/>
      <c r="RH490" s="75"/>
      <c r="RI490" s="75"/>
      <c r="RJ490" s="75"/>
      <c r="RK490" s="75"/>
      <c r="RL490" s="75"/>
      <c r="RM490" s="75"/>
      <c r="RN490" s="75"/>
      <c r="RO490" s="75"/>
      <c r="RP490" s="75"/>
      <c r="RQ490" s="75"/>
      <c r="RR490" s="75"/>
      <c r="RS490" s="75"/>
      <c r="RT490" s="75"/>
      <c r="RU490" s="75"/>
      <c r="RV490" s="75"/>
      <c r="RW490" s="75"/>
      <c r="RX490" s="75"/>
      <c r="RY490" s="75"/>
      <c r="RZ490" s="75"/>
      <c r="SA490" s="75"/>
      <c r="SB490" s="75"/>
      <c r="SC490" s="75"/>
      <c r="SD490" s="75"/>
      <c r="SE490" s="75"/>
      <c r="SF490" s="75"/>
      <c r="SG490" s="75"/>
      <c r="SH490" s="75"/>
      <c r="SI490" s="75"/>
      <c r="SJ490" s="75"/>
      <c r="SK490" s="75"/>
      <c r="SL490" s="75"/>
      <c r="SM490" s="75"/>
      <c r="SN490" s="75"/>
      <c r="SO490" s="75"/>
      <c r="SP490" s="75"/>
      <c r="SQ490" s="75"/>
      <c r="SR490" s="75"/>
      <c r="SS490" s="75"/>
      <c r="ST490" s="75"/>
      <c r="SU490" s="75"/>
      <c r="SV490" s="75"/>
      <c r="SW490" s="75"/>
      <c r="SX490" s="75"/>
      <c r="SY490" s="75"/>
      <c r="SZ490" s="75"/>
      <c r="TA490" s="75"/>
      <c r="TB490" s="75"/>
      <c r="TC490" s="75"/>
      <c r="TD490" s="75"/>
      <c r="TE490" s="75"/>
      <c r="TF490" s="75"/>
      <c r="TG490" s="75"/>
      <c r="TH490" s="75"/>
      <c r="TI490" s="75"/>
      <c r="TJ490" s="75"/>
      <c r="TK490" s="75"/>
      <c r="TL490" s="75"/>
      <c r="TM490" s="75"/>
      <c r="TN490" s="75"/>
      <c r="TO490" s="75"/>
      <c r="TP490" s="75"/>
      <c r="TQ490" s="75"/>
      <c r="TR490" s="75"/>
      <c r="TS490" s="75"/>
      <c r="TT490" s="75"/>
      <c r="TU490" s="75"/>
      <c r="TV490" s="75"/>
      <c r="TW490" s="75"/>
      <c r="TX490" s="75"/>
      <c r="TY490" s="75"/>
      <c r="TZ490" s="75"/>
      <c r="UA490" s="75"/>
      <c r="UB490" s="75"/>
      <c r="UC490" s="75"/>
      <c r="UD490" s="75"/>
      <c r="UE490" s="75"/>
      <c r="UF490" s="75"/>
      <c r="UG490" s="75"/>
      <c r="UH490" s="75"/>
      <c r="UI490" s="75"/>
      <c r="UJ490" s="75"/>
      <c r="UK490" s="75"/>
      <c r="UL490" s="75"/>
      <c r="UM490" s="75"/>
      <c r="UN490" s="75"/>
      <c r="UO490" s="75"/>
      <c r="UP490" s="75"/>
      <c r="UQ490" s="75"/>
      <c r="UR490" s="75"/>
      <c r="US490" s="75"/>
      <c r="UT490" s="75"/>
      <c r="UU490" s="75"/>
      <c r="UV490" s="75"/>
      <c r="UW490" s="75"/>
      <c r="UX490" s="75"/>
      <c r="UY490" s="75"/>
      <c r="UZ490" s="75"/>
      <c r="VA490" s="75"/>
      <c r="VB490" s="75"/>
      <c r="VC490" s="75"/>
      <c r="VD490" s="75"/>
      <c r="VE490" s="75"/>
      <c r="VF490" s="75"/>
      <c r="VG490" s="75"/>
      <c r="VH490" s="75"/>
      <c r="VI490" s="75"/>
      <c r="VJ490" s="75"/>
      <c r="VK490" s="75"/>
      <c r="VL490" s="75"/>
      <c r="VM490" s="75"/>
      <c r="VN490" s="75"/>
      <c r="VO490" s="75"/>
      <c r="VP490" s="75"/>
      <c r="VQ490" s="75"/>
      <c r="VR490" s="75"/>
      <c r="VS490" s="75"/>
      <c r="VT490" s="75"/>
      <c r="VU490" s="75"/>
      <c r="VV490" s="75"/>
      <c r="VW490" s="75"/>
      <c r="VX490" s="75"/>
      <c r="VY490" s="75"/>
      <c r="VZ490" s="75"/>
      <c r="WA490" s="75"/>
      <c r="WB490" s="75"/>
      <c r="WC490" s="75"/>
      <c r="WD490" s="75"/>
      <c r="WE490" s="75"/>
      <c r="WF490" s="75"/>
      <c r="WG490" s="75"/>
      <c r="WH490" s="75"/>
      <c r="WI490" s="75"/>
      <c r="WJ490" s="75"/>
      <c r="WK490" s="75"/>
      <c r="WL490" s="75"/>
      <c r="WM490" s="75"/>
      <c r="WN490" s="75"/>
      <c r="WO490" s="75"/>
      <c r="WP490" s="75"/>
      <c r="WQ490" s="75"/>
      <c r="WR490" s="75"/>
      <c r="WS490" s="75"/>
      <c r="WT490" s="75"/>
      <c r="WU490" s="75"/>
      <c r="WV490" s="75"/>
      <c r="WW490" s="75"/>
      <c r="WX490" s="75"/>
      <c r="WY490" s="75"/>
      <c r="WZ490" s="75"/>
      <c r="XA490" s="75"/>
      <c r="XB490" s="75"/>
      <c r="XC490" s="75"/>
      <c r="XD490" s="75"/>
      <c r="XE490" s="75"/>
      <c r="XF490" s="75"/>
      <c r="XG490" s="75"/>
      <c r="XH490" s="75"/>
      <c r="XI490" s="75"/>
      <c r="XJ490" s="75"/>
      <c r="XK490" s="75"/>
      <c r="XL490" s="75"/>
      <c r="XM490" s="75"/>
      <c r="XN490" s="75"/>
      <c r="XO490" s="75"/>
      <c r="XP490" s="75"/>
      <c r="XQ490" s="75"/>
      <c r="XR490" s="75"/>
      <c r="XS490" s="75"/>
      <c r="XT490" s="75"/>
      <c r="XU490" s="75"/>
      <c r="XV490" s="75"/>
      <c r="XW490" s="75"/>
      <c r="XX490" s="75"/>
      <c r="XY490" s="75"/>
      <c r="XZ490" s="75"/>
      <c r="YA490" s="75"/>
      <c r="YB490" s="75"/>
      <c r="YC490" s="75"/>
      <c r="YD490" s="75"/>
      <c r="YE490" s="75"/>
      <c r="YF490" s="75"/>
      <c r="YG490" s="75"/>
      <c r="YH490" s="75"/>
      <c r="YI490" s="75"/>
      <c r="YJ490" s="75"/>
      <c r="YK490" s="75"/>
      <c r="YL490" s="75"/>
      <c r="YM490" s="75"/>
      <c r="YN490" s="75"/>
      <c r="YO490" s="75"/>
      <c r="YP490" s="75"/>
      <c r="YQ490" s="75"/>
      <c r="YR490" s="75"/>
      <c r="YS490" s="75"/>
      <c r="YT490" s="75"/>
      <c r="YU490" s="75"/>
      <c r="YV490" s="75"/>
      <c r="YW490" s="75"/>
      <c r="YX490" s="75"/>
      <c r="YY490" s="75"/>
      <c r="YZ490" s="75"/>
      <c r="ZA490" s="75"/>
      <c r="ZB490" s="75"/>
      <c r="ZC490" s="75"/>
      <c r="ZD490" s="75"/>
      <c r="ZE490" s="75"/>
      <c r="ZF490" s="75"/>
      <c r="ZG490" s="75"/>
      <c r="ZH490" s="75"/>
      <c r="ZI490" s="75"/>
      <c r="ZJ490" s="75"/>
      <c r="ZK490" s="75"/>
      <c r="ZL490" s="75"/>
      <c r="ZM490" s="75"/>
      <c r="ZN490" s="75"/>
      <c r="ZO490" s="75"/>
      <c r="ZP490" s="75"/>
      <c r="ZQ490" s="75"/>
      <c r="ZR490" s="75"/>
      <c r="ZS490" s="75"/>
      <c r="ZT490" s="75"/>
      <c r="ZU490" s="75"/>
      <c r="ZV490" s="75"/>
      <c r="ZW490" s="75"/>
      <c r="ZX490" s="75"/>
      <c r="ZY490" s="75"/>
      <c r="ZZ490" s="75"/>
      <c r="AAA490" s="75"/>
      <c r="AAB490" s="75"/>
      <c r="AAC490" s="75"/>
      <c r="AAD490" s="75"/>
      <c r="AAE490" s="75"/>
      <c r="AAF490" s="75"/>
      <c r="AAG490" s="75"/>
      <c r="AAH490" s="75"/>
      <c r="AAI490" s="75"/>
      <c r="AAJ490" s="75"/>
      <c r="AAK490" s="75"/>
      <c r="AAL490" s="75"/>
      <c r="AAM490" s="75"/>
      <c r="AAN490" s="75"/>
      <c r="AAO490" s="75"/>
      <c r="AAP490" s="75"/>
      <c r="AAQ490" s="75"/>
      <c r="AAR490" s="75"/>
      <c r="AAS490" s="75"/>
      <c r="AAT490" s="75"/>
      <c r="AAU490" s="75"/>
      <c r="AAV490" s="75"/>
      <c r="AAW490" s="75"/>
      <c r="AAX490" s="75"/>
      <c r="AAY490" s="75"/>
      <c r="AAZ490" s="75"/>
      <c r="ABA490" s="75"/>
      <c r="ABB490" s="75"/>
      <c r="ABC490" s="75"/>
      <c r="ABD490" s="75"/>
      <c r="ABE490" s="75"/>
      <c r="ABF490" s="75"/>
      <c r="ABG490" s="75"/>
      <c r="ABH490" s="75"/>
      <c r="ABI490" s="75"/>
      <c r="ABJ490" s="75"/>
      <c r="ABK490" s="75"/>
      <c r="ABL490" s="75"/>
      <c r="ABM490" s="75"/>
      <c r="ABN490" s="75"/>
      <c r="ABO490" s="75"/>
      <c r="ABP490" s="75"/>
      <c r="ABQ490" s="75"/>
      <c r="ABR490" s="75"/>
      <c r="ABS490" s="75"/>
      <c r="ABT490" s="75"/>
      <c r="ABU490" s="75"/>
      <c r="ABV490" s="75"/>
      <c r="ABW490" s="75"/>
      <c r="ABX490" s="75"/>
      <c r="ABY490" s="75"/>
      <c r="ABZ490" s="75"/>
      <c r="ACA490" s="75"/>
      <c r="ACB490" s="75"/>
      <c r="ACC490" s="75"/>
      <c r="ACD490" s="75"/>
      <c r="ACE490" s="75"/>
      <c r="ACF490" s="75"/>
      <c r="ACG490" s="75"/>
      <c r="ACH490" s="75"/>
      <c r="ACI490" s="75"/>
      <c r="ACJ490" s="75"/>
      <c r="ACK490" s="75"/>
      <c r="ACL490" s="75"/>
      <c r="ACM490" s="75"/>
      <c r="ACN490" s="75"/>
      <c r="ACO490" s="75"/>
      <c r="ACP490" s="75"/>
      <c r="ACQ490" s="75"/>
      <c r="ACR490" s="75"/>
      <c r="ACS490" s="75"/>
      <c r="ACT490" s="75"/>
      <c r="ACU490" s="75"/>
      <c r="ACV490" s="75"/>
      <c r="ACW490" s="75"/>
      <c r="ACX490" s="75"/>
      <c r="ACY490" s="75"/>
      <c r="ACZ490" s="75"/>
      <c r="ADA490" s="75"/>
      <c r="ADB490" s="75"/>
      <c r="ADC490" s="75"/>
      <c r="ADD490" s="75"/>
      <c r="ADE490" s="75"/>
      <c r="ADF490" s="75"/>
      <c r="ADG490" s="75"/>
      <c r="ADH490" s="75"/>
      <c r="ADI490" s="75"/>
      <c r="ADJ490" s="75"/>
      <c r="ADK490" s="75"/>
      <c r="ADL490" s="75"/>
      <c r="ADM490" s="75"/>
      <c r="ADN490" s="75"/>
      <c r="ADO490" s="75"/>
      <c r="ADP490" s="75"/>
      <c r="ADQ490" s="75"/>
      <c r="ADR490" s="75"/>
      <c r="ADS490" s="75"/>
      <c r="ADT490" s="75"/>
      <c r="ADU490" s="75"/>
      <c r="ADV490" s="75"/>
      <c r="ADW490" s="75"/>
      <c r="ADX490" s="75"/>
      <c r="ADY490" s="75"/>
      <c r="ADZ490" s="75"/>
      <c r="AEA490" s="75"/>
      <c r="AEB490" s="75"/>
      <c r="AEC490" s="75"/>
      <c r="AED490" s="75"/>
      <c r="AEE490" s="75"/>
      <c r="AEF490" s="75"/>
      <c r="AEG490" s="75"/>
      <c r="AEH490" s="75"/>
      <c r="AEI490" s="75"/>
      <c r="AEJ490" s="75"/>
      <c r="AEK490" s="75"/>
      <c r="AEL490" s="75"/>
      <c r="AEM490" s="75"/>
      <c r="AEN490" s="75"/>
      <c r="AEO490" s="75"/>
      <c r="AEP490" s="75"/>
      <c r="AEQ490" s="75"/>
      <c r="AER490" s="75"/>
      <c r="AES490" s="75"/>
      <c r="AET490" s="75"/>
      <c r="AEU490" s="75"/>
      <c r="AEV490" s="75"/>
      <c r="AEW490" s="75"/>
      <c r="AEX490" s="75"/>
      <c r="AEY490" s="75"/>
      <c r="AEZ490" s="75"/>
      <c r="AFA490" s="75"/>
      <c r="AFB490" s="75"/>
      <c r="AFC490" s="75"/>
      <c r="AFD490" s="75"/>
      <c r="AFE490" s="75"/>
      <c r="AFF490" s="75"/>
      <c r="AFG490" s="75"/>
      <c r="AFH490" s="75"/>
      <c r="AFI490" s="75"/>
      <c r="AFJ490" s="75"/>
      <c r="AFK490" s="75"/>
      <c r="AFL490" s="75"/>
      <c r="AFM490" s="75"/>
      <c r="AFN490" s="75"/>
      <c r="AFO490" s="75"/>
      <c r="AFP490" s="75"/>
      <c r="AFQ490" s="75"/>
      <c r="AFR490" s="75"/>
      <c r="AFS490" s="75"/>
      <c r="AFT490" s="75"/>
      <c r="AFU490" s="75"/>
      <c r="AFV490" s="75"/>
      <c r="AFW490" s="75"/>
      <c r="AFX490" s="75"/>
      <c r="AFY490" s="75"/>
      <c r="AFZ490" s="75"/>
      <c r="AGA490" s="75"/>
      <c r="AGB490" s="75"/>
      <c r="AGC490" s="75"/>
      <c r="AGD490" s="75"/>
      <c r="AGE490" s="75"/>
      <c r="AGF490" s="75"/>
      <c r="AGG490" s="75"/>
      <c r="AGH490" s="75"/>
      <c r="AGI490" s="75"/>
      <c r="AGJ490" s="75"/>
      <c r="AGK490" s="75"/>
      <c r="AGL490" s="75"/>
      <c r="AGM490" s="75"/>
      <c r="AGN490" s="75"/>
      <c r="AGO490" s="75"/>
      <c r="AGP490" s="75"/>
      <c r="AGQ490" s="75"/>
      <c r="AGR490" s="75"/>
      <c r="AGS490" s="75"/>
      <c r="AGT490" s="75"/>
      <c r="AGU490" s="75"/>
      <c r="AGV490" s="75"/>
      <c r="AGW490" s="75"/>
      <c r="AGX490" s="75"/>
      <c r="AGY490" s="75"/>
      <c r="AGZ490" s="75"/>
      <c r="AHA490" s="75"/>
      <c r="AHB490" s="75"/>
      <c r="AHC490" s="75"/>
      <c r="AHD490" s="75"/>
      <c r="AHE490" s="75"/>
      <c r="AHF490" s="75"/>
      <c r="AHG490" s="75"/>
      <c r="AHH490" s="75"/>
      <c r="AHI490" s="75"/>
      <c r="AHJ490" s="75"/>
      <c r="AHK490" s="75"/>
      <c r="AHL490" s="75"/>
      <c r="AHM490" s="75"/>
      <c r="AHN490" s="75"/>
      <c r="AHO490" s="75"/>
      <c r="AHP490" s="75"/>
      <c r="AHQ490" s="75"/>
      <c r="AHR490" s="75"/>
      <c r="AHS490" s="75"/>
      <c r="AHT490" s="75"/>
      <c r="AHU490" s="75"/>
      <c r="AHV490" s="75"/>
      <c r="AHW490" s="75"/>
      <c r="AHX490" s="75"/>
      <c r="AHY490" s="75"/>
      <c r="AHZ490" s="75"/>
      <c r="AIA490" s="75"/>
      <c r="AIB490" s="75"/>
      <c r="AIC490" s="75"/>
      <c r="AID490" s="75"/>
      <c r="AIE490" s="75"/>
      <c r="AIF490" s="75"/>
      <c r="AIG490" s="75"/>
      <c r="AIH490" s="75"/>
      <c r="AII490" s="75"/>
      <c r="AIJ490" s="75"/>
      <c r="AIK490" s="75"/>
      <c r="AIL490" s="75"/>
      <c r="AIM490" s="75"/>
      <c r="AIN490" s="75"/>
      <c r="AIO490" s="75"/>
      <c r="AIP490" s="75"/>
      <c r="AIQ490" s="75"/>
      <c r="AIR490" s="75"/>
      <c r="AIS490" s="75"/>
      <c r="AIT490" s="75"/>
      <c r="AIU490" s="75"/>
      <c r="AIV490" s="75"/>
      <c r="AIW490" s="75"/>
      <c r="AIX490" s="75"/>
      <c r="AIY490" s="75"/>
      <c r="AIZ490" s="75"/>
      <c r="AJA490" s="75"/>
      <c r="AJB490" s="75"/>
      <c r="AJC490" s="75"/>
      <c r="AJD490" s="75"/>
      <c r="AJE490" s="75"/>
      <c r="AJF490" s="75"/>
      <c r="AJG490" s="75"/>
      <c r="AJH490" s="75"/>
      <c r="AJI490" s="75"/>
      <c r="AJJ490" s="75"/>
      <c r="AJK490" s="75"/>
      <c r="AJL490" s="75"/>
      <c r="AJM490" s="75"/>
      <c r="AJN490" s="75"/>
      <c r="AJO490" s="75"/>
      <c r="AJP490" s="75"/>
      <c r="AJQ490" s="75"/>
      <c r="AJR490" s="75"/>
      <c r="AJS490" s="75"/>
      <c r="AJT490" s="75"/>
      <c r="AJU490" s="75"/>
      <c r="AJV490" s="75"/>
      <c r="AJW490" s="75"/>
      <c r="AJX490" s="75"/>
      <c r="AJY490" s="75"/>
      <c r="AJZ490" s="75"/>
      <c r="AKA490" s="75"/>
      <c r="AKB490" s="75"/>
      <c r="AKC490" s="75"/>
      <c r="AKD490" s="75"/>
      <c r="AKE490" s="75"/>
      <c r="AKF490" s="75"/>
      <c r="AKG490" s="75"/>
      <c r="AKH490" s="75"/>
      <c r="AKI490" s="75"/>
      <c r="AKJ490" s="75"/>
      <c r="AKK490" s="75"/>
      <c r="AKL490" s="75"/>
      <c r="AKM490" s="75"/>
      <c r="AKN490" s="75"/>
      <c r="AKO490" s="75"/>
      <c r="AKP490" s="75"/>
      <c r="AKQ490" s="75"/>
      <c r="AKR490" s="75"/>
      <c r="AKS490" s="75"/>
      <c r="AKT490" s="75"/>
      <c r="AKU490" s="75"/>
      <c r="AKV490" s="75"/>
      <c r="AKW490" s="75"/>
      <c r="AKX490" s="75"/>
      <c r="AKY490" s="75"/>
      <c r="AKZ490" s="75"/>
      <c r="ALA490" s="75"/>
      <c r="ALB490" s="75"/>
      <c r="ALC490" s="75"/>
      <c r="ALD490" s="75"/>
      <c r="ALE490" s="75"/>
      <c r="ALF490" s="75"/>
      <c r="ALG490" s="75"/>
      <c r="ALH490" s="75"/>
      <c r="ALI490" s="75"/>
      <c r="ALJ490" s="75"/>
      <c r="ALK490" s="75"/>
      <c r="ALL490" s="75"/>
      <c r="ALM490" s="75"/>
      <c r="ALN490" s="75"/>
      <c r="ALO490" s="75"/>
    </row>
    <row r="491" spans="1:1003" s="235" customFormat="1" ht="14.55" customHeight="1" outlineLevel="1" x14ac:dyDescent="0.25">
      <c r="A491" s="230" t="s">
        <v>1422</v>
      </c>
      <c r="B491" s="343" t="str">
        <f>"13.0409"</f>
        <v>13.0409</v>
      </c>
      <c r="C491" s="75" t="s">
        <v>2168</v>
      </c>
      <c r="D491" s="127" t="s">
        <v>2169</v>
      </c>
      <c r="E491" s="232"/>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c r="AY491" s="75"/>
      <c r="AZ491" s="75"/>
      <c r="BA491" s="75"/>
      <c r="BB491" s="75"/>
      <c r="BC491" s="75"/>
      <c r="BD491" s="75"/>
      <c r="BE491" s="75"/>
      <c r="BF491" s="75"/>
      <c r="BG491" s="75"/>
      <c r="BH491" s="75"/>
      <c r="BI491" s="75"/>
      <c r="BJ491" s="75"/>
      <c r="BK491" s="75"/>
      <c r="BL491" s="75"/>
      <c r="BM491" s="75"/>
      <c r="BN491" s="75"/>
      <c r="BO491" s="75"/>
      <c r="BP491" s="75"/>
      <c r="BQ491" s="75"/>
      <c r="BR491" s="75"/>
      <c r="BS491" s="75"/>
      <c r="BT491" s="75"/>
      <c r="BU491" s="75"/>
      <c r="BV491" s="75"/>
      <c r="BW491" s="75"/>
      <c r="BX491" s="75"/>
      <c r="BY491" s="75"/>
      <c r="BZ491" s="75"/>
      <c r="CA491" s="75"/>
      <c r="CB491" s="75"/>
      <c r="CC491" s="75"/>
      <c r="CD491" s="75"/>
      <c r="CE491" s="75"/>
      <c r="CF491" s="75"/>
      <c r="CG491" s="75"/>
      <c r="CH491" s="75"/>
      <c r="CI491" s="75"/>
      <c r="CJ491" s="75"/>
      <c r="CK491" s="75"/>
      <c r="CL491" s="75"/>
      <c r="CM491" s="75"/>
      <c r="CN491" s="75"/>
      <c r="CO491" s="75"/>
      <c r="CP491" s="75"/>
      <c r="CQ491" s="75"/>
      <c r="CR491" s="75"/>
      <c r="CS491" s="75"/>
      <c r="CT491" s="75"/>
      <c r="CU491" s="75"/>
      <c r="CV491" s="75"/>
      <c r="CW491" s="75"/>
      <c r="CX491" s="75"/>
      <c r="CY491" s="75"/>
      <c r="CZ491" s="75"/>
      <c r="DA491" s="75"/>
      <c r="DB491" s="75"/>
      <c r="DC491" s="75"/>
      <c r="DD491" s="75"/>
      <c r="DE491" s="75"/>
      <c r="DF491" s="75"/>
      <c r="DG491" s="75"/>
      <c r="DH491" s="75"/>
      <c r="DI491" s="75"/>
      <c r="DJ491" s="75"/>
      <c r="DK491" s="75"/>
      <c r="DL491" s="75"/>
      <c r="DM491" s="75"/>
      <c r="DN491" s="75"/>
      <c r="DO491" s="75"/>
      <c r="DP491" s="75"/>
      <c r="DQ491" s="75"/>
      <c r="DR491" s="75"/>
      <c r="DS491" s="75"/>
      <c r="DT491" s="75"/>
      <c r="DU491" s="75"/>
      <c r="DV491" s="75"/>
      <c r="DW491" s="75"/>
      <c r="DX491" s="75"/>
      <c r="DY491" s="75"/>
      <c r="DZ491" s="75"/>
      <c r="EA491" s="75"/>
      <c r="EB491" s="75"/>
      <c r="EC491" s="75"/>
      <c r="ED491" s="75"/>
      <c r="EE491" s="75"/>
      <c r="EF491" s="75"/>
      <c r="EG491" s="75"/>
      <c r="EH491" s="75"/>
      <c r="EI491" s="75"/>
      <c r="EJ491" s="75"/>
      <c r="EK491" s="75"/>
      <c r="EL491" s="75"/>
      <c r="EM491" s="75"/>
      <c r="EN491" s="75"/>
      <c r="EO491" s="75"/>
      <c r="EP491" s="75"/>
      <c r="EQ491" s="75"/>
      <c r="ER491" s="75"/>
      <c r="ES491" s="75"/>
      <c r="ET491" s="75"/>
      <c r="EU491" s="75"/>
      <c r="EV491" s="75"/>
      <c r="EW491" s="75"/>
      <c r="EX491" s="75"/>
      <c r="EY491" s="75"/>
      <c r="EZ491" s="75"/>
      <c r="FA491" s="75"/>
      <c r="FB491" s="75"/>
      <c r="FC491" s="75"/>
      <c r="FD491" s="75"/>
      <c r="FE491" s="75"/>
      <c r="FF491" s="75"/>
      <c r="FG491" s="75"/>
      <c r="FH491" s="75"/>
      <c r="FI491" s="75"/>
      <c r="FJ491" s="75"/>
      <c r="FK491" s="75"/>
      <c r="FL491" s="75"/>
      <c r="FM491" s="75"/>
      <c r="FN491" s="75"/>
      <c r="FO491" s="75"/>
      <c r="FP491" s="75"/>
      <c r="FQ491" s="75"/>
      <c r="FR491" s="75"/>
      <c r="FS491" s="75"/>
      <c r="FT491" s="75"/>
      <c r="FU491" s="75"/>
      <c r="FV491" s="75"/>
      <c r="FW491" s="75"/>
      <c r="FX491" s="75"/>
      <c r="FY491" s="75"/>
      <c r="FZ491" s="75"/>
      <c r="GA491" s="75"/>
      <c r="GB491" s="75"/>
      <c r="GC491" s="75"/>
      <c r="GD491" s="75"/>
      <c r="GE491" s="75"/>
      <c r="GF491" s="75"/>
      <c r="GG491" s="75"/>
      <c r="GH491" s="75"/>
      <c r="GI491" s="75"/>
      <c r="GJ491" s="75"/>
      <c r="GK491" s="75"/>
      <c r="GL491" s="75"/>
      <c r="GM491" s="75"/>
      <c r="GN491" s="75"/>
      <c r="GO491" s="75"/>
      <c r="GP491" s="75"/>
      <c r="GQ491" s="75"/>
      <c r="GR491" s="75"/>
      <c r="GS491" s="75"/>
      <c r="GT491" s="75"/>
      <c r="GU491" s="75"/>
      <c r="GV491" s="75"/>
      <c r="GW491" s="75"/>
      <c r="GX491" s="75"/>
      <c r="GY491" s="75"/>
      <c r="GZ491" s="75"/>
      <c r="HA491" s="75"/>
      <c r="HB491" s="75"/>
      <c r="HC491" s="75"/>
      <c r="HD491" s="75"/>
      <c r="HE491" s="75"/>
      <c r="HF491" s="75"/>
      <c r="HG491" s="75"/>
      <c r="HH491" s="75"/>
      <c r="HI491" s="75"/>
      <c r="HJ491" s="75"/>
      <c r="HK491" s="75"/>
      <c r="HL491" s="75"/>
      <c r="HM491" s="75"/>
      <c r="HN491" s="75"/>
      <c r="HO491" s="75"/>
      <c r="HP491" s="75"/>
      <c r="HQ491" s="75"/>
      <c r="HR491" s="75"/>
      <c r="HS491" s="75"/>
      <c r="HT491" s="75"/>
      <c r="HU491" s="75"/>
      <c r="HV491" s="75"/>
      <c r="HW491" s="75"/>
      <c r="HX491" s="75"/>
      <c r="HY491" s="75"/>
      <c r="HZ491" s="75"/>
      <c r="IA491" s="75"/>
      <c r="IB491" s="75"/>
      <c r="IC491" s="75"/>
      <c r="ID491" s="75"/>
      <c r="IE491" s="75"/>
      <c r="IF491" s="75"/>
      <c r="IG491" s="75"/>
      <c r="IH491" s="75"/>
      <c r="II491" s="75"/>
      <c r="IJ491" s="75"/>
      <c r="IK491" s="75"/>
      <c r="IL491" s="75"/>
      <c r="IM491" s="75"/>
      <c r="IN491" s="75"/>
      <c r="IO491" s="75"/>
      <c r="IP491" s="75"/>
      <c r="IQ491" s="75"/>
      <c r="IR491" s="75"/>
      <c r="IS491" s="75"/>
      <c r="IT491" s="75"/>
      <c r="IU491" s="75"/>
      <c r="IV491" s="75"/>
      <c r="IW491" s="75"/>
      <c r="IX491" s="75"/>
      <c r="IY491" s="75"/>
      <c r="IZ491" s="75"/>
      <c r="JA491" s="75"/>
      <c r="JB491" s="75"/>
      <c r="JC491" s="75"/>
      <c r="JD491" s="75"/>
      <c r="JE491" s="75"/>
      <c r="JF491" s="75"/>
      <c r="JG491" s="75"/>
      <c r="JH491" s="75"/>
      <c r="JI491" s="75"/>
      <c r="JJ491" s="75"/>
      <c r="JK491" s="75"/>
      <c r="JL491" s="75"/>
      <c r="JM491" s="75"/>
      <c r="JN491" s="75"/>
      <c r="JO491" s="75"/>
      <c r="JP491" s="75"/>
      <c r="JQ491" s="75"/>
      <c r="JR491" s="75"/>
      <c r="JS491" s="75"/>
      <c r="JT491" s="75"/>
      <c r="JU491" s="75"/>
      <c r="JV491" s="75"/>
      <c r="JW491" s="75"/>
      <c r="JX491" s="75"/>
      <c r="JY491" s="75"/>
      <c r="JZ491" s="75"/>
      <c r="KA491" s="75"/>
      <c r="KB491" s="75"/>
      <c r="KC491" s="75"/>
      <c r="KD491" s="75"/>
      <c r="KE491" s="75"/>
      <c r="KF491" s="75"/>
      <c r="KG491" s="75"/>
      <c r="KH491" s="75"/>
      <c r="KI491" s="75"/>
      <c r="KJ491" s="75"/>
      <c r="KK491" s="75"/>
      <c r="KL491" s="75"/>
      <c r="KM491" s="75"/>
      <c r="KN491" s="75"/>
      <c r="KO491" s="75"/>
      <c r="KP491" s="75"/>
      <c r="KQ491" s="75"/>
      <c r="KR491" s="75"/>
      <c r="KS491" s="75"/>
      <c r="KT491" s="75"/>
      <c r="KU491" s="75"/>
      <c r="KV491" s="75"/>
      <c r="KW491" s="75"/>
      <c r="KX491" s="75"/>
      <c r="KY491" s="75"/>
      <c r="KZ491" s="75"/>
      <c r="LA491" s="75"/>
      <c r="LB491" s="75"/>
      <c r="LC491" s="75"/>
      <c r="LD491" s="75"/>
      <c r="LE491" s="75"/>
      <c r="LF491" s="75"/>
      <c r="LG491" s="75"/>
      <c r="LH491" s="75"/>
      <c r="LI491" s="75"/>
      <c r="LJ491" s="75"/>
      <c r="LK491" s="75"/>
      <c r="LL491" s="75"/>
      <c r="LM491" s="75"/>
      <c r="LN491" s="75"/>
      <c r="LO491" s="75"/>
      <c r="LP491" s="75"/>
      <c r="LQ491" s="75"/>
      <c r="LR491" s="75"/>
      <c r="LS491" s="75"/>
      <c r="LT491" s="75"/>
      <c r="LU491" s="75"/>
      <c r="LV491" s="75"/>
      <c r="LW491" s="75"/>
      <c r="LX491" s="75"/>
      <c r="LY491" s="75"/>
      <c r="LZ491" s="75"/>
      <c r="MA491" s="75"/>
      <c r="MB491" s="75"/>
      <c r="MC491" s="75"/>
      <c r="MD491" s="75"/>
      <c r="ME491" s="75"/>
      <c r="MF491" s="75"/>
      <c r="MG491" s="75"/>
      <c r="MH491" s="75"/>
      <c r="MI491" s="75"/>
      <c r="MJ491" s="75"/>
      <c r="MK491" s="75"/>
      <c r="ML491" s="75"/>
      <c r="MM491" s="75"/>
      <c r="MN491" s="75"/>
      <c r="MO491" s="75"/>
      <c r="MP491" s="75"/>
      <c r="MQ491" s="75"/>
      <c r="MR491" s="75"/>
      <c r="MS491" s="75"/>
      <c r="MT491" s="75"/>
      <c r="MU491" s="75"/>
      <c r="MV491" s="75"/>
      <c r="MW491" s="75"/>
      <c r="MX491" s="75"/>
      <c r="MY491" s="75"/>
      <c r="MZ491" s="75"/>
      <c r="NA491" s="75"/>
      <c r="NB491" s="75"/>
      <c r="NC491" s="75"/>
      <c r="ND491" s="75"/>
      <c r="NE491" s="75"/>
      <c r="NF491" s="75"/>
      <c r="NG491" s="75"/>
      <c r="NH491" s="75"/>
      <c r="NI491" s="75"/>
      <c r="NJ491" s="75"/>
      <c r="NK491" s="75"/>
      <c r="NL491" s="75"/>
      <c r="NM491" s="75"/>
      <c r="NN491" s="75"/>
      <c r="NO491" s="75"/>
      <c r="NP491" s="75"/>
      <c r="NQ491" s="75"/>
      <c r="NR491" s="75"/>
      <c r="NS491" s="75"/>
      <c r="NT491" s="75"/>
      <c r="NU491" s="75"/>
      <c r="NV491" s="75"/>
      <c r="NW491" s="75"/>
      <c r="NX491" s="75"/>
      <c r="NY491" s="75"/>
      <c r="NZ491" s="75"/>
      <c r="OA491" s="75"/>
      <c r="OB491" s="75"/>
      <c r="OC491" s="75"/>
      <c r="OD491" s="75"/>
      <c r="OE491" s="75"/>
      <c r="OF491" s="75"/>
      <c r="OG491" s="75"/>
      <c r="OH491" s="75"/>
      <c r="OI491" s="75"/>
      <c r="OJ491" s="75"/>
      <c r="OK491" s="75"/>
      <c r="OL491" s="75"/>
      <c r="OM491" s="75"/>
      <c r="ON491" s="75"/>
      <c r="OO491" s="75"/>
      <c r="OP491" s="75"/>
      <c r="OQ491" s="75"/>
      <c r="OR491" s="75"/>
      <c r="OS491" s="75"/>
      <c r="OT491" s="75"/>
      <c r="OU491" s="75"/>
      <c r="OV491" s="75"/>
      <c r="OW491" s="75"/>
      <c r="OX491" s="75"/>
      <c r="OY491" s="75"/>
      <c r="OZ491" s="75"/>
      <c r="PA491" s="75"/>
      <c r="PB491" s="75"/>
      <c r="PC491" s="75"/>
      <c r="PD491" s="75"/>
      <c r="PE491" s="75"/>
      <c r="PF491" s="75"/>
      <c r="PG491" s="75"/>
      <c r="PH491" s="75"/>
      <c r="PI491" s="75"/>
      <c r="PJ491" s="75"/>
      <c r="PK491" s="75"/>
      <c r="PL491" s="75"/>
      <c r="PM491" s="75"/>
      <c r="PN491" s="75"/>
      <c r="PO491" s="75"/>
      <c r="PP491" s="75"/>
      <c r="PQ491" s="75"/>
      <c r="PR491" s="75"/>
      <c r="PS491" s="75"/>
      <c r="PT491" s="75"/>
      <c r="PU491" s="75"/>
      <c r="PV491" s="75"/>
      <c r="PW491" s="75"/>
      <c r="PX491" s="75"/>
      <c r="PY491" s="75"/>
      <c r="PZ491" s="75"/>
      <c r="QA491" s="75"/>
      <c r="QB491" s="75"/>
      <c r="QC491" s="75"/>
      <c r="QD491" s="75"/>
      <c r="QE491" s="75"/>
      <c r="QF491" s="75"/>
      <c r="QG491" s="75"/>
      <c r="QH491" s="75"/>
      <c r="QI491" s="75"/>
      <c r="QJ491" s="75"/>
      <c r="QK491" s="75"/>
      <c r="QL491" s="75"/>
      <c r="QM491" s="75"/>
      <c r="QN491" s="75"/>
      <c r="QO491" s="75"/>
      <c r="QP491" s="75"/>
      <c r="QQ491" s="75"/>
      <c r="QR491" s="75"/>
      <c r="QS491" s="75"/>
      <c r="QT491" s="75"/>
      <c r="QU491" s="75"/>
      <c r="QV491" s="75"/>
      <c r="QW491" s="75"/>
      <c r="QX491" s="75"/>
      <c r="QY491" s="75"/>
      <c r="QZ491" s="75"/>
      <c r="RA491" s="75"/>
      <c r="RB491" s="75"/>
      <c r="RC491" s="75"/>
      <c r="RD491" s="75"/>
      <c r="RE491" s="75"/>
      <c r="RF491" s="75"/>
      <c r="RG491" s="75"/>
      <c r="RH491" s="75"/>
      <c r="RI491" s="75"/>
      <c r="RJ491" s="75"/>
      <c r="RK491" s="75"/>
      <c r="RL491" s="75"/>
      <c r="RM491" s="75"/>
      <c r="RN491" s="75"/>
      <c r="RO491" s="75"/>
      <c r="RP491" s="75"/>
      <c r="RQ491" s="75"/>
      <c r="RR491" s="75"/>
      <c r="RS491" s="75"/>
      <c r="RT491" s="75"/>
      <c r="RU491" s="75"/>
      <c r="RV491" s="75"/>
      <c r="RW491" s="75"/>
      <c r="RX491" s="75"/>
      <c r="RY491" s="75"/>
      <c r="RZ491" s="75"/>
      <c r="SA491" s="75"/>
      <c r="SB491" s="75"/>
      <c r="SC491" s="75"/>
      <c r="SD491" s="75"/>
      <c r="SE491" s="75"/>
      <c r="SF491" s="75"/>
      <c r="SG491" s="75"/>
      <c r="SH491" s="75"/>
      <c r="SI491" s="75"/>
      <c r="SJ491" s="75"/>
      <c r="SK491" s="75"/>
      <c r="SL491" s="75"/>
      <c r="SM491" s="75"/>
      <c r="SN491" s="75"/>
      <c r="SO491" s="75"/>
      <c r="SP491" s="75"/>
      <c r="SQ491" s="75"/>
      <c r="SR491" s="75"/>
      <c r="SS491" s="75"/>
      <c r="ST491" s="75"/>
      <c r="SU491" s="75"/>
      <c r="SV491" s="75"/>
      <c r="SW491" s="75"/>
      <c r="SX491" s="75"/>
      <c r="SY491" s="75"/>
      <c r="SZ491" s="75"/>
      <c r="TA491" s="75"/>
      <c r="TB491" s="75"/>
      <c r="TC491" s="75"/>
      <c r="TD491" s="75"/>
      <c r="TE491" s="75"/>
      <c r="TF491" s="75"/>
      <c r="TG491" s="75"/>
      <c r="TH491" s="75"/>
      <c r="TI491" s="75"/>
      <c r="TJ491" s="75"/>
      <c r="TK491" s="75"/>
      <c r="TL491" s="75"/>
      <c r="TM491" s="75"/>
      <c r="TN491" s="75"/>
      <c r="TO491" s="75"/>
      <c r="TP491" s="75"/>
      <c r="TQ491" s="75"/>
      <c r="TR491" s="75"/>
      <c r="TS491" s="75"/>
      <c r="TT491" s="75"/>
      <c r="TU491" s="75"/>
      <c r="TV491" s="75"/>
      <c r="TW491" s="75"/>
      <c r="TX491" s="75"/>
      <c r="TY491" s="75"/>
      <c r="TZ491" s="75"/>
      <c r="UA491" s="75"/>
      <c r="UB491" s="75"/>
      <c r="UC491" s="75"/>
      <c r="UD491" s="75"/>
      <c r="UE491" s="75"/>
      <c r="UF491" s="75"/>
      <c r="UG491" s="75"/>
      <c r="UH491" s="75"/>
      <c r="UI491" s="75"/>
      <c r="UJ491" s="75"/>
      <c r="UK491" s="75"/>
      <c r="UL491" s="75"/>
      <c r="UM491" s="75"/>
      <c r="UN491" s="75"/>
      <c r="UO491" s="75"/>
      <c r="UP491" s="75"/>
      <c r="UQ491" s="75"/>
      <c r="UR491" s="75"/>
      <c r="US491" s="75"/>
      <c r="UT491" s="75"/>
      <c r="UU491" s="75"/>
      <c r="UV491" s="75"/>
      <c r="UW491" s="75"/>
      <c r="UX491" s="75"/>
      <c r="UY491" s="75"/>
      <c r="UZ491" s="75"/>
      <c r="VA491" s="75"/>
      <c r="VB491" s="75"/>
      <c r="VC491" s="75"/>
      <c r="VD491" s="75"/>
      <c r="VE491" s="75"/>
      <c r="VF491" s="75"/>
      <c r="VG491" s="75"/>
      <c r="VH491" s="75"/>
      <c r="VI491" s="75"/>
      <c r="VJ491" s="75"/>
      <c r="VK491" s="75"/>
      <c r="VL491" s="75"/>
      <c r="VM491" s="75"/>
      <c r="VN491" s="75"/>
      <c r="VO491" s="75"/>
      <c r="VP491" s="75"/>
      <c r="VQ491" s="75"/>
      <c r="VR491" s="75"/>
      <c r="VS491" s="75"/>
      <c r="VT491" s="75"/>
      <c r="VU491" s="75"/>
      <c r="VV491" s="75"/>
      <c r="VW491" s="75"/>
      <c r="VX491" s="75"/>
      <c r="VY491" s="75"/>
      <c r="VZ491" s="75"/>
      <c r="WA491" s="75"/>
      <c r="WB491" s="75"/>
      <c r="WC491" s="75"/>
      <c r="WD491" s="75"/>
      <c r="WE491" s="75"/>
      <c r="WF491" s="75"/>
      <c r="WG491" s="75"/>
      <c r="WH491" s="75"/>
      <c r="WI491" s="75"/>
      <c r="WJ491" s="75"/>
      <c r="WK491" s="75"/>
      <c r="WL491" s="75"/>
      <c r="WM491" s="75"/>
      <c r="WN491" s="75"/>
      <c r="WO491" s="75"/>
      <c r="WP491" s="75"/>
      <c r="WQ491" s="75"/>
      <c r="WR491" s="75"/>
      <c r="WS491" s="75"/>
      <c r="WT491" s="75"/>
      <c r="WU491" s="75"/>
      <c r="WV491" s="75"/>
      <c r="WW491" s="75"/>
      <c r="WX491" s="75"/>
      <c r="WY491" s="75"/>
      <c r="WZ491" s="75"/>
      <c r="XA491" s="75"/>
      <c r="XB491" s="75"/>
      <c r="XC491" s="75"/>
      <c r="XD491" s="75"/>
      <c r="XE491" s="75"/>
      <c r="XF491" s="75"/>
      <c r="XG491" s="75"/>
      <c r="XH491" s="75"/>
      <c r="XI491" s="75"/>
      <c r="XJ491" s="75"/>
      <c r="XK491" s="75"/>
      <c r="XL491" s="75"/>
      <c r="XM491" s="75"/>
      <c r="XN491" s="75"/>
      <c r="XO491" s="75"/>
      <c r="XP491" s="75"/>
      <c r="XQ491" s="75"/>
      <c r="XR491" s="75"/>
      <c r="XS491" s="75"/>
      <c r="XT491" s="75"/>
      <c r="XU491" s="75"/>
      <c r="XV491" s="75"/>
      <c r="XW491" s="75"/>
      <c r="XX491" s="75"/>
      <c r="XY491" s="75"/>
      <c r="XZ491" s="75"/>
      <c r="YA491" s="75"/>
      <c r="YB491" s="75"/>
      <c r="YC491" s="75"/>
      <c r="YD491" s="75"/>
      <c r="YE491" s="75"/>
      <c r="YF491" s="75"/>
      <c r="YG491" s="75"/>
      <c r="YH491" s="75"/>
      <c r="YI491" s="75"/>
      <c r="YJ491" s="75"/>
      <c r="YK491" s="75"/>
      <c r="YL491" s="75"/>
      <c r="YM491" s="75"/>
      <c r="YN491" s="75"/>
      <c r="YO491" s="75"/>
      <c r="YP491" s="75"/>
      <c r="YQ491" s="75"/>
      <c r="YR491" s="75"/>
      <c r="YS491" s="75"/>
      <c r="YT491" s="75"/>
      <c r="YU491" s="75"/>
      <c r="YV491" s="75"/>
      <c r="YW491" s="75"/>
      <c r="YX491" s="75"/>
      <c r="YY491" s="75"/>
      <c r="YZ491" s="75"/>
      <c r="ZA491" s="75"/>
      <c r="ZB491" s="75"/>
      <c r="ZC491" s="75"/>
      <c r="ZD491" s="75"/>
      <c r="ZE491" s="75"/>
      <c r="ZF491" s="75"/>
      <c r="ZG491" s="75"/>
      <c r="ZH491" s="75"/>
      <c r="ZI491" s="75"/>
      <c r="ZJ491" s="75"/>
      <c r="ZK491" s="75"/>
      <c r="ZL491" s="75"/>
      <c r="ZM491" s="75"/>
      <c r="ZN491" s="75"/>
      <c r="ZO491" s="75"/>
      <c r="ZP491" s="75"/>
      <c r="ZQ491" s="75"/>
      <c r="ZR491" s="75"/>
      <c r="ZS491" s="75"/>
      <c r="ZT491" s="75"/>
      <c r="ZU491" s="75"/>
      <c r="ZV491" s="75"/>
      <c r="ZW491" s="75"/>
      <c r="ZX491" s="75"/>
      <c r="ZY491" s="75"/>
      <c r="ZZ491" s="75"/>
      <c r="AAA491" s="75"/>
      <c r="AAB491" s="75"/>
      <c r="AAC491" s="75"/>
      <c r="AAD491" s="75"/>
      <c r="AAE491" s="75"/>
      <c r="AAF491" s="75"/>
      <c r="AAG491" s="75"/>
      <c r="AAH491" s="75"/>
      <c r="AAI491" s="75"/>
      <c r="AAJ491" s="75"/>
      <c r="AAK491" s="75"/>
      <c r="AAL491" s="75"/>
      <c r="AAM491" s="75"/>
      <c r="AAN491" s="75"/>
      <c r="AAO491" s="75"/>
      <c r="AAP491" s="75"/>
      <c r="AAQ491" s="75"/>
      <c r="AAR491" s="75"/>
      <c r="AAS491" s="75"/>
      <c r="AAT491" s="75"/>
      <c r="AAU491" s="75"/>
      <c r="AAV491" s="75"/>
      <c r="AAW491" s="75"/>
      <c r="AAX491" s="75"/>
      <c r="AAY491" s="75"/>
      <c r="AAZ491" s="75"/>
      <c r="ABA491" s="75"/>
      <c r="ABB491" s="75"/>
      <c r="ABC491" s="75"/>
      <c r="ABD491" s="75"/>
      <c r="ABE491" s="75"/>
      <c r="ABF491" s="75"/>
      <c r="ABG491" s="75"/>
      <c r="ABH491" s="75"/>
      <c r="ABI491" s="75"/>
      <c r="ABJ491" s="75"/>
      <c r="ABK491" s="75"/>
      <c r="ABL491" s="75"/>
      <c r="ABM491" s="75"/>
      <c r="ABN491" s="75"/>
      <c r="ABO491" s="75"/>
      <c r="ABP491" s="75"/>
      <c r="ABQ491" s="75"/>
      <c r="ABR491" s="75"/>
      <c r="ABS491" s="75"/>
      <c r="ABT491" s="75"/>
      <c r="ABU491" s="75"/>
      <c r="ABV491" s="75"/>
      <c r="ABW491" s="75"/>
      <c r="ABX491" s="75"/>
      <c r="ABY491" s="75"/>
      <c r="ABZ491" s="75"/>
      <c r="ACA491" s="75"/>
      <c r="ACB491" s="75"/>
      <c r="ACC491" s="75"/>
      <c r="ACD491" s="75"/>
      <c r="ACE491" s="75"/>
      <c r="ACF491" s="75"/>
      <c r="ACG491" s="75"/>
      <c r="ACH491" s="75"/>
      <c r="ACI491" s="75"/>
      <c r="ACJ491" s="75"/>
      <c r="ACK491" s="75"/>
      <c r="ACL491" s="75"/>
      <c r="ACM491" s="75"/>
      <c r="ACN491" s="75"/>
      <c r="ACO491" s="75"/>
      <c r="ACP491" s="75"/>
      <c r="ACQ491" s="75"/>
      <c r="ACR491" s="75"/>
      <c r="ACS491" s="75"/>
      <c r="ACT491" s="75"/>
      <c r="ACU491" s="75"/>
      <c r="ACV491" s="75"/>
      <c r="ACW491" s="75"/>
      <c r="ACX491" s="75"/>
      <c r="ACY491" s="75"/>
      <c r="ACZ491" s="75"/>
      <c r="ADA491" s="75"/>
      <c r="ADB491" s="75"/>
      <c r="ADC491" s="75"/>
      <c r="ADD491" s="75"/>
      <c r="ADE491" s="75"/>
      <c r="ADF491" s="75"/>
      <c r="ADG491" s="75"/>
      <c r="ADH491" s="75"/>
      <c r="ADI491" s="75"/>
      <c r="ADJ491" s="75"/>
      <c r="ADK491" s="75"/>
      <c r="ADL491" s="75"/>
      <c r="ADM491" s="75"/>
      <c r="ADN491" s="75"/>
      <c r="ADO491" s="75"/>
      <c r="ADP491" s="75"/>
      <c r="ADQ491" s="75"/>
      <c r="ADR491" s="75"/>
      <c r="ADS491" s="75"/>
      <c r="ADT491" s="75"/>
      <c r="ADU491" s="75"/>
      <c r="ADV491" s="75"/>
      <c r="ADW491" s="75"/>
      <c r="ADX491" s="75"/>
      <c r="ADY491" s="75"/>
      <c r="ADZ491" s="75"/>
      <c r="AEA491" s="75"/>
      <c r="AEB491" s="75"/>
      <c r="AEC491" s="75"/>
      <c r="AED491" s="75"/>
      <c r="AEE491" s="75"/>
      <c r="AEF491" s="75"/>
      <c r="AEG491" s="75"/>
      <c r="AEH491" s="75"/>
      <c r="AEI491" s="75"/>
      <c r="AEJ491" s="75"/>
      <c r="AEK491" s="75"/>
      <c r="AEL491" s="75"/>
      <c r="AEM491" s="75"/>
      <c r="AEN491" s="75"/>
      <c r="AEO491" s="75"/>
      <c r="AEP491" s="75"/>
      <c r="AEQ491" s="75"/>
      <c r="AER491" s="75"/>
      <c r="AES491" s="75"/>
      <c r="AET491" s="75"/>
      <c r="AEU491" s="75"/>
      <c r="AEV491" s="75"/>
      <c r="AEW491" s="75"/>
      <c r="AEX491" s="75"/>
      <c r="AEY491" s="75"/>
      <c r="AEZ491" s="75"/>
      <c r="AFA491" s="75"/>
      <c r="AFB491" s="75"/>
      <c r="AFC491" s="75"/>
      <c r="AFD491" s="75"/>
      <c r="AFE491" s="75"/>
      <c r="AFF491" s="75"/>
      <c r="AFG491" s="75"/>
      <c r="AFH491" s="75"/>
      <c r="AFI491" s="75"/>
      <c r="AFJ491" s="75"/>
      <c r="AFK491" s="75"/>
      <c r="AFL491" s="75"/>
      <c r="AFM491" s="75"/>
      <c r="AFN491" s="75"/>
      <c r="AFO491" s="75"/>
      <c r="AFP491" s="75"/>
      <c r="AFQ491" s="75"/>
      <c r="AFR491" s="75"/>
      <c r="AFS491" s="75"/>
      <c r="AFT491" s="75"/>
      <c r="AFU491" s="75"/>
      <c r="AFV491" s="75"/>
      <c r="AFW491" s="75"/>
      <c r="AFX491" s="75"/>
      <c r="AFY491" s="75"/>
      <c r="AFZ491" s="75"/>
      <c r="AGA491" s="75"/>
      <c r="AGB491" s="75"/>
      <c r="AGC491" s="75"/>
      <c r="AGD491" s="75"/>
      <c r="AGE491" s="75"/>
      <c r="AGF491" s="75"/>
      <c r="AGG491" s="75"/>
      <c r="AGH491" s="75"/>
      <c r="AGI491" s="75"/>
      <c r="AGJ491" s="75"/>
      <c r="AGK491" s="75"/>
      <c r="AGL491" s="75"/>
      <c r="AGM491" s="75"/>
      <c r="AGN491" s="75"/>
      <c r="AGO491" s="75"/>
      <c r="AGP491" s="75"/>
      <c r="AGQ491" s="75"/>
      <c r="AGR491" s="75"/>
      <c r="AGS491" s="75"/>
      <c r="AGT491" s="75"/>
      <c r="AGU491" s="75"/>
      <c r="AGV491" s="75"/>
      <c r="AGW491" s="75"/>
      <c r="AGX491" s="75"/>
      <c r="AGY491" s="75"/>
      <c r="AGZ491" s="75"/>
      <c r="AHA491" s="75"/>
      <c r="AHB491" s="75"/>
      <c r="AHC491" s="75"/>
      <c r="AHD491" s="75"/>
      <c r="AHE491" s="75"/>
      <c r="AHF491" s="75"/>
      <c r="AHG491" s="75"/>
      <c r="AHH491" s="75"/>
      <c r="AHI491" s="75"/>
      <c r="AHJ491" s="75"/>
      <c r="AHK491" s="75"/>
      <c r="AHL491" s="75"/>
      <c r="AHM491" s="75"/>
      <c r="AHN491" s="75"/>
      <c r="AHO491" s="75"/>
      <c r="AHP491" s="75"/>
      <c r="AHQ491" s="75"/>
      <c r="AHR491" s="75"/>
      <c r="AHS491" s="75"/>
      <c r="AHT491" s="75"/>
      <c r="AHU491" s="75"/>
      <c r="AHV491" s="75"/>
      <c r="AHW491" s="75"/>
      <c r="AHX491" s="75"/>
      <c r="AHY491" s="75"/>
      <c r="AHZ491" s="75"/>
      <c r="AIA491" s="75"/>
      <c r="AIB491" s="75"/>
      <c r="AIC491" s="75"/>
      <c r="AID491" s="75"/>
      <c r="AIE491" s="75"/>
      <c r="AIF491" s="75"/>
      <c r="AIG491" s="75"/>
      <c r="AIH491" s="75"/>
      <c r="AII491" s="75"/>
      <c r="AIJ491" s="75"/>
      <c r="AIK491" s="75"/>
      <c r="AIL491" s="75"/>
      <c r="AIM491" s="75"/>
      <c r="AIN491" s="75"/>
      <c r="AIO491" s="75"/>
      <c r="AIP491" s="75"/>
      <c r="AIQ491" s="75"/>
      <c r="AIR491" s="75"/>
      <c r="AIS491" s="75"/>
      <c r="AIT491" s="75"/>
      <c r="AIU491" s="75"/>
      <c r="AIV491" s="75"/>
      <c r="AIW491" s="75"/>
      <c r="AIX491" s="75"/>
      <c r="AIY491" s="75"/>
      <c r="AIZ491" s="75"/>
      <c r="AJA491" s="75"/>
      <c r="AJB491" s="75"/>
      <c r="AJC491" s="75"/>
      <c r="AJD491" s="75"/>
      <c r="AJE491" s="75"/>
      <c r="AJF491" s="75"/>
      <c r="AJG491" s="75"/>
      <c r="AJH491" s="75"/>
      <c r="AJI491" s="75"/>
      <c r="AJJ491" s="75"/>
      <c r="AJK491" s="75"/>
      <c r="AJL491" s="75"/>
      <c r="AJM491" s="75"/>
      <c r="AJN491" s="75"/>
      <c r="AJO491" s="75"/>
      <c r="AJP491" s="75"/>
      <c r="AJQ491" s="75"/>
      <c r="AJR491" s="75"/>
      <c r="AJS491" s="75"/>
      <c r="AJT491" s="75"/>
      <c r="AJU491" s="75"/>
      <c r="AJV491" s="75"/>
      <c r="AJW491" s="75"/>
      <c r="AJX491" s="75"/>
      <c r="AJY491" s="75"/>
      <c r="AJZ491" s="75"/>
      <c r="AKA491" s="75"/>
      <c r="AKB491" s="75"/>
      <c r="AKC491" s="75"/>
      <c r="AKD491" s="75"/>
      <c r="AKE491" s="75"/>
      <c r="AKF491" s="75"/>
      <c r="AKG491" s="75"/>
      <c r="AKH491" s="75"/>
      <c r="AKI491" s="75"/>
      <c r="AKJ491" s="75"/>
      <c r="AKK491" s="75"/>
      <c r="AKL491" s="75"/>
      <c r="AKM491" s="75"/>
      <c r="AKN491" s="75"/>
      <c r="AKO491" s="75"/>
      <c r="AKP491" s="75"/>
      <c r="AKQ491" s="75"/>
      <c r="AKR491" s="75"/>
      <c r="AKS491" s="75"/>
      <c r="AKT491" s="75"/>
      <c r="AKU491" s="75"/>
      <c r="AKV491" s="75"/>
      <c r="AKW491" s="75"/>
      <c r="AKX491" s="75"/>
      <c r="AKY491" s="75"/>
      <c r="AKZ491" s="75"/>
      <c r="ALA491" s="75"/>
      <c r="ALB491" s="75"/>
      <c r="ALC491" s="75"/>
      <c r="ALD491" s="75"/>
      <c r="ALE491" s="75"/>
      <c r="ALF491" s="75"/>
      <c r="ALG491" s="75"/>
      <c r="ALH491" s="75"/>
      <c r="ALI491" s="75"/>
      <c r="ALJ491" s="75"/>
      <c r="ALK491" s="75"/>
      <c r="ALL491" s="75"/>
      <c r="ALM491" s="75"/>
      <c r="ALN491" s="75"/>
      <c r="ALO491" s="75"/>
    </row>
    <row r="492" spans="1:1003" s="235" customFormat="1" ht="14.55" customHeight="1" outlineLevel="1" x14ac:dyDescent="0.25">
      <c r="A492" s="230" t="s">
        <v>1422</v>
      </c>
      <c r="B492" s="343" t="str">
        <f>"13.0410"</f>
        <v>13.0410</v>
      </c>
      <c r="C492" s="75" t="s">
        <v>2170</v>
      </c>
      <c r="D492" s="127" t="s">
        <v>2171</v>
      </c>
      <c r="E492" s="232"/>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c r="AY492" s="75"/>
      <c r="AZ492" s="75"/>
      <c r="BA492" s="75"/>
      <c r="BB492" s="75"/>
      <c r="BC492" s="75"/>
      <c r="BD492" s="75"/>
      <c r="BE492" s="75"/>
      <c r="BF492" s="75"/>
      <c r="BG492" s="75"/>
      <c r="BH492" s="75"/>
      <c r="BI492" s="75"/>
      <c r="BJ492" s="75"/>
      <c r="BK492" s="75"/>
      <c r="BL492" s="75"/>
      <c r="BM492" s="75"/>
      <c r="BN492" s="75"/>
      <c r="BO492" s="75"/>
      <c r="BP492" s="75"/>
      <c r="BQ492" s="75"/>
      <c r="BR492" s="75"/>
      <c r="BS492" s="75"/>
      <c r="BT492" s="75"/>
      <c r="BU492" s="75"/>
      <c r="BV492" s="75"/>
      <c r="BW492" s="75"/>
      <c r="BX492" s="75"/>
      <c r="BY492" s="75"/>
      <c r="BZ492" s="75"/>
      <c r="CA492" s="75"/>
      <c r="CB492" s="75"/>
      <c r="CC492" s="75"/>
      <c r="CD492" s="75"/>
      <c r="CE492" s="75"/>
      <c r="CF492" s="75"/>
      <c r="CG492" s="75"/>
      <c r="CH492" s="75"/>
      <c r="CI492" s="75"/>
      <c r="CJ492" s="75"/>
      <c r="CK492" s="75"/>
      <c r="CL492" s="75"/>
      <c r="CM492" s="75"/>
      <c r="CN492" s="75"/>
      <c r="CO492" s="75"/>
      <c r="CP492" s="75"/>
      <c r="CQ492" s="75"/>
      <c r="CR492" s="75"/>
      <c r="CS492" s="75"/>
      <c r="CT492" s="75"/>
      <c r="CU492" s="75"/>
      <c r="CV492" s="75"/>
      <c r="CW492" s="75"/>
      <c r="CX492" s="75"/>
      <c r="CY492" s="75"/>
      <c r="CZ492" s="75"/>
      <c r="DA492" s="75"/>
      <c r="DB492" s="75"/>
      <c r="DC492" s="75"/>
      <c r="DD492" s="75"/>
      <c r="DE492" s="75"/>
      <c r="DF492" s="75"/>
      <c r="DG492" s="75"/>
      <c r="DH492" s="75"/>
      <c r="DI492" s="75"/>
      <c r="DJ492" s="75"/>
      <c r="DK492" s="75"/>
      <c r="DL492" s="75"/>
      <c r="DM492" s="75"/>
      <c r="DN492" s="75"/>
      <c r="DO492" s="75"/>
      <c r="DP492" s="75"/>
      <c r="DQ492" s="75"/>
      <c r="DR492" s="75"/>
      <c r="DS492" s="75"/>
      <c r="DT492" s="75"/>
      <c r="DU492" s="75"/>
      <c r="DV492" s="75"/>
      <c r="DW492" s="75"/>
      <c r="DX492" s="75"/>
      <c r="DY492" s="75"/>
      <c r="DZ492" s="75"/>
      <c r="EA492" s="75"/>
      <c r="EB492" s="75"/>
      <c r="EC492" s="75"/>
      <c r="ED492" s="75"/>
      <c r="EE492" s="75"/>
      <c r="EF492" s="75"/>
      <c r="EG492" s="75"/>
      <c r="EH492" s="75"/>
      <c r="EI492" s="75"/>
      <c r="EJ492" s="75"/>
      <c r="EK492" s="75"/>
      <c r="EL492" s="75"/>
      <c r="EM492" s="75"/>
      <c r="EN492" s="75"/>
      <c r="EO492" s="75"/>
      <c r="EP492" s="75"/>
      <c r="EQ492" s="75"/>
      <c r="ER492" s="75"/>
      <c r="ES492" s="75"/>
      <c r="ET492" s="75"/>
      <c r="EU492" s="75"/>
      <c r="EV492" s="75"/>
      <c r="EW492" s="75"/>
      <c r="EX492" s="75"/>
      <c r="EY492" s="75"/>
      <c r="EZ492" s="75"/>
      <c r="FA492" s="75"/>
      <c r="FB492" s="75"/>
      <c r="FC492" s="75"/>
      <c r="FD492" s="75"/>
      <c r="FE492" s="75"/>
      <c r="FF492" s="75"/>
      <c r="FG492" s="75"/>
      <c r="FH492" s="75"/>
      <c r="FI492" s="75"/>
      <c r="FJ492" s="75"/>
      <c r="FK492" s="75"/>
      <c r="FL492" s="75"/>
      <c r="FM492" s="75"/>
      <c r="FN492" s="75"/>
      <c r="FO492" s="75"/>
      <c r="FP492" s="75"/>
      <c r="FQ492" s="75"/>
      <c r="FR492" s="75"/>
      <c r="FS492" s="75"/>
      <c r="FT492" s="75"/>
      <c r="FU492" s="75"/>
      <c r="FV492" s="75"/>
      <c r="FW492" s="75"/>
      <c r="FX492" s="75"/>
      <c r="FY492" s="75"/>
      <c r="FZ492" s="75"/>
      <c r="GA492" s="75"/>
      <c r="GB492" s="75"/>
      <c r="GC492" s="75"/>
      <c r="GD492" s="75"/>
      <c r="GE492" s="75"/>
      <c r="GF492" s="75"/>
      <c r="GG492" s="75"/>
      <c r="GH492" s="75"/>
      <c r="GI492" s="75"/>
      <c r="GJ492" s="75"/>
      <c r="GK492" s="75"/>
      <c r="GL492" s="75"/>
      <c r="GM492" s="75"/>
      <c r="GN492" s="75"/>
      <c r="GO492" s="75"/>
      <c r="GP492" s="75"/>
      <c r="GQ492" s="75"/>
      <c r="GR492" s="75"/>
      <c r="GS492" s="75"/>
      <c r="GT492" s="75"/>
      <c r="GU492" s="75"/>
      <c r="GV492" s="75"/>
      <c r="GW492" s="75"/>
      <c r="GX492" s="75"/>
      <c r="GY492" s="75"/>
      <c r="GZ492" s="75"/>
      <c r="HA492" s="75"/>
      <c r="HB492" s="75"/>
      <c r="HC492" s="75"/>
      <c r="HD492" s="75"/>
      <c r="HE492" s="75"/>
      <c r="HF492" s="75"/>
      <c r="HG492" s="75"/>
      <c r="HH492" s="75"/>
      <c r="HI492" s="75"/>
      <c r="HJ492" s="75"/>
      <c r="HK492" s="75"/>
      <c r="HL492" s="75"/>
      <c r="HM492" s="75"/>
      <c r="HN492" s="75"/>
      <c r="HO492" s="75"/>
      <c r="HP492" s="75"/>
      <c r="HQ492" s="75"/>
      <c r="HR492" s="75"/>
      <c r="HS492" s="75"/>
      <c r="HT492" s="75"/>
      <c r="HU492" s="75"/>
      <c r="HV492" s="75"/>
      <c r="HW492" s="75"/>
      <c r="HX492" s="75"/>
      <c r="HY492" s="75"/>
      <c r="HZ492" s="75"/>
      <c r="IA492" s="75"/>
      <c r="IB492" s="75"/>
      <c r="IC492" s="75"/>
      <c r="ID492" s="75"/>
      <c r="IE492" s="75"/>
      <c r="IF492" s="75"/>
      <c r="IG492" s="75"/>
      <c r="IH492" s="75"/>
      <c r="II492" s="75"/>
      <c r="IJ492" s="75"/>
      <c r="IK492" s="75"/>
      <c r="IL492" s="75"/>
      <c r="IM492" s="75"/>
      <c r="IN492" s="75"/>
      <c r="IO492" s="75"/>
      <c r="IP492" s="75"/>
      <c r="IQ492" s="75"/>
      <c r="IR492" s="75"/>
      <c r="IS492" s="75"/>
      <c r="IT492" s="75"/>
      <c r="IU492" s="75"/>
      <c r="IV492" s="75"/>
      <c r="IW492" s="75"/>
      <c r="IX492" s="75"/>
      <c r="IY492" s="75"/>
      <c r="IZ492" s="75"/>
      <c r="JA492" s="75"/>
      <c r="JB492" s="75"/>
      <c r="JC492" s="75"/>
      <c r="JD492" s="75"/>
      <c r="JE492" s="75"/>
      <c r="JF492" s="75"/>
      <c r="JG492" s="75"/>
      <c r="JH492" s="75"/>
      <c r="JI492" s="75"/>
      <c r="JJ492" s="75"/>
      <c r="JK492" s="75"/>
      <c r="JL492" s="75"/>
      <c r="JM492" s="75"/>
      <c r="JN492" s="75"/>
      <c r="JO492" s="75"/>
      <c r="JP492" s="75"/>
      <c r="JQ492" s="75"/>
      <c r="JR492" s="75"/>
      <c r="JS492" s="75"/>
      <c r="JT492" s="75"/>
      <c r="JU492" s="75"/>
      <c r="JV492" s="75"/>
      <c r="JW492" s="75"/>
      <c r="JX492" s="75"/>
      <c r="JY492" s="75"/>
      <c r="JZ492" s="75"/>
      <c r="KA492" s="75"/>
      <c r="KB492" s="75"/>
      <c r="KC492" s="75"/>
      <c r="KD492" s="75"/>
      <c r="KE492" s="75"/>
      <c r="KF492" s="75"/>
      <c r="KG492" s="75"/>
      <c r="KH492" s="75"/>
      <c r="KI492" s="75"/>
      <c r="KJ492" s="75"/>
      <c r="KK492" s="75"/>
      <c r="KL492" s="75"/>
      <c r="KM492" s="75"/>
      <c r="KN492" s="75"/>
      <c r="KO492" s="75"/>
      <c r="KP492" s="75"/>
      <c r="KQ492" s="75"/>
      <c r="KR492" s="75"/>
      <c r="KS492" s="75"/>
      <c r="KT492" s="75"/>
      <c r="KU492" s="75"/>
      <c r="KV492" s="75"/>
      <c r="KW492" s="75"/>
      <c r="KX492" s="75"/>
      <c r="KY492" s="75"/>
      <c r="KZ492" s="75"/>
      <c r="LA492" s="75"/>
      <c r="LB492" s="75"/>
      <c r="LC492" s="75"/>
      <c r="LD492" s="75"/>
      <c r="LE492" s="75"/>
      <c r="LF492" s="75"/>
      <c r="LG492" s="75"/>
      <c r="LH492" s="75"/>
      <c r="LI492" s="75"/>
      <c r="LJ492" s="75"/>
      <c r="LK492" s="75"/>
      <c r="LL492" s="75"/>
      <c r="LM492" s="75"/>
      <c r="LN492" s="75"/>
      <c r="LO492" s="75"/>
      <c r="LP492" s="75"/>
      <c r="LQ492" s="75"/>
      <c r="LR492" s="75"/>
      <c r="LS492" s="75"/>
      <c r="LT492" s="75"/>
      <c r="LU492" s="75"/>
      <c r="LV492" s="75"/>
      <c r="LW492" s="75"/>
      <c r="LX492" s="75"/>
      <c r="LY492" s="75"/>
      <c r="LZ492" s="75"/>
      <c r="MA492" s="75"/>
      <c r="MB492" s="75"/>
      <c r="MC492" s="75"/>
      <c r="MD492" s="75"/>
      <c r="ME492" s="75"/>
      <c r="MF492" s="75"/>
      <c r="MG492" s="75"/>
      <c r="MH492" s="75"/>
      <c r="MI492" s="75"/>
      <c r="MJ492" s="75"/>
      <c r="MK492" s="75"/>
      <c r="ML492" s="75"/>
      <c r="MM492" s="75"/>
      <c r="MN492" s="75"/>
      <c r="MO492" s="75"/>
      <c r="MP492" s="75"/>
      <c r="MQ492" s="75"/>
      <c r="MR492" s="75"/>
      <c r="MS492" s="75"/>
      <c r="MT492" s="75"/>
      <c r="MU492" s="75"/>
      <c r="MV492" s="75"/>
      <c r="MW492" s="75"/>
      <c r="MX492" s="75"/>
      <c r="MY492" s="75"/>
      <c r="MZ492" s="75"/>
      <c r="NA492" s="75"/>
      <c r="NB492" s="75"/>
      <c r="NC492" s="75"/>
      <c r="ND492" s="75"/>
      <c r="NE492" s="75"/>
      <c r="NF492" s="75"/>
      <c r="NG492" s="75"/>
      <c r="NH492" s="75"/>
      <c r="NI492" s="75"/>
      <c r="NJ492" s="75"/>
      <c r="NK492" s="75"/>
      <c r="NL492" s="75"/>
      <c r="NM492" s="75"/>
      <c r="NN492" s="75"/>
      <c r="NO492" s="75"/>
      <c r="NP492" s="75"/>
      <c r="NQ492" s="75"/>
      <c r="NR492" s="75"/>
      <c r="NS492" s="75"/>
      <c r="NT492" s="75"/>
      <c r="NU492" s="75"/>
      <c r="NV492" s="75"/>
      <c r="NW492" s="75"/>
      <c r="NX492" s="75"/>
      <c r="NY492" s="75"/>
      <c r="NZ492" s="75"/>
      <c r="OA492" s="75"/>
      <c r="OB492" s="75"/>
      <c r="OC492" s="75"/>
      <c r="OD492" s="75"/>
      <c r="OE492" s="75"/>
      <c r="OF492" s="75"/>
      <c r="OG492" s="75"/>
      <c r="OH492" s="75"/>
      <c r="OI492" s="75"/>
      <c r="OJ492" s="75"/>
      <c r="OK492" s="75"/>
      <c r="OL492" s="75"/>
      <c r="OM492" s="75"/>
      <c r="ON492" s="75"/>
      <c r="OO492" s="75"/>
      <c r="OP492" s="75"/>
      <c r="OQ492" s="75"/>
      <c r="OR492" s="75"/>
      <c r="OS492" s="75"/>
      <c r="OT492" s="75"/>
      <c r="OU492" s="75"/>
      <c r="OV492" s="75"/>
      <c r="OW492" s="75"/>
      <c r="OX492" s="75"/>
      <c r="OY492" s="75"/>
      <c r="OZ492" s="75"/>
      <c r="PA492" s="75"/>
      <c r="PB492" s="75"/>
      <c r="PC492" s="75"/>
      <c r="PD492" s="75"/>
      <c r="PE492" s="75"/>
      <c r="PF492" s="75"/>
      <c r="PG492" s="75"/>
      <c r="PH492" s="75"/>
      <c r="PI492" s="75"/>
      <c r="PJ492" s="75"/>
      <c r="PK492" s="75"/>
      <c r="PL492" s="75"/>
      <c r="PM492" s="75"/>
      <c r="PN492" s="75"/>
      <c r="PO492" s="75"/>
      <c r="PP492" s="75"/>
      <c r="PQ492" s="75"/>
      <c r="PR492" s="75"/>
      <c r="PS492" s="75"/>
      <c r="PT492" s="75"/>
      <c r="PU492" s="75"/>
      <c r="PV492" s="75"/>
      <c r="PW492" s="75"/>
      <c r="PX492" s="75"/>
      <c r="PY492" s="75"/>
      <c r="PZ492" s="75"/>
      <c r="QA492" s="75"/>
      <c r="QB492" s="75"/>
      <c r="QC492" s="75"/>
      <c r="QD492" s="75"/>
      <c r="QE492" s="75"/>
      <c r="QF492" s="75"/>
      <c r="QG492" s="75"/>
      <c r="QH492" s="75"/>
      <c r="QI492" s="75"/>
      <c r="QJ492" s="75"/>
      <c r="QK492" s="75"/>
      <c r="QL492" s="75"/>
      <c r="QM492" s="75"/>
      <c r="QN492" s="75"/>
      <c r="QO492" s="75"/>
      <c r="QP492" s="75"/>
      <c r="QQ492" s="75"/>
      <c r="QR492" s="75"/>
      <c r="QS492" s="75"/>
      <c r="QT492" s="75"/>
      <c r="QU492" s="75"/>
      <c r="QV492" s="75"/>
      <c r="QW492" s="75"/>
      <c r="QX492" s="75"/>
      <c r="QY492" s="75"/>
      <c r="QZ492" s="75"/>
      <c r="RA492" s="75"/>
      <c r="RB492" s="75"/>
      <c r="RC492" s="75"/>
      <c r="RD492" s="75"/>
      <c r="RE492" s="75"/>
      <c r="RF492" s="75"/>
      <c r="RG492" s="75"/>
      <c r="RH492" s="75"/>
      <c r="RI492" s="75"/>
      <c r="RJ492" s="75"/>
      <c r="RK492" s="75"/>
      <c r="RL492" s="75"/>
      <c r="RM492" s="75"/>
      <c r="RN492" s="75"/>
      <c r="RO492" s="75"/>
      <c r="RP492" s="75"/>
      <c r="RQ492" s="75"/>
      <c r="RR492" s="75"/>
      <c r="RS492" s="75"/>
      <c r="RT492" s="75"/>
      <c r="RU492" s="75"/>
      <c r="RV492" s="75"/>
      <c r="RW492" s="75"/>
      <c r="RX492" s="75"/>
      <c r="RY492" s="75"/>
      <c r="RZ492" s="75"/>
      <c r="SA492" s="75"/>
      <c r="SB492" s="75"/>
      <c r="SC492" s="75"/>
      <c r="SD492" s="75"/>
      <c r="SE492" s="75"/>
      <c r="SF492" s="75"/>
      <c r="SG492" s="75"/>
      <c r="SH492" s="75"/>
      <c r="SI492" s="75"/>
      <c r="SJ492" s="75"/>
      <c r="SK492" s="75"/>
      <c r="SL492" s="75"/>
      <c r="SM492" s="75"/>
      <c r="SN492" s="75"/>
      <c r="SO492" s="75"/>
      <c r="SP492" s="75"/>
      <c r="SQ492" s="75"/>
      <c r="SR492" s="75"/>
      <c r="SS492" s="75"/>
      <c r="ST492" s="75"/>
      <c r="SU492" s="75"/>
      <c r="SV492" s="75"/>
      <c r="SW492" s="75"/>
      <c r="SX492" s="75"/>
      <c r="SY492" s="75"/>
      <c r="SZ492" s="75"/>
      <c r="TA492" s="75"/>
      <c r="TB492" s="75"/>
      <c r="TC492" s="75"/>
      <c r="TD492" s="75"/>
      <c r="TE492" s="75"/>
      <c r="TF492" s="75"/>
      <c r="TG492" s="75"/>
      <c r="TH492" s="75"/>
      <c r="TI492" s="75"/>
      <c r="TJ492" s="75"/>
      <c r="TK492" s="75"/>
      <c r="TL492" s="75"/>
      <c r="TM492" s="75"/>
      <c r="TN492" s="75"/>
      <c r="TO492" s="75"/>
      <c r="TP492" s="75"/>
      <c r="TQ492" s="75"/>
      <c r="TR492" s="75"/>
      <c r="TS492" s="75"/>
      <c r="TT492" s="75"/>
      <c r="TU492" s="75"/>
      <c r="TV492" s="75"/>
      <c r="TW492" s="75"/>
      <c r="TX492" s="75"/>
      <c r="TY492" s="75"/>
      <c r="TZ492" s="75"/>
      <c r="UA492" s="75"/>
      <c r="UB492" s="75"/>
      <c r="UC492" s="75"/>
      <c r="UD492" s="75"/>
      <c r="UE492" s="75"/>
      <c r="UF492" s="75"/>
      <c r="UG492" s="75"/>
      <c r="UH492" s="75"/>
      <c r="UI492" s="75"/>
      <c r="UJ492" s="75"/>
      <c r="UK492" s="75"/>
      <c r="UL492" s="75"/>
      <c r="UM492" s="75"/>
      <c r="UN492" s="75"/>
      <c r="UO492" s="75"/>
      <c r="UP492" s="75"/>
      <c r="UQ492" s="75"/>
      <c r="UR492" s="75"/>
      <c r="US492" s="75"/>
      <c r="UT492" s="75"/>
      <c r="UU492" s="75"/>
      <c r="UV492" s="75"/>
      <c r="UW492" s="75"/>
      <c r="UX492" s="75"/>
      <c r="UY492" s="75"/>
      <c r="UZ492" s="75"/>
      <c r="VA492" s="75"/>
      <c r="VB492" s="75"/>
      <c r="VC492" s="75"/>
      <c r="VD492" s="75"/>
      <c r="VE492" s="75"/>
      <c r="VF492" s="75"/>
      <c r="VG492" s="75"/>
      <c r="VH492" s="75"/>
      <c r="VI492" s="75"/>
      <c r="VJ492" s="75"/>
      <c r="VK492" s="75"/>
      <c r="VL492" s="75"/>
      <c r="VM492" s="75"/>
      <c r="VN492" s="75"/>
      <c r="VO492" s="75"/>
      <c r="VP492" s="75"/>
      <c r="VQ492" s="75"/>
      <c r="VR492" s="75"/>
      <c r="VS492" s="75"/>
      <c r="VT492" s="75"/>
      <c r="VU492" s="75"/>
      <c r="VV492" s="75"/>
      <c r="VW492" s="75"/>
      <c r="VX492" s="75"/>
      <c r="VY492" s="75"/>
      <c r="VZ492" s="75"/>
      <c r="WA492" s="75"/>
      <c r="WB492" s="75"/>
      <c r="WC492" s="75"/>
      <c r="WD492" s="75"/>
      <c r="WE492" s="75"/>
      <c r="WF492" s="75"/>
      <c r="WG492" s="75"/>
      <c r="WH492" s="75"/>
      <c r="WI492" s="75"/>
      <c r="WJ492" s="75"/>
      <c r="WK492" s="75"/>
      <c r="WL492" s="75"/>
      <c r="WM492" s="75"/>
      <c r="WN492" s="75"/>
      <c r="WO492" s="75"/>
      <c r="WP492" s="75"/>
      <c r="WQ492" s="75"/>
      <c r="WR492" s="75"/>
      <c r="WS492" s="75"/>
      <c r="WT492" s="75"/>
      <c r="WU492" s="75"/>
      <c r="WV492" s="75"/>
      <c r="WW492" s="75"/>
      <c r="WX492" s="75"/>
      <c r="WY492" s="75"/>
      <c r="WZ492" s="75"/>
      <c r="XA492" s="75"/>
      <c r="XB492" s="75"/>
      <c r="XC492" s="75"/>
      <c r="XD492" s="75"/>
      <c r="XE492" s="75"/>
      <c r="XF492" s="75"/>
      <c r="XG492" s="75"/>
      <c r="XH492" s="75"/>
      <c r="XI492" s="75"/>
      <c r="XJ492" s="75"/>
      <c r="XK492" s="75"/>
      <c r="XL492" s="75"/>
      <c r="XM492" s="75"/>
      <c r="XN492" s="75"/>
      <c r="XO492" s="75"/>
      <c r="XP492" s="75"/>
      <c r="XQ492" s="75"/>
      <c r="XR492" s="75"/>
      <c r="XS492" s="75"/>
      <c r="XT492" s="75"/>
      <c r="XU492" s="75"/>
      <c r="XV492" s="75"/>
      <c r="XW492" s="75"/>
      <c r="XX492" s="75"/>
      <c r="XY492" s="75"/>
      <c r="XZ492" s="75"/>
      <c r="YA492" s="75"/>
      <c r="YB492" s="75"/>
      <c r="YC492" s="75"/>
      <c r="YD492" s="75"/>
      <c r="YE492" s="75"/>
      <c r="YF492" s="75"/>
      <c r="YG492" s="75"/>
      <c r="YH492" s="75"/>
      <c r="YI492" s="75"/>
      <c r="YJ492" s="75"/>
      <c r="YK492" s="75"/>
      <c r="YL492" s="75"/>
      <c r="YM492" s="75"/>
      <c r="YN492" s="75"/>
      <c r="YO492" s="75"/>
      <c r="YP492" s="75"/>
      <c r="YQ492" s="75"/>
      <c r="YR492" s="75"/>
      <c r="YS492" s="75"/>
      <c r="YT492" s="75"/>
      <c r="YU492" s="75"/>
      <c r="YV492" s="75"/>
      <c r="YW492" s="75"/>
      <c r="YX492" s="75"/>
      <c r="YY492" s="75"/>
      <c r="YZ492" s="75"/>
      <c r="ZA492" s="75"/>
      <c r="ZB492" s="75"/>
      <c r="ZC492" s="75"/>
      <c r="ZD492" s="75"/>
      <c r="ZE492" s="75"/>
      <c r="ZF492" s="75"/>
      <c r="ZG492" s="75"/>
      <c r="ZH492" s="75"/>
      <c r="ZI492" s="75"/>
      <c r="ZJ492" s="75"/>
      <c r="ZK492" s="75"/>
      <c r="ZL492" s="75"/>
      <c r="ZM492" s="75"/>
      <c r="ZN492" s="75"/>
      <c r="ZO492" s="75"/>
      <c r="ZP492" s="75"/>
      <c r="ZQ492" s="75"/>
      <c r="ZR492" s="75"/>
      <c r="ZS492" s="75"/>
      <c r="ZT492" s="75"/>
      <c r="ZU492" s="75"/>
      <c r="ZV492" s="75"/>
      <c r="ZW492" s="75"/>
      <c r="ZX492" s="75"/>
      <c r="ZY492" s="75"/>
      <c r="ZZ492" s="75"/>
      <c r="AAA492" s="75"/>
      <c r="AAB492" s="75"/>
      <c r="AAC492" s="75"/>
      <c r="AAD492" s="75"/>
      <c r="AAE492" s="75"/>
      <c r="AAF492" s="75"/>
      <c r="AAG492" s="75"/>
      <c r="AAH492" s="75"/>
      <c r="AAI492" s="75"/>
      <c r="AAJ492" s="75"/>
      <c r="AAK492" s="75"/>
      <c r="AAL492" s="75"/>
      <c r="AAM492" s="75"/>
      <c r="AAN492" s="75"/>
      <c r="AAO492" s="75"/>
      <c r="AAP492" s="75"/>
      <c r="AAQ492" s="75"/>
      <c r="AAR492" s="75"/>
      <c r="AAS492" s="75"/>
      <c r="AAT492" s="75"/>
      <c r="AAU492" s="75"/>
      <c r="AAV492" s="75"/>
      <c r="AAW492" s="75"/>
      <c r="AAX492" s="75"/>
      <c r="AAY492" s="75"/>
      <c r="AAZ492" s="75"/>
      <c r="ABA492" s="75"/>
      <c r="ABB492" s="75"/>
      <c r="ABC492" s="75"/>
      <c r="ABD492" s="75"/>
      <c r="ABE492" s="75"/>
      <c r="ABF492" s="75"/>
      <c r="ABG492" s="75"/>
      <c r="ABH492" s="75"/>
      <c r="ABI492" s="75"/>
      <c r="ABJ492" s="75"/>
      <c r="ABK492" s="75"/>
      <c r="ABL492" s="75"/>
      <c r="ABM492" s="75"/>
      <c r="ABN492" s="75"/>
      <c r="ABO492" s="75"/>
      <c r="ABP492" s="75"/>
      <c r="ABQ492" s="75"/>
      <c r="ABR492" s="75"/>
      <c r="ABS492" s="75"/>
      <c r="ABT492" s="75"/>
      <c r="ABU492" s="75"/>
      <c r="ABV492" s="75"/>
      <c r="ABW492" s="75"/>
      <c r="ABX492" s="75"/>
      <c r="ABY492" s="75"/>
      <c r="ABZ492" s="75"/>
      <c r="ACA492" s="75"/>
      <c r="ACB492" s="75"/>
      <c r="ACC492" s="75"/>
      <c r="ACD492" s="75"/>
      <c r="ACE492" s="75"/>
      <c r="ACF492" s="75"/>
      <c r="ACG492" s="75"/>
      <c r="ACH492" s="75"/>
      <c r="ACI492" s="75"/>
      <c r="ACJ492" s="75"/>
      <c r="ACK492" s="75"/>
      <c r="ACL492" s="75"/>
      <c r="ACM492" s="75"/>
      <c r="ACN492" s="75"/>
      <c r="ACO492" s="75"/>
      <c r="ACP492" s="75"/>
      <c r="ACQ492" s="75"/>
      <c r="ACR492" s="75"/>
      <c r="ACS492" s="75"/>
      <c r="ACT492" s="75"/>
      <c r="ACU492" s="75"/>
      <c r="ACV492" s="75"/>
      <c r="ACW492" s="75"/>
      <c r="ACX492" s="75"/>
      <c r="ACY492" s="75"/>
      <c r="ACZ492" s="75"/>
      <c r="ADA492" s="75"/>
      <c r="ADB492" s="75"/>
      <c r="ADC492" s="75"/>
      <c r="ADD492" s="75"/>
      <c r="ADE492" s="75"/>
      <c r="ADF492" s="75"/>
      <c r="ADG492" s="75"/>
      <c r="ADH492" s="75"/>
      <c r="ADI492" s="75"/>
      <c r="ADJ492" s="75"/>
      <c r="ADK492" s="75"/>
      <c r="ADL492" s="75"/>
      <c r="ADM492" s="75"/>
      <c r="ADN492" s="75"/>
      <c r="ADO492" s="75"/>
      <c r="ADP492" s="75"/>
      <c r="ADQ492" s="75"/>
      <c r="ADR492" s="75"/>
      <c r="ADS492" s="75"/>
      <c r="ADT492" s="75"/>
      <c r="ADU492" s="75"/>
      <c r="ADV492" s="75"/>
      <c r="ADW492" s="75"/>
      <c r="ADX492" s="75"/>
      <c r="ADY492" s="75"/>
      <c r="ADZ492" s="75"/>
      <c r="AEA492" s="75"/>
      <c r="AEB492" s="75"/>
      <c r="AEC492" s="75"/>
      <c r="AED492" s="75"/>
      <c r="AEE492" s="75"/>
      <c r="AEF492" s="75"/>
      <c r="AEG492" s="75"/>
      <c r="AEH492" s="75"/>
      <c r="AEI492" s="75"/>
      <c r="AEJ492" s="75"/>
      <c r="AEK492" s="75"/>
      <c r="AEL492" s="75"/>
      <c r="AEM492" s="75"/>
      <c r="AEN492" s="75"/>
      <c r="AEO492" s="75"/>
      <c r="AEP492" s="75"/>
      <c r="AEQ492" s="75"/>
      <c r="AER492" s="75"/>
      <c r="AES492" s="75"/>
      <c r="AET492" s="75"/>
      <c r="AEU492" s="75"/>
      <c r="AEV492" s="75"/>
      <c r="AEW492" s="75"/>
      <c r="AEX492" s="75"/>
      <c r="AEY492" s="75"/>
      <c r="AEZ492" s="75"/>
      <c r="AFA492" s="75"/>
      <c r="AFB492" s="75"/>
      <c r="AFC492" s="75"/>
      <c r="AFD492" s="75"/>
      <c r="AFE492" s="75"/>
      <c r="AFF492" s="75"/>
      <c r="AFG492" s="75"/>
      <c r="AFH492" s="75"/>
      <c r="AFI492" s="75"/>
      <c r="AFJ492" s="75"/>
      <c r="AFK492" s="75"/>
      <c r="AFL492" s="75"/>
      <c r="AFM492" s="75"/>
      <c r="AFN492" s="75"/>
      <c r="AFO492" s="75"/>
      <c r="AFP492" s="75"/>
      <c r="AFQ492" s="75"/>
      <c r="AFR492" s="75"/>
      <c r="AFS492" s="75"/>
      <c r="AFT492" s="75"/>
      <c r="AFU492" s="75"/>
      <c r="AFV492" s="75"/>
      <c r="AFW492" s="75"/>
      <c r="AFX492" s="75"/>
      <c r="AFY492" s="75"/>
      <c r="AFZ492" s="75"/>
      <c r="AGA492" s="75"/>
      <c r="AGB492" s="75"/>
      <c r="AGC492" s="75"/>
      <c r="AGD492" s="75"/>
      <c r="AGE492" s="75"/>
      <c r="AGF492" s="75"/>
      <c r="AGG492" s="75"/>
      <c r="AGH492" s="75"/>
      <c r="AGI492" s="75"/>
      <c r="AGJ492" s="75"/>
      <c r="AGK492" s="75"/>
      <c r="AGL492" s="75"/>
      <c r="AGM492" s="75"/>
      <c r="AGN492" s="75"/>
      <c r="AGO492" s="75"/>
      <c r="AGP492" s="75"/>
      <c r="AGQ492" s="75"/>
      <c r="AGR492" s="75"/>
      <c r="AGS492" s="75"/>
      <c r="AGT492" s="75"/>
      <c r="AGU492" s="75"/>
      <c r="AGV492" s="75"/>
      <c r="AGW492" s="75"/>
      <c r="AGX492" s="75"/>
      <c r="AGY492" s="75"/>
      <c r="AGZ492" s="75"/>
      <c r="AHA492" s="75"/>
      <c r="AHB492" s="75"/>
      <c r="AHC492" s="75"/>
      <c r="AHD492" s="75"/>
      <c r="AHE492" s="75"/>
      <c r="AHF492" s="75"/>
      <c r="AHG492" s="75"/>
      <c r="AHH492" s="75"/>
      <c r="AHI492" s="75"/>
      <c r="AHJ492" s="75"/>
      <c r="AHK492" s="75"/>
      <c r="AHL492" s="75"/>
      <c r="AHM492" s="75"/>
      <c r="AHN492" s="75"/>
      <c r="AHO492" s="75"/>
      <c r="AHP492" s="75"/>
      <c r="AHQ492" s="75"/>
      <c r="AHR492" s="75"/>
      <c r="AHS492" s="75"/>
      <c r="AHT492" s="75"/>
      <c r="AHU492" s="75"/>
      <c r="AHV492" s="75"/>
      <c r="AHW492" s="75"/>
      <c r="AHX492" s="75"/>
      <c r="AHY492" s="75"/>
      <c r="AHZ492" s="75"/>
      <c r="AIA492" s="75"/>
      <c r="AIB492" s="75"/>
      <c r="AIC492" s="75"/>
      <c r="AID492" s="75"/>
      <c r="AIE492" s="75"/>
      <c r="AIF492" s="75"/>
      <c r="AIG492" s="75"/>
      <c r="AIH492" s="75"/>
      <c r="AII492" s="75"/>
      <c r="AIJ492" s="75"/>
      <c r="AIK492" s="75"/>
      <c r="AIL492" s="75"/>
      <c r="AIM492" s="75"/>
      <c r="AIN492" s="75"/>
      <c r="AIO492" s="75"/>
      <c r="AIP492" s="75"/>
      <c r="AIQ492" s="75"/>
      <c r="AIR492" s="75"/>
      <c r="AIS492" s="75"/>
      <c r="AIT492" s="75"/>
      <c r="AIU492" s="75"/>
      <c r="AIV492" s="75"/>
      <c r="AIW492" s="75"/>
      <c r="AIX492" s="75"/>
      <c r="AIY492" s="75"/>
      <c r="AIZ492" s="75"/>
      <c r="AJA492" s="75"/>
      <c r="AJB492" s="75"/>
      <c r="AJC492" s="75"/>
      <c r="AJD492" s="75"/>
      <c r="AJE492" s="75"/>
      <c r="AJF492" s="75"/>
      <c r="AJG492" s="75"/>
      <c r="AJH492" s="75"/>
      <c r="AJI492" s="75"/>
      <c r="AJJ492" s="75"/>
      <c r="AJK492" s="75"/>
      <c r="AJL492" s="75"/>
      <c r="AJM492" s="75"/>
      <c r="AJN492" s="75"/>
      <c r="AJO492" s="75"/>
      <c r="AJP492" s="75"/>
      <c r="AJQ492" s="75"/>
      <c r="AJR492" s="75"/>
      <c r="AJS492" s="75"/>
      <c r="AJT492" s="75"/>
      <c r="AJU492" s="75"/>
      <c r="AJV492" s="75"/>
      <c r="AJW492" s="75"/>
      <c r="AJX492" s="75"/>
      <c r="AJY492" s="75"/>
      <c r="AJZ492" s="75"/>
      <c r="AKA492" s="75"/>
      <c r="AKB492" s="75"/>
      <c r="AKC492" s="75"/>
      <c r="AKD492" s="75"/>
      <c r="AKE492" s="75"/>
      <c r="AKF492" s="75"/>
      <c r="AKG492" s="75"/>
      <c r="AKH492" s="75"/>
      <c r="AKI492" s="75"/>
      <c r="AKJ492" s="75"/>
      <c r="AKK492" s="75"/>
      <c r="AKL492" s="75"/>
      <c r="AKM492" s="75"/>
      <c r="AKN492" s="75"/>
      <c r="AKO492" s="75"/>
      <c r="AKP492" s="75"/>
      <c r="AKQ492" s="75"/>
      <c r="AKR492" s="75"/>
      <c r="AKS492" s="75"/>
      <c r="AKT492" s="75"/>
      <c r="AKU492" s="75"/>
      <c r="AKV492" s="75"/>
      <c r="AKW492" s="75"/>
      <c r="AKX492" s="75"/>
      <c r="AKY492" s="75"/>
      <c r="AKZ492" s="75"/>
      <c r="ALA492" s="75"/>
      <c r="ALB492" s="75"/>
      <c r="ALC492" s="75"/>
      <c r="ALD492" s="75"/>
      <c r="ALE492" s="75"/>
      <c r="ALF492" s="75"/>
      <c r="ALG492" s="75"/>
      <c r="ALH492" s="75"/>
      <c r="ALI492" s="75"/>
      <c r="ALJ492" s="75"/>
      <c r="ALK492" s="75"/>
      <c r="ALL492" s="75"/>
      <c r="ALM492" s="75"/>
      <c r="ALN492" s="75"/>
      <c r="ALO492" s="75"/>
    </row>
    <row r="493" spans="1:1003" s="235" customFormat="1" ht="14.55" customHeight="1" outlineLevel="1" x14ac:dyDescent="0.25">
      <c r="A493" s="230" t="s">
        <v>1422</v>
      </c>
      <c r="B493" s="343" t="str">
        <f>"13.0411"</f>
        <v>13.0411</v>
      </c>
      <c r="C493" s="75" t="s">
        <v>2172</v>
      </c>
      <c r="D493" s="127" t="s">
        <v>2173</v>
      </c>
      <c r="E493" s="232"/>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c r="AY493" s="75"/>
      <c r="AZ493" s="75"/>
      <c r="BA493" s="75"/>
      <c r="BB493" s="75"/>
      <c r="BC493" s="75"/>
      <c r="BD493" s="75"/>
      <c r="BE493" s="75"/>
      <c r="BF493" s="75"/>
      <c r="BG493" s="75"/>
      <c r="BH493" s="75"/>
      <c r="BI493" s="75"/>
      <c r="BJ493" s="75"/>
      <c r="BK493" s="75"/>
      <c r="BL493" s="75"/>
      <c r="BM493" s="75"/>
      <c r="BN493" s="75"/>
      <c r="BO493" s="75"/>
      <c r="BP493" s="75"/>
      <c r="BQ493" s="75"/>
      <c r="BR493" s="75"/>
      <c r="BS493" s="75"/>
      <c r="BT493" s="75"/>
      <c r="BU493" s="75"/>
      <c r="BV493" s="75"/>
      <c r="BW493" s="75"/>
      <c r="BX493" s="75"/>
      <c r="BY493" s="75"/>
      <c r="BZ493" s="75"/>
      <c r="CA493" s="75"/>
      <c r="CB493" s="75"/>
      <c r="CC493" s="75"/>
      <c r="CD493" s="75"/>
      <c r="CE493" s="75"/>
      <c r="CF493" s="75"/>
      <c r="CG493" s="75"/>
      <c r="CH493" s="75"/>
      <c r="CI493" s="75"/>
      <c r="CJ493" s="75"/>
      <c r="CK493" s="75"/>
      <c r="CL493" s="75"/>
      <c r="CM493" s="75"/>
      <c r="CN493" s="75"/>
      <c r="CO493" s="75"/>
      <c r="CP493" s="75"/>
      <c r="CQ493" s="75"/>
      <c r="CR493" s="75"/>
      <c r="CS493" s="75"/>
      <c r="CT493" s="75"/>
      <c r="CU493" s="75"/>
      <c r="CV493" s="75"/>
      <c r="CW493" s="75"/>
      <c r="CX493" s="75"/>
      <c r="CY493" s="75"/>
      <c r="CZ493" s="75"/>
      <c r="DA493" s="75"/>
      <c r="DB493" s="75"/>
      <c r="DC493" s="75"/>
      <c r="DD493" s="75"/>
      <c r="DE493" s="75"/>
      <c r="DF493" s="75"/>
      <c r="DG493" s="75"/>
      <c r="DH493" s="75"/>
      <c r="DI493" s="75"/>
      <c r="DJ493" s="75"/>
      <c r="DK493" s="75"/>
      <c r="DL493" s="75"/>
      <c r="DM493" s="75"/>
      <c r="DN493" s="75"/>
      <c r="DO493" s="75"/>
      <c r="DP493" s="75"/>
      <c r="DQ493" s="75"/>
      <c r="DR493" s="75"/>
      <c r="DS493" s="75"/>
      <c r="DT493" s="75"/>
      <c r="DU493" s="75"/>
      <c r="DV493" s="75"/>
      <c r="DW493" s="75"/>
      <c r="DX493" s="75"/>
      <c r="DY493" s="75"/>
      <c r="DZ493" s="75"/>
      <c r="EA493" s="75"/>
      <c r="EB493" s="75"/>
      <c r="EC493" s="75"/>
      <c r="ED493" s="75"/>
      <c r="EE493" s="75"/>
      <c r="EF493" s="75"/>
      <c r="EG493" s="75"/>
      <c r="EH493" s="75"/>
      <c r="EI493" s="75"/>
      <c r="EJ493" s="75"/>
      <c r="EK493" s="75"/>
      <c r="EL493" s="75"/>
      <c r="EM493" s="75"/>
      <c r="EN493" s="75"/>
      <c r="EO493" s="75"/>
      <c r="EP493" s="75"/>
      <c r="EQ493" s="75"/>
      <c r="ER493" s="75"/>
      <c r="ES493" s="75"/>
      <c r="ET493" s="75"/>
      <c r="EU493" s="75"/>
      <c r="EV493" s="75"/>
      <c r="EW493" s="75"/>
      <c r="EX493" s="75"/>
      <c r="EY493" s="75"/>
      <c r="EZ493" s="75"/>
      <c r="FA493" s="75"/>
      <c r="FB493" s="75"/>
      <c r="FC493" s="75"/>
      <c r="FD493" s="75"/>
      <c r="FE493" s="75"/>
      <c r="FF493" s="75"/>
      <c r="FG493" s="75"/>
      <c r="FH493" s="75"/>
      <c r="FI493" s="75"/>
      <c r="FJ493" s="75"/>
      <c r="FK493" s="75"/>
      <c r="FL493" s="75"/>
      <c r="FM493" s="75"/>
      <c r="FN493" s="75"/>
      <c r="FO493" s="75"/>
      <c r="FP493" s="75"/>
      <c r="FQ493" s="75"/>
      <c r="FR493" s="75"/>
      <c r="FS493" s="75"/>
      <c r="FT493" s="75"/>
      <c r="FU493" s="75"/>
      <c r="FV493" s="75"/>
      <c r="FW493" s="75"/>
      <c r="FX493" s="75"/>
      <c r="FY493" s="75"/>
      <c r="FZ493" s="75"/>
      <c r="GA493" s="75"/>
      <c r="GB493" s="75"/>
      <c r="GC493" s="75"/>
      <c r="GD493" s="75"/>
      <c r="GE493" s="75"/>
      <c r="GF493" s="75"/>
      <c r="GG493" s="75"/>
      <c r="GH493" s="75"/>
      <c r="GI493" s="75"/>
      <c r="GJ493" s="75"/>
      <c r="GK493" s="75"/>
      <c r="GL493" s="75"/>
      <c r="GM493" s="75"/>
      <c r="GN493" s="75"/>
      <c r="GO493" s="75"/>
      <c r="GP493" s="75"/>
      <c r="GQ493" s="75"/>
      <c r="GR493" s="75"/>
      <c r="GS493" s="75"/>
      <c r="GT493" s="75"/>
      <c r="GU493" s="75"/>
      <c r="GV493" s="75"/>
      <c r="GW493" s="75"/>
      <c r="GX493" s="75"/>
      <c r="GY493" s="75"/>
      <c r="GZ493" s="75"/>
      <c r="HA493" s="75"/>
      <c r="HB493" s="75"/>
      <c r="HC493" s="75"/>
      <c r="HD493" s="75"/>
      <c r="HE493" s="75"/>
      <c r="HF493" s="75"/>
      <c r="HG493" s="75"/>
      <c r="HH493" s="75"/>
      <c r="HI493" s="75"/>
      <c r="HJ493" s="75"/>
      <c r="HK493" s="75"/>
      <c r="HL493" s="75"/>
      <c r="HM493" s="75"/>
      <c r="HN493" s="75"/>
      <c r="HO493" s="75"/>
      <c r="HP493" s="75"/>
      <c r="HQ493" s="75"/>
      <c r="HR493" s="75"/>
      <c r="HS493" s="75"/>
      <c r="HT493" s="75"/>
      <c r="HU493" s="75"/>
      <c r="HV493" s="75"/>
      <c r="HW493" s="75"/>
      <c r="HX493" s="75"/>
      <c r="HY493" s="75"/>
      <c r="HZ493" s="75"/>
      <c r="IA493" s="75"/>
      <c r="IB493" s="75"/>
      <c r="IC493" s="75"/>
      <c r="ID493" s="75"/>
      <c r="IE493" s="75"/>
      <c r="IF493" s="75"/>
      <c r="IG493" s="75"/>
      <c r="IH493" s="75"/>
      <c r="II493" s="75"/>
      <c r="IJ493" s="75"/>
      <c r="IK493" s="75"/>
      <c r="IL493" s="75"/>
      <c r="IM493" s="75"/>
      <c r="IN493" s="75"/>
      <c r="IO493" s="75"/>
      <c r="IP493" s="75"/>
      <c r="IQ493" s="75"/>
      <c r="IR493" s="75"/>
      <c r="IS493" s="75"/>
      <c r="IT493" s="75"/>
      <c r="IU493" s="75"/>
      <c r="IV493" s="75"/>
      <c r="IW493" s="75"/>
      <c r="IX493" s="75"/>
      <c r="IY493" s="75"/>
      <c r="IZ493" s="75"/>
      <c r="JA493" s="75"/>
      <c r="JB493" s="75"/>
      <c r="JC493" s="75"/>
      <c r="JD493" s="75"/>
      <c r="JE493" s="75"/>
      <c r="JF493" s="75"/>
      <c r="JG493" s="75"/>
      <c r="JH493" s="75"/>
      <c r="JI493" s="75"/>
      <c r="JJ493" s="75"/>
      <c r="JK493" s="75"/>
      <c r="JL493" s="75"/>
      <c r="JM493" s="75"/>
      <c r="JN493" s="75"/>
      <c r="JO493" s="75"/>
      <c r="JP493" s="75"/>
      <c r="JQ493" s="75"/>
      <c r="JR493" s="75"/>
      <c r="JS493" s="75"/>
      <c r="JT493" s="75"/>
      <c r="JU493" s="75"/>
      <c r="JV493" s="75"/>
      <c r="JW493" s="75"/>
      <c r="JX493" s="75"/>
      <c r="JY493" s="75"/>
      <c r="JZ493" s="75"/>
      <c r="KA493" s="75"/>
      <c r="KB493" s="75"/>
      <c r="KC493" s="75"/>
      <c r="KD493" s="75"/>
      <c r="KE493" s="75"/>
      <c r="KF493" s="75"/>
      <c r="KG493" s="75"/>
      <c r="KH493" s="75"/>
      <c r="KI493" s="75"/>
      <c r="KJ493" s="75"/>
      <c r="KK493" s="75"/>
      <c r="KL493" s="75"/>
      <c r="KM493" s="75"/>
      <c r="KN493" s="75"/>
      <c r="KO493" s="75"/>
      <c r="KP493" s="75"/>
      <c r="KQ493" s="75"/>
      <c r="KR493" s="75"/>
      <c r="KS493" s="75"/>
      <c r="KT493" s="75"/>
      <c r="KU493" s="75"/>
      <c r="KV493" s="75"/>
      <c r="KW493" s="75"/>
      <c r="KX493" s="75"/>
      <c r="KY493" s="75"/>
      <c r="KZ493" s="75"/>
      <c r="LA493" s="75"/>
      <c r="LB493" s="75"/>
      <c r="LC493" s="75"/>
      <c r="LD493" s="75"/>
      <c r="LE493" s="75"/>
      <c r="LF493" s="75"/>
      <c r="LG493" s="75"/>
      <c r="LH493" s="75"/>
      <c r="LI493" s="75"/>
      <c r="LJ493" s="75"/>
      <c r="LK493" s="75"/>
      <c r="LL493" s="75"/>
      <c r="LM493" s="75"/>
      <c r="LN493" s="75"/>
      <c r="LO493" s="75"/>
      <c r="LP493" s="75"/>
      <c r="LQ493" s="75"/>
      <c r="LR493" s="75"/>
      <c r="LS493" s="75"/>
      <c r="LT493" s="75"/>
      <c r="LU493" s="75"/>
      <c r="LV493" s="75"/>
      <c r="LW493" s="75"/>
      <c r="LX493" s="75"/>
      <c r="LY493" s="75"/>
      <c r="LZ493" s="75"/>
      <c r="MA493" s="75"/>
      <c r="MB493" s="75"/>
      <c r="MC493" s="75"/>
      <c r="MD493" s="75"/>
      <c r="ME493" s="75"/>
      <c r="MF493" s="75"/>
      <c r="MG493" s="75"/>
      <c r="MH493" s="75"/>
      <c r="MI493" s="75"/>
      <c r="MJ493" s="75"/>
      <c r="MK493" s="75"/>
      <c r="ML493" s="75"/>
      <c r="MM493" s="75"/>
      <c r="MN493" s="75"/>
      <c r="MO493" s="75"/>
      <c r="MP493" s="75"/>
      <c r="MQ493" s="75"/>
      <c r="MR493" s="75"/>
      <c r="MS493" s="75"/>
      <c r="MT493" s="75"/>
      <c r="MU493" s="75"/>
      <c r="MV493" s="75"/>
      <c r="MW493" s="75"/>
      <c r="MX493" s="75"/>
      <c r="MY493" s="75"/>
      <c r="MZ493" s="75"/>
      <c r="NA493" s="75"/>
      <c r="NB493" s="75"/>
      <c r="NC493" s="75"/>
      <c r="ND493" s="75"/>
      <c r="NE493" s="75"/>
      <c r="NF493" s="75"/>
      <c r="NG493" s="75"/>
      <c r="NH493" s="75"/>
      <c r="NI493" s="75"/>
      <c r="NJ493" s="75"/>
      <c r="NK493" s="75"/>
      <c r="NL493" s="75"/>
      <c r="NM493" s="75"/>
      <c r="NN493" s="75"/>
      <c r="NO493" s="75"/>
      <c r="NP493" s="75"/>
      <c r="NQ493" s="75"/>
      <c r="NR493" s="75"/>
      <c r="NS493" s="75"/>
      <c r="NT493" s="75"/>
      <c r="NU493" s="75"/>
      <c r="NV493" s="75"/>
      <c r="NW493" s="75"/>
      <c r="NX493" s="75"/>
      <c r="NY493" s="75"/>
      <c r="NZ493" s="75"/>
      <c r="OA493" s="75"/>
      <c r="OB493" s="75"/>
      <c r="OC493" s="75"/>
      <c r="OD493" s="75"/>
      <c r="OE493" s="75"/>
      <c r="OF493" s="75"/>
      <c r="OG493" s="75"/>
      <c r="OH493" s="75"/>
      <c r="OI493" s="75"/>
      <c r="OJ493" s="75"/>
      <c r="OK493" s="75"/>
      <c r="OL493" s="75"/>
      <c r="OM493" s="75"/>
      <c r="ON493" s="75"/>
      <c r="OO493" s="75"/>
      <c r="OP493" s="75"/>
      <c r="OQ493" s="75"/>
      <c r="OR493" s="75"/>
      <c r="OS493" s="75"/>
      <c r="OT493" s="75"/>
      <c r="OU493" s="75"/>
      <c r="OV493" s="75"/>
      <c r="OW493" s="75"/>
      <c r="OX493" s="75"/>
      <c r="OY493" s="75"/>
      <c r="OZ493" s="75"/>
      <c r="PA493" s="75"/>
      <c r="PB493" s="75"/>
      <c r="PC493" s="75"/>
      <c r="PD493" s="75"/>
      <c r="PE493" s="75"/>
      <c r="PF493" s="75"/>
      <c r="PG493" s="75"/>
      <c r="PH493" s="75"/>
      <c r="PI493" s="75"/>
      <c r="PJ493" s="75"/>
      <c r="PK493" s="75"/>
      <c r="PL493" s="75"/>
      <c r="PM493" s="75"/>
      <c r="PN493" s="75"/>
      <c r="PO493" s="75"/>
      <c r="PP493" s="75"/>
      <c r="PQ493" s="75"/>
      <c r="PR493" s="75"/>
      <c r="PS493" s="75"/>
      <c r="PT493" s="75"/>
      <c r="PU493" s="75"/>
      <c r="PV493" s="75"/>
      <c r="PW493" s="75"/>
      <c r="PX493" s="75"/>
      <c r="PY493" s="75"/>
      <c r="PZ493" s="75"/>
      <c r="QA493" s="75"/>
      <c r="QB493" s="75"/>
      <c r="QC493" s="75"/>
      <c r="QD493" s="75"/>
      <c r="QE493" s="75"/>
      <c r="QF493" s="75"/>
      <c r="QG493" s="75"/>
      <c r="QH493" s="75"/>
      <c r="QI493" s="75"/>
      <c r="QJ493" s="75"/>
      <c r="QK493" s="75"/>
      <c r="QL493" s="75"/>
      <c r="QM493" s="75"/>
      <c r="QN493" s="75"/>
      <c r="QO493" s="75"/>
      <c r="QP493" s="75"/>
      <c r="QQ493" s="75"/>
      <c r="QR493" s="75"/>
      <c r="QS493" s="75"/>
      <c r="QT493" s="75"/>
      <c r="QU493" s="75"/>
      <c r="QV493" s="75"/>
      <c r="QW493" s="75"/>
      <c r="QX493" s="75"/>
      <c r="QY493" s="75"/>
      <c r="QZ493" s="75"/>
      <c r="RA493" s="75"/>
      <c r="RB493" s="75"/>
      <c r="RC493" s="75"/>
      <c r="RD493" s="75"/>
      <c r="RE493" s="75"/>
      <c r="RF493" s="75"/>
      <c r="RG493" s="75"/>
      <c r="RH493" s="75"/>
      <c r="RI493" s="75"/>
      <c r="RJ493" s="75"/>
      <c r="RK493" s="75"/>
      <c r="RL493" s="75"/>
      <c r="RM493" s="75"/>
      <c r="RN493" s="75"/>
      <c r="RO493" s="75"/>
      <c r="RP493" s="75"/>
      <c r="RQ493" s="75"/>
      <c r="RR493" s="75"/>
      <c r="RS493" s="75"/>
      <c r="RT493" s="75"/>
      <c r="RU493" s="75"/>
      <c r="RV493" s="75"/>
      <c r="RW493" s="75"/>
      <c r="RX493" s="75"/>
      <c r="RY493" s="75"/>
      <c r="RZ493" s="75"/>
      <c r="SA493" s="75"/>
      <c r="SB493" s="75"/>
      <c r="SC493" s="75"/>
      <c r="SD493" s="75"/>
      <c r="SE493" s="75"/>
      <c r="SF493" s="75"/>
      <c r="SG493" s="75"/>
      <c r="SH493" s="75"/>
      <c r="SI493" s="75"/>
      <c r="SJ493" s="75"/>
      <c r="SK493" s="75"/>
      <c r="SL493" s="75"/>
      <c r="SM493" s="75"/>
      <c r="SN493" s="75"/>
      <c r="SO493" s="75"/>
      <c r="SP493" s="75"/>
      <c r="SQ493" s="75"/>
      <c r="SR493" s="75"/>
      <c r="SS493" s="75"/>
      <c r="ST493" s="75"/>
      <c r="SU493" s="75"/>
      <c r="SV493" s="75"/>
      <c r="SW493" s="75"/>
      <c r="SX493" s="75"/>
      <c r="SY493" s="75"/>
      <c r="SZ493" s="75"/>
      <c r="TA493" s="75"/>
      <c r="TB493" s="75"/>
      <c r="TC493" s="75"/>
      <c r="TD493" s="75"/>
      <c r="TE493" s="75"/>
      <c r="TF493" s="75"/>
      <c r="TG493" s="75"/>
      <c r="TH493" s="75"/>
      <c r="TI493" s="75"/>
      <c r="TJ493" s="75"/>
      <c r="TK493" s="75"/>
      <c r="TL493" s="75"/>
      <c r="TM493" s="75"/>
      <c r="TN493" s="75"/>
      <c r="TO493" s="75"/>
      <c r="TP493" s="75"/>
      <c r="TQ493" s="75"/>
      <c r="TR493" s="75"/>
      <c r="TS493" s="75"/>
      <c r="TT493" s="75"/>
      <c r="TU493" s="75"/>
      <c r="TV493" s="75"/>
      <c r="TW493" s="75"/>
      <c r="TX493" s="75"/>
      <c r="TY493" s="75"/>
      <c r="TZ493" s="75"/>
      <c r="UA493" s="75"/>
      <c r="UB493" s="75"/>
      <c r="UC493" s="75"/>
      <c r="UD493" s="75"/>
      <c r="UE493" s="75"/>
      <c r="UF493" s="75"/>
      <c r="UG493" s="75"/>
      <c r="UH493" s="75"/>
      <c r="UI493" s="75"/>
      <c r="UJ493" s="75"/>
      <c r="UK493" s="75"/>
      <c r="UL493" s="75"/>
      <c r="UM493" s="75"/>
      <c r="UN493" s="75"/>
      <c r="UO493" s="75"/>
      <c r="UP493" s="75"/>
      <c r="UQ493" s="75"/>
      <c r="UR493" s="75"/>
      <c r="US493" s="75"/>
      <c r="UT493" s="75"/>
      <c r="UU493" s="75"/>
      <c r="UV493" s="75"/>
      <c r="UW493" s="75"/>
      <c r="UX493" s="75"/>
      <c r="UY493" s="75"/>
      <c r="UZ493" s="75"/>
      <c r="VA493" s="75"/>
      <c r="VB493" s="75"/>
      <c r="VC493" s="75"/>
      <c r="VD493" s="75"/>
      <c r="VE493" s="75"/>
      <c r="VF493" s="75"/>
      <c r="VG493" s="75"/>
      <c r="VH493" s="75"/>
      <c r="VI493" s="75"/>
      <c r="VJ493" s="75"/>
      <c r="VK493" s="75"/>
      <c r="VL493" s="75"/>
      <c r="VM493" s="75"/>
      <c r="VN493" s="75"/>
      <c r="VO493" s="75"/>
      <c r="VP493" s="75"/>
      <c r="VQ493" s="75"/>
      <c r="VR493" s="75"/>
      <c r="VS493" s="75"/>
      <c r="VT493" s="75"/>
      <c r="VU493" s="75"/>
      <c r="VV493" s="75"/>
      <c r="VW493" s="75"/>
      <c r="VX493" s="75"/>
      <c r="VY493" s="75"/>
      <c r="VZ493" s="75"/>
      <c r="WA493" s="75"/>
      <c r="WB493" s="75"/>
      <c r="WC493" s="75"/>
      <c r="WD493" s="75"/>
      <c r="WE493" s="75"/>
      <c r="WF493" s="75"/>
      <c r="WG493" s="75"/>
      <c r="WH493" s="75"/>
      <c r="WI493" s="75"/>
      <c r="WJ493" s="75"/>
      <c r="WK493" s="75"/>
      <c r="WL493" s="75"/>
      <c r="WM493" s="75"/>
      <c r="WN493" s="75"/>
      <c r="WO493" s="75"/>
      <c r="WP493" s="75"/>
      <c r="WQ493" s="75"/>
      <c r="WR493" s="75"/>
      <c r="WS493" s="75"/>
      <c r="WT493" s="75"/>
      <c r="WU493" s="75"/>
      <c r="WV493" s="75"/>
      <c r="WW493" s="75"/>
      <c r="WX493" s="75"/>
      <c r="WY493" s="75"/>
      <c r="WZ493" s="75"/>
      <c r="XA493" s="75"/>
      <c r="XB493" s="75"/>
      <c r="XC493" s="75"/>
      <c r="XD493" s="75"/>
      <c r="XE493" s="75"/>
      <c r="XF493" s="75"/>
      <c r="XG493" s="75"/>
      <c r="XH493" s="75"/>
      <c r="XI493" s="75"/>
      <c r="XJ493" s="75"/>
      <c r="XK493" s="75"/>
      <c r="XL493" s="75"/>
      <c r="XM493" s="75"/>
      <c r="XN493" s="75"/>
      <c r="XO493" s="75"/>
      <c r="XP493" s="75"/>
      <c r="XQ493" s="75"/>
      <c r="XR493" s="75"/>
      <c r="XS493" s="75"/>
      <c r="XT493" s="75"/>
      <c r="XU493" s="75"/>
      <c r="XV493" s="75"/>
      <c r="XW493" s="75"/>
      <c r="XX493" s="75"/>
      <c r="XY493" s="75"/>
      <c r="XZ493" s="75"/>
      <c r="YA493" s="75"/>
      <c r="YB493" s="75"/>
      <c r="YC493" s="75"/>
      <c r="YD493" s="75"/>
      <c r="YE493" s="75"/>
      <c r="YF493" s="75"/>
      <c r="YG493" s="75"/>
      <c r="YH493" s="75"/>
      <c r="YI493" s="75"/>
      <c r="YJ493" s="75"/>
      <c r="YK493" s="75"/>
      <c r="YL493" s="75"/>
      <c r="YM493" s="75"/>
      <c r="YN493" s="75"/>
      <c r="YO493" s="75"/>
      <c r="YP493" s="75"/>
      <c r="YQ493" s="75"/>
      <c r="YR493" s="75"/>
      <c r="YS493" s="75"/>
      <c r="YT493" s="75"/>
      <c r="YU493" s="75"/>
      <c r="YV493" s="75"/>
      <c r="YW493" s="75"/>
      <c r="YX493" s="75"/>
      <c r="YY493" s="75"/>
      <c r="YZ493" s="75"/>
      <c r="ZA493" s="75"/>
      <c r="ZB493" s="75"/>
      <c r="ZC493" s="75"/>
      <c r="ZD493" s="75"/>
      <c r="ZE493" s="75"/>
      <c r="ZF493" s="75"/>
      <c r="ZG493" s="75"/>
      <c r="ZH493" s="75"/>
      <c r="ZI493" s="75"/>
      <c r="ZJ493" s="75"/>
      <c r="ZK493" s="75"/>
      <c r="ZL493" s="75"/>
      <c r="ZM493" s="75"/>
      <c r="ZN493" s="75"/>
      <c r="ZO493" s="75"/>
      <c r="ZP493" s="75"/>
      <c r="ZQ493" s="75"/>
      <c r="ZR493" s="75"/>
      <c r="ZS493" s="75"/>
      <c r="ZT493" s="75"/>
      <c r="ZU493" s="75"/>
      <c r="ZV493" s="75"/>
      <c r="ZW493" s="75"/>
      <c r="ZX493" s="75"/>
      <c r="ZY493" s="75"/>
      <c r="ZZ493" s="75"/>
      <c r="AAA493" s="75"/>
      <c r="AAB493" s="75"/>
      <c r="AAC493" s="75"/>
      <c r="AAD493" s="75"/>
      <c r="AAE493" s="75"/>
      <c r="AAF493" s="75"/>
      <c r="AAG493" s="75"/>
      <c r="AAH493" s="75"/>
      <c r="AAI493" s="75"/>
      <c r="AAJ493" s="75"/>
      <c r="AAK493" s="75"/>
      <c r="AAL493" s="75"/>
      <c r="AAM493" s="75"/>
      <c r="AAN493" s="75"/>
      <c r="AAO493" s="75"/>
      <c r="AAP493" s="75"/>
      <c r="AAQ493" s="75"/>
      <c r="AAR493" s="75"/>
      <c r="AAS493" s="75"/>
      <c r="AAT493" s="75"/>
      <c r="AAU493" s="75"/>
      <c r="AAV493" s="75"/>
      <c r="AAW493" s="75"/>
      <c r="AAX493" s="75"/>
      <c r="AAY493" s="75"/>
      <c r="AAZ493" s="75"/>
      <c r="ABA493" s="75"/>
      <c r="ABB493" s="75"/>
      <c r="ABC493" s="75"/>
      <c r="ABD493" s="75"/>
      <c r="ABE493" s="75"/>
      <c r="ABF493" s="75"/>
      <c r="ABG493" s="75"/>
      <c r="ABH493" s="75"/>
      <c r="ABI493" s="75"/>
      <c r="ABJ493" s="75"/>
      <c r="ABK493" s="75"/>
      <c r="ABL493" s="75"/>
      <c r="ABM493" s="75"/>
      <c r="ABN493" s="75"/>
      <c r="ABO493" s="75"/>
      <c r="ABP493" s="75"/>
      <c r="ABQ493" s="75"/>
      <c r="ABR493" s="75"/>
      <c r="ABS493" s="75"/>
      <c r="ABT493" s="75"/>
      <c r="ABU493" s="75"/>
      <c r="ABV493" s="75"/>
      <c r="ABW493" s="75"/>
      <c r="ABX493" s="75"/>
      <c r="ABY493" s="75"/>
      <c r="ABZ493" s="75"/>
      <c r="ACA493" s="75"/>
      <c r="ACB493" s="75"/>
      <c r="ACC493" s="75"/>
      <c r="ACD493" s="75"/>
      <c r="ACE493" s="75"/>
      <c r="ACF493" s="75"/>
      <c r="ACG493" s="75"/>
      <c r="ACH493" s="75"/>
      <c r="ACI493" s="75"/>
      <c r="ACJ493" s="75"/>
      <c r="ACK493" s="75"/>
      <c r="ACL493" s="75"/>
      <c r="ACM493" s="75"/>
      <c r="ACN493" s="75"/>
      <c r="ACO493" s="75"/>
      <c r="ACP493" s="75"/>
      <c r="ACQ493" s="75"/>
      <c r="ACR493" s="75"/>
      <c r="ACS493" s="75"/>
      <c r="ACT493" s="75"/>
      <c r="ACU493" s="75"/>
      <c r="ACV493" s="75"/>
      <c r="ACW493" s="75"/>
      <c r="ACX493" s="75"/>
      <c r="ACY493" s="75"/>
      <c r="ACZ493" s="75"/>
      <c r="ADA493" s="75"/>
      <c r="ADB493" s="75"/>
      <c r="ADC493" s="75"/>
      <c r="ADD493" s="75"/>
      <c r="ADE493" s="75"/>
      <c r="ADF493" s="75"/>
      <c r="ADG493" s="75"/>
      <c r="ADH493" s="75"/>
      <c r="ADI493" s="75"/>
      <c r="ADJ493" s="75"/>
      <c r="ADK493" s="75"/>
      <c r="ADL493" s="75"/>
      <c r="ADM493" s="75"/>
      <c r="ADN493" s="75"/>
      <c r="ADO493" s="75"/>
      <c r="ADP493" s="75"/>
      <c r="ADQ493" s="75"/>
      <c r="ADR493" s="75"/>
      <c r="ADS493" s="75"/>
      <c r="ADT493" s="75"/>
      <c r="ADU493" s="75"/>
      <c r="ADV493" s="75"/>
      <c r="ADW493" s="75"/>
      <c r="ADX493" s="75"/>
      <c r="ADY493" s="75"/>
      <c r="ADZ493" s="75"/>
      <c r="AEA493" s="75"/>
      <c r="AEB493" s="75"/>
      <c r="AEC493" s="75"/>
      <c r="AED493" s="75"/>
      <c r="AEE493" s="75"/>
      <c r="AEF493" s="75"/>
      <c r="AEG493" s="75"/>
      <c r="AEH493" s="75"/>
      <c r="AEI493" s="75"/>
      <c r="AEJ493" s="75"/>
      <c r="AEK493" s="75"/>
      <c r="AEL493" s="75"/>
      <c r="AEM493" s="75"/>
      <c r="AEN493" s="75"/>
      <c r="AEO493" s="75"/>
      <c r="AEP493" s="75"/>
      <c r="AEQ493" s="75"/>
      <c r="AER493" s="75"/>
      <c r="AES493" s="75"/>
      <c r="AET493" s="75"/>
      <c r="AEU493" s="75"/>
      <c r="AEV493" s="75"/>
      <c r="AEW493" s="75"/>
      <c r="AEX493" s="75"/>
      <c r="AEY493" s="75"/>
      <c r="AEZ493" s="75"/>
      <c r="AFA493" s="75"/>
      <c r="AFB493" s="75"/>
      <c r="AFC493" s="75"/>
      <c r="AFD493" s="75"/>
      <c r="AFE493" s="75"/>
      <c r="AFF493" s="75"/>
      <c r="AFG493" s="75"/>
      <c r="AFH493" s="75"/>
      <c r="AFI493" s="75"/>
      <c r="AFJ493" s="75"/>
      <c r="AFK493" s="75"/>
      <c r="AFL493" s="75"/>
      <c r="AFM493" s="75"/>
      <c r="AFN493" s="75"/>
      <c r="AFO493" s="75"/>
      <c r="AFP493" s="75"/>
      <c r="AFQ493" s="75"/>
      <c r="AFR493" s="75"/>
      <c r="AFS493" s="75"/>
      <c r="AFT493" s="75"/>
      <c r="AFU493" s="75"/>
      <c r="AFV493" s="75"/>
      <c r="AFW493" s="75"/>
      <c r="AFX493" s="75"/>
      <c r="AFY493" s="75"/>
      <c r="AFZ493" s="75"/>
      <c r="AGA493" s="75"/>
      <c r="AGB493" s="75"/>
      <c r="AGC493" s="75"/>
      <c r="AGD493" s="75"/>
      <c r="AGE493" s="75"/>
      <c r="AGF493" s="75"/>
      <c r="AGG493" s="75"/>
      <c r="AGH493" s="75"/>
      <c r="AGI493" s="75"/>
      <c r="AGJ493" s="75"/>
      <c r="AGK493" s="75"/>
      <c r="AGL493" s="75"/>
      <c r="AGM493" s="75"/>
      <c r="AGN493" s="75"/>
      <c r="AGO493" s="75"/>
      <c r="AGP493" s="75"/>
      <c r="AGQ493" s="75"/>
      <c r="AGR493" s="75"/>
      <c r="AGS493" s="75"/>
      <c r="AGT493" s="75"/>
      <c r="AGU493" s="75"/>
      <c r="AGV493" s="75"/>
      <c r="AGW493" s="75"/>
      <c r="AGX493" s="75"/>
      <c r="AGY493" s="75"/>
      <c r="AGZ493" s="75"/>
      <c r="AHA493" s="75"/>
      <c r="AHB493" s="75"/>
      <c r="AHC493" s="75"/>
      <c r="AHD493" s="75"/>
      <c r="AHE493" s="75"/>
      <c r="AHF493" s="75"/>
      <c r="AHG493" s="75"/>
      <c r="AHH493" s="75"/>
      <c r="AHI493" s="75"/>
      <c r="AHJ493" s="75"/>
      <c r="AHK493" s="75"/>
      <c r="AHL493" s="75"/>
      <c r="AHM493" s="75"/>
      <c r="AHN493" s="75"/>
      <c r="AHO493" s="75"/>
      <c r="AHP493" s="75"/>
      <c r="AHQ493" s="75"/>
      <c r="AHR493" s="75"/>
      <c r="AHS493" s="75"/>
      <c r="AHT493" s="75"/>
      <c r="AHU493" s="75"/>
      <c r="AHV493" s="75"/>
      <c r="AHW493" s="75"/>
      <c r="AHX493" s="75"/>
      <c r="AHY493" s="75"/>
      <c r="AHZ493" s="75"/>
      <c r="AIA493" s="75"/>
      <c r="AIB493" s="75"/>
      <c r="AIC493" s="75"/>
      <c r="AID493" s="75"/>
      <c r="AIE493" s="75"/>
      <c r="AIF493" s="75"/>
      <c r="AIG493" s="75"/>
      <c r="AIH493" s="75"/>
      <c r="AII493" s="75"/>
      <c r="AIJ493" s="75"/>
      <c r="AIK493" s="75"/>
      <c r="AIL493" s="75"/>
      <c r="AIM493" s="75"/>
      <c r="AIN493" s="75"/>
      <c r="AIO493" s="75"/>
      <c r="AIP493" s="75"/>
      <c r="AIQ493" s="75"/>
      <c r="AIR493" s="75"/>
      <c r="AIS493" s="75"/>
      <c r="AIT493" s="75"/>
      <c r="AIU493" s="75"/>
      <c r="AIV493" s="75"/>
      <c r="AIW493" s="75"/>
      <c r="AIX493" s="75"/>
      <c r="AIY493" s="75"/>
      <c r="AIZ493" s="75"/>
      <c r="AJA493" s="75"/>
      <c r="AJB493" s="75"/>
      <c r="AJC493" s="75"/>
      <c r="AJD493" s="75"/>
      <c r="AJE493" s="75"/>
      <c r="AJF493" s="75"/>
      <c r="AJG493" s="75"/>
      <c r="AJH493" s="75"/>
      <c r="AJI493" s="75"/>
      <c r="AJJ493" s="75"/>
      <c r="AJK493" s="75"/>
      <c r="AJL493" s="75"/>
      <c r="AJM493" s="75"/>
      <c r="AJN493" s="75"/>
      <c r="AJO493" s="75"/>
      <c r="AJP493" s="75"/>
      <c r="AJQ493" s="75"/>
      <c r="AJR493" s="75"/>
      <c r="AJS493" s="75"/>
      <c r="AJT493" s="75"/>
      <c r="AJU493" s="75"/>
      <c r="AJV493" s="75"/>
      <c r="AJW493" s="75"/>
      <c r="AJX493" s="75"/>
      <c r="AJY493" s="75"/>
      <c r="AJZ493" s="75"/>
      <c r="AKA493" s="75"/>
      <c r="AKB493" s="75"/>
      <c r="AKC493" s="75"/>
      <c r="AKD493" s="75"/>
      <c r="AKE493" s="75"/>
      <c r="AKF493" s="75"/>
      <c r="AKG493" s="75"/>
      <c r="AKH493" s="75"/>
      <c r="AKI493" s="75"/>
      <c r="AKJ493" s="75"/>
      <c r="AKK493" s="75"/>
      <c r="AKL493" s="75"/>
      <c r="AKM493" s="75"/>
      <c r="AKN493" s="75"/>
      <c r="AKO493" s="75"/>
      <c r="AKP493" s="75"/>
      <c r="AKQ493" s="75"/>
      <c r="AKR493" s="75"/>
      <c r="AKS493" s="75"/>
      <c r="AKT493" s="75"/>
      <c r="AKU493" s="75"/>
      <c r="AKV493" s="75"/>
      <c r="AKW493" s="75"/>
      <c r="AKX493" s="75"/>
      <c r="AKY493" s="75"/>
      <c r="AKZ493" s="75"/>
      <c r="ALA493" s="75"/>
      <c r="ALB493" s="75"/>
      <c r="ALC493" s="75"/>
      <c r="ALD493" s="75"/>
      <c r="ALE493" s="75"/>
      <c r="ALF493" s="75"/>
      <c r="ALG493" s="75"/>
      <c r="ALH493" s="75"/>
      <c r="ALI493" s="75"/>
      <c r="ALJ493" s="75"/>
      <c r="ALK493" s="75"/>
      <c r="ALL493" s="75"/>
      <c r="ALM493" s="75"/>
      <c r="ALN493" s="75"/>
      <c r="ALO493" s="75"/>
    </row>
    <row r="494" spans="1:1003" s="235" customFormat="1" ht="14.55" customHeight="1" outlineLevel="1" x14ac:dyDescent="0.25">
      <c r="A494" s="230" t="s">
        <v>1422</v>
      </c>
      <c r="B494" s="343" t="str">
        <f>"13.0412"</f>
        <v>13.0412</v>
      </c>
      <c r="C494" s="75" t="s">
        <v>2174</v>
      </c>
      <c r="D494" s="127" t="s">
        <v>2175</v>
      </c>
      <c r="E494" s="232"/>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c r="AY494" s="75"/>
      <c r="AZ494" s="75"/>
      <c r="BA494" s="75"/>
      <c r="BB494" s="75"/>
      <c r="BC494" s="75"/>
      <c r="BD494" s="75"/>
      <c r="BE494" s="75"/>
      <c r="BF494" s="75"/>
      <c r="BG494" s="75"/>
      <c r="BH494" s="75"/>
      <c r="BI494" s="75"/>
      <c r="BJ494" s="75"/>
      <c r="BK494" s="75"/>
      <c r="BL494" s="75"/>
      <c r="BM494" s="75"/>
      <c r="BN494" s="75"/>
      <c r="BO494" s="75"/>
      <c r="BP494" s="75"/>
      <c r="BQ494" s="75"/>
      <c r="BR494" s="75"/>
      <c r="BS494" s="75"/>
      <c r="BT494" s="75"/>
      <c r="BU494" s="75"/>
      <c r="BV494" s="75"/>
      <c r="BW494" s="75"/>
      <c r="BX494" s="75"/>
      <c r="BY494" s="75"/>
      <c r="BZ494" s="75"/>
      <c r="CA494" s="75"/>
      <c r="CB494" s="75"/>
      <c r="CC494" s="75"/>
      <c r="CD494" s="75"/>
      <c r="CE494" s="75"/>
      <c r="CF494" s="75"/>
      <c r="CG494" s="75"/>
      <c r="CH494" s="75"/>
      <c r="CI494" s="75"/>
      <c r="CJ494" s="75"/>
      <c r="CK494" s="75"/>
      <c r="CL494" s="75"/>
      <c r="CM494" s="75"/>
      <c r="CN494" s="75"/>
      <c r="CO494" s="75"/>
      <c r="CP494" s="75"/>
      <c r="CQ494" s="75"/>
      <c r="CR494" s="75"/>
      <c r="CS494" s="75"/>
      <c r="CT494" s="75"/>
      <c r="CU494" s="75"/>
      <c r="CV494" s="75"/>
      <c r="CW494" s="75"/>
      <c r="CX494" s="75"/>
      <c r="CY494" s="75"/>
      <c r="CZ494" s="75"/>
      <c r="DA494" s="75"/>
      <c r="DB494" s="75"/>
      <c r="DC494" s="75"/>
      <c r="DD494" s="75"/>
      <c r="DE494" s="75"/>
      <c r="DF494" s="75"/>
      <c r="DG494" s="75"/>
      <c r="DH494" s="75"/>
      <c r="DI494" s="75"/>
      <c r="DJ494" s="75"/>
      <c r="DK494" s="75"/>
      <c r="DL494" s="75"/>
      <c r="DM494" s="75"/>
      <c r="DN494" s="75"/>
      <c r="DO494" s="75"/>
      <c r="DP494" s="75"/>
      <c r="DQ494" s="75"/>
      <c r="DR494" s="75"/>
      <c r="DS494" s="75"/>
      <c r="DT494" s="75"/>
      <c r="DU494" s="75"/>
      <c r="DV494" s="75"/>
      <c r="DW494" s="75"/>
      <c r="DX494" s="75"/>
      <c r="DY494" s="75"/>
      <c r="DZ494" s="75"/>
      <c r="EA494" s="75"/>
      <c r="EB494" s="75"/>
      <c r="EC494" s="75"/>
      <c r="ED494" s="75"/>
      <c r="EE494" s="75"/>
      <c r="EF494" s="75"/>
      <c r="EG494" s="75"/>
      <c r="EH494" s="75"/>
      <c r="EI494" s="75"/>
      <c r="EJ494" s="75"/>
      <c r="EK494" s="75"/>
      <c r="EL494" s="75"/>
      <c r="EM494" s="75"/>
      <c r="EN494" s="75"/>
      <c r="EO494" s="75"/>
      <c r="EP494" s="75"/>
      <c r="EQ494" s="75"/>
      <c r="ER494" s="75"/>
      <c r="ES494" s="75"/>
      <c r="ET494" s="75"/>
      <c r="EU494" s="75"/>
      <c r="EV494" s="75"/>
      <c r="EW494" s="75"/>
      <c r="EX494" s="75"/>
      <c r="EY494" s="75"/>
      <c r="EZ494" s="75"/>
      <c r="FA494" s="75"/>
      <c r="FB494" s="75"/>
      <c r="FC494" s="75"/>
      <c r="FD494" s="75"/>
      <c r="FE494" s="75"/>
      <c r="FF494" s="75"/>
      <c r="FG494" s="75"/>
      <c r="FH494" s="75"/>
      <c r="FI494" s="75"/>
      <c r="FJ494" s="75"/>
      <c r="FK494" s="75"/>
      <c r="FL494" s="75"/>
      <c r="FM494" s="75"/>
      <c r="FN494" s="75"/>
      <c r="FO494" s="75"/>
      <c r="FP494" s="75"/>
      <c r="FQ494" s="75"/>
      <c r="FR494" s="75"/>
      <c r="FS494" s="75"/>
      <c r="FT494" s="75"/>
      <c r="FU494" s="75"/>
      <c r="FV494" s="75"/>
      <c r="FW494" s="75"/>
      <c r="FX494" s="75"/>
      <c r="FY494" s="75"/>
      <c r="FZ494" s="75"/>
      <c r="GA494" s="75"/>
      <c r="GB494" s="75"/>
      <c r="GC494" s="75"/>
      <c r="GD494" s="75"/>
      <c r="GE494" s="75"/>
      <c r="GF494" s="75"/>
      <c r="GG494" s="75"/>
      <c r="GH494" s="75"/>
      <c r="GI494" s="75"/>
      <c r="GJ494" s="75"/>
      <c r="GK494" s="75"/>
      <c r="GL494" s="75"/>
      <c r="GM494" s="75"/>
      <c r="GN494" s="75"/>
      <c r="GO494" s="75"/>
      <c r="GP494" s="75"/>
      <c r="GQ494" s="75"/>
      <c r="GR494" s="75"/>
      <c r="GS494" s="75"/>
      <c r="GT494" s="75"/>
      <c r="GU494" s="75"/>
      <c r="GV494" s="75"/>
      <c r="GW494" s="75"/>
      <c r="GX494" s="75"/>
      <c r="GY494" s="75"/>
      <c r="GZ494" s="75"/>
      <c r="HA494" s="75"/>
      <c r="HB494" s="75"/>
      <c r="HC494" s="75"/>
      <c r="HD494" s="75"/>
      <c r="HE494" s="75"/>
      <c r="HF494" s="75"/>
      <c r="HG494" s="75"/>
      <c r="HH494" s="75"/>
      <c r="HI494" s="75"/>
      <c r="HJ494" s="75"/>
      <c r="HK494" s="75"/>
      <c r="HL494" s="75"/>
      <c r="HM494" s="75"/>
      <c r="HN494" s="75"/>
      <c r="HO494" s="75"/>
      <c r="HP494" s="75"/>
      <c r="HQ494" s="75"/>
      <c r="HR494" s="75"/>
      <c r="HS494" s="75"/>
      <c r="HT494" s="75"/>
      <c r="HU494" s="75"/>
      <c r="HV494" s="75"/>
      <c r="HW494" s="75"/>
      <c r="HX494" s="75"/>
      <c r="HY494" s="75"/>
      <c r="HZ494" s="75"/>
      <c r="IA494" s="75"/>
      <c r="IB494" s="75"/>
      <c r="IC494" s="75"/>
      <c r="ID494" s="75"/>
      <c r="IE494" s="75"/>
      <c r="IF494" s="75"/>
      <c r="IG494" s="75"/>
      <c r="IH494" s="75"/>
      <c r="II494" s="75"/>
      <c r="IJ494" s="75"/>
      <c r="IK494" s="75"/>
      <c r="IL494" s="75"/>
      <c r="IM494" s="75"/>
      <c r="IN494" s="75"/>
      <c r="IO494" s="75"/>
      <c r="IP494" s="75"/>
      <c r="IQ494" s="75"/>
      <c r="IR494" s="75"/>
      <c r="IS494" s="75"/>
      <c r="IT494" s="75"/>
      <c r="IU494" s="75"/>
      <c r="IV494" s="75"/>
      <c r="IW494" s="75"/>
      <c r="IX494" s="75"/>
      <c r="IY494" s="75"/>
      <c r="IZ494" s="75"/>
      <c r="JA494" s="75"/>
      <c r="JB494" s="75"/>
      <c r="JC494" s="75"/>
      <c r="JD494" s="75"/>
      <c r="JE494" s="75"/>
      <c r="JF494" s="75"/>
      <c r="JG494" s="75"/>
      <c r="JH494" s="75"/>
      <c r="JI494" s="75"/>
      <c r="JJ494" s="75"/>
      <c r="JK494" s="75"/>
      <c r="JL494" s="75"/>
      <c r="JM494" s="75"/>
      <c r="JN494" s="75"/>
      <c r="JO494" s="75"/>
      <c r="JP494" s="75"/>
      <c r="JQ494" s="75"/>
      <c r="JR494" s="75"/>
      <c r="JS494" s="75"/>
      <c r="JT494" s="75"/>
      <c r="JU494" s="75"/>
      <c r="JV494" s="75"/>
      <c r="JW494" s="75"/>
      <c r="JX494" s="75"/>
      <c r="JY494" s="75"/>
      <c r="JZ494" s="75"/>
      <c r="KA494" s="75"/>
      <c r="KB494" s="75"/>
      <c r="KC494" s="75"/>
      <c r="KD494" s="75"/>
      <c r="KE494" s="75"/>
      <c r="KF494" s="75"/>
      <c r="KG494" s="75"/>
      <c r="KH494" s="75"/>
      <c r="KI494" s="75"/>
      <c r="KJ494" s="75"/>
      <c r="KK494" s="75"/>
      <c r="KL494" s="75"/>
      <c r="KM494" s="75"/>
      <c r="KN494" s="75"/>
      <c r="KO494" s="75"/>
      <c r="KP494" s="75"/>
      <c r="KQ494" s="75"/>
      <c r="KR494" s="75"/>
      <c r="KS494" s="75"/>
      <c r="KT494" s="75"/>
      <c r="KU494" s="75"/>
      <c r="KV494" s="75"/>
      <c r="KW494" s="75"/>
      <c r="KX494" s="75"/>
      <c r="KY494" s="75"/>
      <c r="KZ494" s="75"/>
      <c r="LA494" s="75"/>
      <c r="LB494" s="75"/>
      <c r="LC494" s="75"/>
      <c r="LD494" s="75"/>
      <c r="LE494" s="75"/>
      <c r="LF494" s="75"/>
      <c r="LG494" s="75"/>
      <c r="LH494" s="75"/>
      <c r="LI494" s="75"/>
      <c r="LJ494" s="75"/>
      <c r="LK494" s="75"/>
      <c r="LL494" s="75"/>
      <c r="LM494" s="75"/>
      <c r="LN494" s="75"/>
      <c r="LO494" s="75"/>
      <c r="LP494" s="75"/>
      <c r="LQ494" s="75"/>
      <c r="LR494" s="75"/>
      <c r="LS494" s="75"/>
      <c r="LT494" s="75"/>
      <c r="LU494" s="75"/>
      <c r="LV494" s="75"/>
      <c r="LW494" s="75"/>
      <c r="LX494" s="75"/>
      <c r="LY494" s="75"/>
      <c r="LZ494" s="75"/>
      <c r="MA494" s="75"/>
      <c r="MB494" s="75"/>
      <c r="MC494" s="75"/>
      <c r="MD494" s="75"/>
      <c r="ME494" s="75"/>
      <c r="MF494" s="75"/>
      <c r="MG494" s="75"/>
      <c r="MH494" s="75"/>
      <c r="MI494" s="75"/>
      <c r="MJ494" s="75"/>
      <c r="MK494" s="75"/>
      <c r="ML494" s="75"/>
      <c r="MM494" s="75"/>
      <c r="MN494" s="75"/>
      <c r="MO494" s="75"/>
      <c r="MP494" s="75"/>
      <c r="MQ494" s="75"/>
      <c r="MR494" s="75"/>
      <c r="MS494" s="75"/>
      <c r="MT494" s="75"/>
      <c r="MU494" s="75"/>
      <c r="MV494" s="75"/>
      <c r="MW494" s="75"/>
      <c r="MX494" s="75"/>
      <c r="MY494" s="75"/>
      <c r="MZ494" s="75"/>
      <c r="NA494" s="75"/>
      <c r="NB494" s="75"/>
      <c r="NC494" s="75"/>
      <c r="ND494" s="75"/>
      <c r="NE494" s="75"/>
      <c r="NF494" s="75"/>
      <c r="NG494" s="75"/>
      <c r="NH494" s="75"/>
      <c r="NI494" s="75"/>
      <c r="NJ494" s="75"/>
      <c r="NK494" s="75"/>
      <c r="NL494" s="75"/>
      <c r="NM494" s="75"/>
      <c r="NN494" s="75"/>
      <c r="NO494" s="75"/>
      <c r="NP494" s="75"/>
      <c r="NQ494" s="75"/>
      <c r="NR494" s="75"/>
      <c r="NS494" s="75"/>
      <c r="NT494" s="75"/>
      <c r="NU494" s="75"/>
      <c r="NV494" s="75"/>
      <c r="NW494" s="75"/>
      <c r="NX494" s="75"/>
      <c r="NY494" s="75"/>
      <c r="NZ494" s="75"/>
      <c r="OA494" s="75"/>
      <c r="OB494" s="75"/>
      <c r="OC494" s="75"/>
      <c r="OD494" s="75"/>
      <c r="OE494" s="75"/>
      <c r="OF494" s="75"/>
      <c r="OG494" s="75"/>
      <c r="OH494" s="75"/>
      <c r="OI494" s="75"/>
      <c r="OJ494" s="75"/>
      <c r="OK494" s="75"/>
      <c r="OL494" s="75"/>
      <c r="OM494" s="75"/>
      <c r="ON494" s="75"/>
      <c r="OO494" s="75"/>
      <c r="OP494" s="75"/>
      <c r="OQ494" s="75"/>
      <c r="OR494" s="75"/>
      <c r="OS494" s="75"/>
      <c r="OT494" s="75"/>
      <c r="OU494" s="75"/>
      <c r="OV494" s="75"/>
      <c r="OW494" s="75"/>
      <c r="OX494" s="75"/>
      <c r="OY494" s="75"/>
      <c r="OZ494" s="75"/>
      <c r="PA494" s="75"/>
      <c r="PB494" s="75"/>
      <c r="PC494" s="75"/>
      <c r="PD494" s="75"/>
      <c r="PE494" s="75"/>
      <c r="PF494" s="75"/>
      <c r="PG494" s="75"/>
      <c r="PH494" s="75"/>
      <c r="PI494" s="75"/>
      <c r="PJ494" s="75"/>
      <c r="PK494" s="75"/>
      <c r="PL494" s="75"/>
      <c r="PM494" s="75"/>
      <c r="PN494" s="75"/>
      <c r="PO494" s="75"/>
      <c r="PP494" s="75"/>
      <c r="PQ494" s="75"/>
      <c r="PR494" s="75"/>
      <c r="PS494" s="75"/>
      <c r="PT494" s="75"/>
      <c r="PU494" s="75"/>
      <c r="PV494" s="75"/>
      <c r="PW494" s="75"/>
      <c r="PX494" s="75"/>
      <c r="PY494" s="75"/>
      <c r="PZ494" s="75"/>
      <c r="QA494" s="75"/>
      <c r="QB494" s="75"/>
      <c r="QC494" s="75"/>
      <c r="QD494" s="75"/>
      <c r="QE494" s="75"/>
      <c r="QF494" s="75"/>
      <c r="QG494" s="75"/>
      <c r="QH494" s="75"/>
      <c r="QI494" s="75"/>
      <c r="QJ494" s="75"/>
      <c r="QK494" s="75"/>
      <c r="QL494" s="75"/>
      <c r="QM494" s="75"/>
      <c r="QN494" s="75"/>
      <c r="QO494" s="75"/>
      <c r="QP494" s="75"/>
      <c r="QQ494" s="75"/>
      <c r="QR494" s="75"/>
      <c r="QS494" s="75"/>
      <c r="QT494" s="75"/>
      <c r="QU494" s="75"/>
      <c r="QV494" s="75"/>
      <c r="QW494" s="75"/>
      <c r="QX494" s="75"/>
      <c r="QY494" s="75"/>
      <c r="QZ494" s="75"/>
      <c r="RA494" s="75"/>
      <c r="RB494" s="75"/>
      <c r="RC494" s="75"/>
      <c r="RD494" s="75"/>
      <c r="RE494" s="75"/>
      <c r="RF494" s="75"/>
      <c r="RG494" s="75"/>
      <c r="RH494" s="75"/>
      <c r="RI494" s="75"/>
      <c r="RJ494" s="75"/>
      <c r="RK494" s="75"/>
      <c r="RL494" s="75"/>
      <c r="RM494" s="75"/>
      <c r="RN494" s="75"/>
      <c r="RO494" s="75"/>
      <c r="RP494" s="75"/>
      <c r="RQ494" s="75"/>
      <c r="RR494" s="75"/>
      <c r="RS494" s="75"/>
      <c r="RT494" s="75"/>
      <c r="RU494" s="75"/>
      <c r="RV494" s="75"/>
      <c r="RW494" s="75"/>
      <c r="RX494" s="75"/>
      <c r="RY494" s="75"/>
      <c r="RZ494" s="75"/>
      <c r="SA494" s="75"/>
      <c r="SB494" s="75"/>
      <c r="SC494" s="75"/>
      <c r="SD494" s="75"/>
      <c r="SE494" s="75"/>
      <c r="SF494" s="75"/>
      <c r="SG494" s="75"/>
      <c r="SH494" s="75"/>
      <c r="SI494" s="75"/>
      <c r="SJ494" s="75"/>
      <c r="SK494" s="75"/>
      <c r="SL494" s="75"/>
      <c r="SM494" s="75"/>
      <c r="SN494" s="75"/>
      <c r="SO494" s="75"/>
      <c r="SP494" s="75"/>
      <c r="SQ494" s="75"/>
      <c r="SR494" s="75"/>
      <c r="SS494" s="75"/>
      <c r="ST494" s="75"/>
      <c r="SU494" s="75"/>
      <c r="SV494" s="75"/>
      <c r="SW494" s="75"/>
      <c r="SX494" s="75"/>
      <c r="SY494" s="75"/>
      <c r="SZ494" s="75"/>
      <c r="TA494" s="75"/>
      <c r="TB494" s="75"/>
      <c r="TC494" s="75"/>
      <c r="TD494" s="75"/>
      <c r="TE494" s="75"/>
      <c r="TF494" s="75"/>
      <c r="TG494" s="75"/>
      <c r="TH494" s="75"/>
      <c r="TI494" s="75"/>
      <c r="TJ494" s="75"/>
      <c r="TK494" s="75"/>
      <c r="TL494" s="75"/>
      <c r="TM494" s="75"/>
      <c r="TN494" s="75"/>
      <c r="TO494" s="75"/>
      <c r="TP494" s="75"/>
      <c r="TQ494" s="75"/>
      <c r="TR494" s="75"/>
      <c r="TS494" s="75"/>
      <c r="TT494" s="75"/>
      <c r="TU494" s="75"/>
      <c r="TV494" s="75"/>
      <c r="TW494" s="75"/>
      <c r="TX494" s="75"/>
      <c r="TY494" s="75"/>
      <c r="TZ494" s="75"/>
      <c r="UA494" s="75"/>
      <c r="UB494" s="75"/>
      <c r="UC494" s="75"/>
      <c r="UD494" s="75"/>
      <c r="UE494" s="75"/>
      <c r="UF494" s="75"/>
      <c r="UG494" s="75"/>
      <c r="UH494" s="75"/>
      <c r="UI494" s="75"/>
      <c r="UJ494" s="75"/>
      <c r="UK494" s="75"/>
      <c r="UL494" s="75"/>
      <c r="UM494" s="75"/>
      <c r="UN494" s="75"/>
      <c r="UO494" s="75"/>
      <c r="UP494" s="75"/>
      <c r="UQ494" s="75"/>
      <c r="UR494" s="75"/>
      <c r="US494" s="75"/>
      <c r="UT494" s="75"/>
      <c r="UU494" s="75"/>
      <c r="UV494" s="75"/>
      <c r="UW494" s="75"/>
      <c r="UX494" s="75"/>
      <c r="UY494" s="75"/>
      <c r="UZ494" s="75"/>
      <c r="VA494" s="75"/>
      <c r="VB494" s="75"/>
      <c r="VC494" s="75"/>
      <c r="VD494" s="75"/>
      <c r="VE494" s="75"/>
      <c r="VF494" s="75"/>
      <c r="VG494" s="75"/>
      <c r="VH494" s="75"/>
      <c r="VI494" s="75"/>
      <c r="VJ494" s="75"/>
      <c r="VK494" s="75"/>
      <c r="VL494" s="75"/>
      <c r="VM494" s="75"/>
      <c r="VN494" s="75"/>
      <c r="VO494" s="75"/>
      <c r="VP494" s="75"/>
      <c r="VQ494" s="75"/>
      <c r="VR494" s="75"/>
      <c r="VS494" s="75"/>
      <c r="VT494" s="75"/>
      <c r="VU494" s="75"/>
      <c r="VV494" s="75"/>
      <c r="VW494" s="75"/>
      <c r="VX494" s="75"/>
      <c r="VY494" s="75"/>
      <c r="VZ494" s="75"/>
      <c r="WA494" s="75"/>
      <c r="WB494" s="75"/>
      <c r="WC494" s="75"/>
      <c r="WD494" s="75"/>
      <c r="WE494" s="75"/>
      <c r="WF494" s="75"/>
      <c r="WG494" s="75"/>
      <c r="WH494" s="75"/>
      <c r="WI494" s="75"/>
      <c r="WJ494" s="75"/>
      <c r="WK494" s="75"/>
      <c r="WL494" s="75"/>
      <c r="WM494" s="75"/>
      <c r="WN494" s="75"/>
      <c r="WO494" s="75"/>
      <c r="WP494" s="75"/>
      <c r="WQ494" s="75"/>
      <c r="WR494" s="75"/>
      <c r="WS494" s="75"/>
      <c r="WT494" s="75"/>
      <c r="WU494" s="75"/>
      <c r="WV494" s="75"/>
      <c r="WW494" s="75"/>
      <c r="WX494" s="75"/>
      <c r="WY494" s="75"/>
      <c r="WZ494" s="75"/>
      <c r="XA494" s="75"/>
      <c r="XB494" s="75"/>
      <c r="XC494" s="75"/>
      <c r="XD494" s="75"/>
      <c r="XE494" s="75"/>
      <c r="XF494" s="75"/>
      <c r="XG494" s="75"/>
      <c r="XH494" s="75"/>
      <c r="XI494" s="75"/>
      <c r="XJ494" s="75"/>
      <c r="XK494" s="75"/>
      <c r="XL494" s="75"/>
      <c r="XM494" s="75"/>
      <c r="XN494" s="75"/>
      <c r="XO494" s="75"/>
      <c r="XP494" s="75"/>
      <c r="XQ494" s="75"/>
      <c r="XR494" s="75"/>
      <c r="XS494" s="75"/>
      <c r="XT494" s="75"/>
      <c r="XU494" s="75"/>
      <c r="XV494" s="75"/>
      <c r="XW494" s="75"/>
      <c r="XX494" s="75"/>
      <c r="XY494" s="75"/>
      <c r="XZ494" s="75"/>
      <c r="YA494" s="75"/>
      <c r="YB494" s="75"/>
      <c r="YC494" s="75"/>
      <c r="YD494" s="75"/>
      <c r="YE494" s="75"/>
      <c r="YF494" s="75"/>
      <c r="YG494" s="75"/>
      <c r="YH494" s="75"/>
      <c r="YI494" s="75"/>
      <c r="YJ494" s="75"/>
      <c r="YK494" s="75"/>
      <c r="YL494" s="75"/>
      <c r="YM494" s="75"/>
      <c r="YN494" s="75"/>
      <c r="YO494" s="75"/>
      <c r="YP494" s="75"/>
      <c r="YQ494" s="75"/>
      <c r="YR494" s="75"/>
      <c r="YS494" s="75"/>
      <c r="YT494" s="75"/>
      <c r="YU494" s="75"/>
      <c r="YV494" s="75"/>
      <c r="YW494" s="75"/>
      <c r="YX494" s="75"/>
      <c r="YY494" s="75"/>
      <c r="YZ494" s="75"/>
      <c r="ZA494" s="75"/>
      <c r="ZB494" s="75"/>
      <c r="ZC494" s="75"/>
      <c r="ZD494" s="75"/>
      <c r="ZE494" s="75"/>
      <c r="ZF494" s="75"/>
      <c r="ZG494" s="75"/>
      <c r="ZH494" s="75"/>
      <c r="ZI494" s="75"/>
      <c r="ZJ494" s="75"/>
      <c r="ZK494" s="75"/>
      <c r="ZL494" s="75"/>
      <c r="ZM494" s="75"/>
      <c r="ZN494" s="75"/>
      <c r="ZO494" s="75"/>
      <c r="ZP494" s="75"/>
      <c r="ZQ494" s="75"/>
      <c r="ZR494" s="75"/>
      <c r="ZS494" s="75"/>
      <c r="ZT494" s="75"/>
      <c r="ZU494" s="75"/>
      <c r="ZV494" s="75"/>
      <c r="ZW494" s="75"/>
      <c r="ZX494" s="75"/>
      <c r="ZY494" s="75"/>
      <c r="ZZ494" s="75"/>
      <c r="AAA494" s="75"/>
      <c r="AAB494" s="75"/>
      <c r="AAC494" s="75"/>
      <c r="AAD494" s="75"/>
      <c r="AAE494" s="75"/>
      <c r="AAF494" s="75"/>
      <c r="AAG494" s="75"/>
      <c r="AAH494" s="75"/>
      <c r="AAI494" s="75"/>
      <c r="AAJ494" s="75"/>
      <c r="AAK494" s="75"/>
      <c r="AAL494" s="75"/>
      <c r="AAM494" s="75"/>
      <c r="AAN494" s="75"/>
      <c r="AAO494" s="75"/>
      <c r="AAP494" s="75"/>
      <c r="AAQ494" s="75"/>
      <c r="AAR494" s="75"/>
      <c r="AAS494" s="75"/>
      <c r="AAT494" s="75"/>
      <c r="AAU494" s="75"/>
      <c r="AAV494" s="75"/>
      <c r="AAW494" s="75"/>
      <c r="AAX494" s="75"/>
      <c r="AAY494" s="75"/>
      <c r="AAZ494" s="75"/>
      <c r="ABA494" s="75"/>
      <c r="ABB494" s="75"/>
      <c r="ABC494" s="75"/>
      <c r="ABD494" s="75"/>
      <c r="ABE494" s="75"/>
      <c r="ABF494" s="75"/>
      <c r="ABG494" s="75"/>
      <c r="ABH494" s="75"/>
      <c r="ABI494" s="75"/>
      <c r="ABJ494" s="75"/>
      <c r="ABK494" s="75"/>
      <c r="ABL494" s="75"/>
      <c r="ABM494" s="75"/>
      <c r="ABN494" s="75"/>
      <c r="ABO494" s="75"/>
      <c r="ABP494" s="75"/>
      <c r="ABQ494" s="75"/>
      <c r="ABR494" s="75"/>
      <c r="ABS494" s="75"/>
      <c r="ABT494" s="75"/>
      <c r="ABU494" s="75"/>
      <c r="ABV494" s="75"/>
      <c r="ABW494" s="75"/>
      <c r="ABX494" s="75"/>
      <c r="ABY494" s="75"/>
      <c r="ABZ494" s="75"/>
      <c r="ACA494" s="75"/>
      <c r="ACB494" s="75"/>
      <c r="ACC494" s="75"/>
      <c r="ACD494" s="75"/>
      <c r="ACE494" s="75"/>
      <c r="ACF494" s="75"/>
      <c r="ACG494" s="75"/>
      <c r="ACH494" s="75"/>
      <c r="ACI494" s="75"/>
      <c r="ACJ494" s="75"/>
      <c r="ACK494" s="75"/>
      <c r="ACL494" s="75"/>
      <c r="ACM494" s="75"/>
      <c r="ACN494" s="75"/>
      <c r="ACO494" s="75"/>
      <c r="ACP494" s="75"/>
      <c r="ACQ494" s="75"/>
      <c r="ACR494" s="75"/>
      <c r="ACS494" s="75"/>
      <c r="ACT494" s="75"/>
      <c r="ACU494" s="75"/>
      <c r="ACV494" s="75"/>
      <c r="ACW494" s="75"/>
      <c r="ACX494" s="75"/>
      <c r="ACY494" s="75"/>
      <c r="ACZ494" s="75"/>
      <c r="ADA494" s="75"/>
      <c r="ADB494" s="75"/>
      <c r="ADC494" s="75"/>
      <c r="ADD494" s="75"/>
      <c r="ADE494" s="75"/>
      <c r="ADF494" s="75"/>
      <c r="ADG494" s="75"/>
      <c r="ADH494" s="75"/>
      <c r="ADI494" s="75"/>
      <c r="ADJ494" s="75"/>
      <c r="ADK494" s="75"/>
      <c r="ADL494" s="75"/>
      <c r="ADM494" s="75"/>
      <c r="ADN494" s="75"/>
      <c r="ADO494" s="75"/>
      <c r="ADP494" s="75"/>
      <c r="ADQ494" s="75"/>
      <c r="ADR494" s="75"/>
      <c r="ADS494" s="75"/>
      <c r="ADT494" s="75"/>
      <c r="ADU494" s="75"/>
      <c r="ADV494" s="75"/>
      <c r="ADW494" s="75"/>
      <c r="ADX494" s="75"/>
      <c r="ADY494" s="75"/>
      <c r="ADZ494" s="75"/>
      <c r="AEA494" s="75"/>
      <c r="AEB494" s="75"/>
      <c r="AEC494" s="75"/>
      <c r="AED494" s="75"/>
      <c r="AEE494" s="75"/>
      <c r="AEF494" s="75"/>
      <c r="AEG494" s="75"/>
      <c r="AEH494" s="75"/>
      <c r="AEI494" s="75"/>
      <c r="AEJ494" s="75"/>
      <c r="AEK494" s="75"/>
      <c r="AEL494" s="75"/>
      <c r="AEM494" s="75"/>
      <c r="AEN494" s="75"/>
      <c r="AEO494" s="75"/>
      <c r="AEP494" s="75"/>
      <c r="AEQ494" s="75"/>
      <c r="AER494" s="75"/>
      <c r="AES494" s="75"/>
      <c r="AET494" s="75"/>
      <c r="AEU494" s="75"/>
      <c r="AEV494" s="75"/>
      <c r="AEW494" s="75"/>
      <c r="AEX494" s="75"/>
      <c r="AEY494" s="75"/>
      <c r="AEZ494" s="75"/>
      <c r="AFA494" s="75"/>
      <c r="AFB494" s="75"/>
      <c r="AFC494" s="75"/>
      <c r="AFD494" s="75"/>
      <c r="AFE494" s="75"/>
      <c r="AFF494" s="75"/>
      <c r="AFG494" s="75"/>
      <c r="AFH494" s="75"/>
      <c r="AFI494" s="75"/>
      <c r="AFJ494" s="75"/>
      <c r="AFK494" s="75"/>
      <c r="AFL494" s="75"/>
      <c r="AFM494" s="75"/>
      <c r="AFN494" s="75"/>
      <c r="AFO494" s="75"/>
      <c r="AFP494" s="75"/>
      <c r="AFQ494" s="75"/>
      <c r="AFR494" s="75"/>
      <c r="AFS494" s="75"/>
      <c r="AFT494" s="75"/>
      <c r="AFU494" s="75"/>
      <c r="AFV494" s="75"/>
      <c r="AFW494" s="75"/>
      <c r="AFX494" s="75"/>
      <c r="AFY494" s="75"/>
      <c r="AFZ494" s="75"/>
      <c r="AGA494" s="75"/>
      <c r="AGB494" s="75"/>
      <c r="AGC494" s="75"/>
      <c r="AGD494" s="75"/>
      <c r="AGE494" s="75"/>
      <c r="AGF494" s="75"/>
      <c r="AGG494" s="75"/>
      <c r="AGH494" s="75"/>
      <c r="AGI494" s="75"/>
      <c r="AGJ494" s="75"/>
      <c r="AGK494" s="75"/>
      <c r="AGL494" s="75"/>
      <c r="AGM494" s="75"/>
      <c r="AGN494" s="75"/>
      <c r="AGO494" s="75"/>
      <c r="AGP494" s="75"/>
      <c r="AGQ494" s="75"/>
      <c r="AGR494" s="75"/>
      <c r="AGS494" s="75"/>
      <c r="AGT494" s="75"/>
      <c r="AGU494" s="75"/>
      <c r="AGV494" s="75"/>
      <c r="AGW494" s="75"/>
      <c r="AGX494" s="75"/>
      <c r="AGY494" s="75"/>
      <c r="AGZ494" s="75"/>
      <c r="AHA494" s="75"/>
      <c r="AHB494" s="75"/>
      <c r="AHC494" s="75"/>
      <c r="AHD494" s="75"/>
      <c r="AHE494" s="75"/>
      <c r="AHF494" s="75"/>
      <c r="AHG494" s="75"/>
      <c r="AHH494" s="75"/>
      <c r="AHI494" s="75"/>
      <c r="AHJ494" s="75"/>
      <c r="AHK494" s="75"/>
      <c r="AHL494" s="75"/>
      <c r="AHM494" s="75"/>
      <c r="AHN494" s="75"/>
      <c r="AHO494" s="75"/>
      <c r="AHP494" s="75"/>
      <c r="AHQ494" s="75"/>
      <c r="AHR494" s="75"/>
      <c r="AHS494" s="75"/>
      <c r="AHT494" s="75"/>
      <c r="AHU494" s="75"/>
      <c r="AHV494" s="75"/>
      <c r="AHW494" s="75"/>
      <c r="AHX494" s="75"/>
      <c r="AHY494" s="75"/>
      <c r="AHZ494" s="75"/>
      <c r="AIA494" s="75"/>
      <c r="AIB494" s="75"/>
      <c r="AIC494" s="75"/>
      <c r="AID494" s="75"/>
      <c r="AIE494" s="75"/>
      <c r="AIF494" s="75"/>
      <c r="AIG494" s="75"/>
      <c r="AIH494" s="75"/>
      <c r="AII494" s="75"/>
      <c r="AIJ494" s="75"/>
      <c r="AIK494" s="75"/>
      <c r="AIL494" s="75"/>
      <c r="AIM494" s="75"/>
      <c r="AIN494" s="75"/>
      <c r="AIO494" s="75"/>
      <c r="AIP494" s="75"/>
      <c r="AIQ494" s="75"/>
      <c r="AIR494" s="75"/>
      <c r="AIS494" s="75"/>
      <c r="AIT494" s="75"/>
      <c r="AIU494" s="75"/>
      <c r="AIV494" s="75"/>
      <c r="AIW494" s="75"/>
      <c r="AIX494" s="75"/>
      <c r="AIY494" s="75"/>
      <c r="AIZ494" s="75"/>
      <c r="AJA494" s="75"/>
      <c r="AJB494" s="75"/>
      <c r="AJC494" s="75"/>
      <c r="AJD494" s="75"/>
      <c r="AJE494" s="75"/>
      <c r="AJF494" s="75"/>
      <c r="AJG494" s="75"/>
      <c r="AJH494" s="75"/>
      <c r="AJI494" s="75"/>
      <c r="AJJ494" s="75"/>
      <c r="AJK494" s="75"/>
      <c r="AJL494" s="75"/>
      <c r="AJM494" s="75"/>
      <c r="AJN494" s="75"/>
      <c r="AJO494" s="75"/>
      <c r="AJP494" s="75"/>
      <c r="AJQ494" s="75"/>
      <c r="AJR494" s="75"/>
      <c r="AJS494" s="75"/>
      <c r="AJT494" s="75"/>
      <c r="AJU494" s="75"/>
      <c r="AJV494" s="75"/>
      <c r="AJW494" s="75"/>
      <c r="AJX494" s="75"/>
      <c r="AJY494" s="75"/>
      <c r="AJZ494" s="75"/>
      <c r="AKA494" s="75"/>
      <c r="AKB494" s="75"/>
      <c r="AKC494" s="75"/>
      <c r="AKD494" s="75"/>
      <c r="AKE494" s="75"/>
      <c r="AKF494" s="75"/>
      <c r="AKG494" s="75"/>
      <c r="AKH494" s="75"/>
      <c r="AKI494" s="75"/>
      <c r="AKJ494" s="75"/>
      <c r="AKK494" s="75"/>
      <c r="AKL494" s="75"/>
      <c r="AKM494" s="75"/>
      <c r="AKN494" s="75"/>
      <c r="AKO494" s="75"/>
      <c r="AKP494" s="75"/>
      <c r="AKQ494" s="75"/>
      <c r="AKR494" s="75"/>
      <c r="AKS494" s="75"/>
      <c r="AKT494" s="75"/>
      <c r="AKU494" s="75"/>
      <c r="AKV494" s="75"/>
      <c r="AKW494" s="75"/>
      <c r="AKX494" s="75"/>
      <c r="AKY494" s="75"/>
      <c r="AKZ494" s="75"/>
      <c r="ALA494" s="75"/>
      <c r="ALB494" s="75"/>
      <c r="ALC494" s="75"/>
      <c r="ALD494" s="75"/>
      <c r="ALE494" s="75"/>
      <c r="ALF494" s="75"/>
      <c r="ALG494" s="75"/>
      <c r="ALH494" s="75"/>
      <c r="ALI494" s="75"/>
      <c r="ALJ494" s="75"/>
      <c r="ALK494" s="75"/>
      <c r="ALL494" s="75"/>
      <c r="ALM494" s="75"/>
      <c r="ALN494" s="75"/>
      <c r="ALO494" s="75"/>
    </row>
    <row r="495" spans="1:1003" s="235" customFormat="1" ht="14.55" customHeight="1" outlineLevel="1" x14ac:dyDescent="0.25">
      <c r="A495" s="230" t="s">
        <v>1422</v>
      </c>
      <c r="B495" s="343" t="str">
        <f>"13.0413"</f>
        <v>13.0413</v>
      </c>
      <c r="C495" s="75" t="s">
        <v>2176</v>
      </c>
      <c r="D495" s="127" t="s">
        <v>2177</v>
      </c>
      <c r="E495" s="232"/>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c r="AY495" s="75"/>
      <c r="AZ495" s="75"/>
      <c r="BA495" s="75"/>
      <c r="BB495" s="75"/>
      <c r="BC495" s="75"/>
      <c r="BD495" s="75"/>
      <c r="BE495" s="75"/>
      <c r="BF495" s="75"/>
      <c r="BG495" s="75"/>
      <c r="BH495" s="75"/>
      <c r="BI495" s="75"/>
      <c r="BJ495" s="75"/>
      <c r="BK495" s="75"/>
      <c r="BL495" s="75"/>
      <c r="BM495" s="75"/>
      <c r="BN495" s="75"/>
      <c r="BO495" s="75"/>
      <c r="BP495" s="75"/>
      <c r="BQ495" s="75"/>
      <c r="BR495" s="75"/>
      <c r="BS495" s="75"/>
      <c r="BT495" s="75"/>
      <c r="BU495" s="75"/>
      <c r="BV495" s="75"/>
      <c r="BW495" s="75"/>
      <c r="BX495" s="75"/>
      <c r="BY495" s="75"/>
      <c r="BZ495" s="75"/>
      <c r="CA495" s="75"/>
      <c r="CB495" s="75"/>
      <c r="CC495" s="75"/>
      <c r="CD495" s="75"/>
      <c r="CE495" s="75"/>
      <c r="CF495" s="75"/>
      <c r="CG495" s="75"/>
      <c r="CH495" s="75"/>
      <c r="CI495" s="75"/>
      <c r="CJ495" s="75"/>
      <c r="CK495" s="75"/>
      <c r="CL495" s="75"/>
      <c r="CM495" s="75"/>
      <c r="CN495" s="75"/>
      <c r="CO495" s="75"/>
      <c r="CP495" s="75"/>
      <c r="CQ495" s="75"/>
      <c r="CR495" s="75"/>
      <c r="CS495" s="75"/>
      <c r="CT495" s="75"/>
      <c r="CU495" s="75"/>
      <c r="CV495" s="75"/>
      <c r="CW495" s="75"/>
      <c r="CX495" s="75"/>
      <c r="CY495" s="75"/>
      <c r="CZ495" s="75"/>
      <c r="DA495" s="75"/>
      <c r="DB495" s="75"/>
      <c r="DC495" s="75"/>
      <c r="DD495" s="75"/>
      <c r="DE495" s="75"/>
      <c r="DF495" s="75"/>
      <c r="DG495" s="75"/>
      <c r="DH495" s="75"/>
      <c r="DI495" s="75"/>
      <c r="DJ495" s="75"/>
      <c r="DK495" s="75"/>
      <c r="DL495" s="75"/>
      <c r="DM495" s="75"/>
      <c r="DN495" s="75"/>
      <c r="DO495" s="75"/>
      <c r="DP495" s="75"/>
      <c r="DQ495" s="75"/>
      <c r="DR495" s="75"/>
      <c r="DS495" s="75"/>
      <c r="DT495" s="75"/>
      <c r="DU495" s="75"/>
      <c r="DV495" s="75"/>
      <c r="DW495" s="75"/>
      <c r="DX495" s="75"/>
      <c r="DY495" s="75"/>
      <c r="DZ495" s="75"/>
      <c r="EA495" s="75"/>
      <c r="EB495" s="75"/>
      <c r="EC495" s="75"/>
      <c r="ED495" s="75"/>
      <c r="EE495" s="75"/>
      <c r="EF495" s="75"/>
      <c r="EG495" s="75"/>
      <c r="EH495" s="75"/>
      <c r="EI495" s="75"/>
      <c r="EJ495" s="75"/>
      <c r="EK495" s="75"/>
      <c r="EL495" s="75"/>
      <c r="EM495" s="75"/>
      <c r="EN495" s="75"/>
      <c r="EO495" s="75"/>
      <c r="EP495" s="75"/>
      <c r="EQ495" s="75"/>
      <c r="ER495" s="75"/>
      <c r="ES495" s="75"/>
      <c r="ET495" s="75"/>
      <c r="EU495" s="75"/>
      <c r="EV495" s="75"/>
      <c r="EW495" s="75"/>
      <c r="EX495" s="75"/>
      <c r="EY495" s="75"/>
      <c r="EZ495" s="75"/>
      <c r="FA495" s="75"/>
      <c r="FB495" s="75"/>
      <c r="FC495" s="75"/>
      <c r="FD495" s="75"/>
      <c r="FE495" s="75"/>
      <c r="FF495" s="75"/>
      <c r="FG495" s="75"/>
      <c r="FH495" s="75"/>
      <c r="FI495" s="75"/>
      <c r="FJ495" s="75"/>
      <c r="FK495" s="75"/>
      <c r="FL495" s="75"/>
      <c r="FM495" s="75"/>
      <c r="FN495" s="75"/>
      <c r="FO495" s="75"/>
      <c r="FP495" s="75"/>
      <c r="FQ495" s="75"/>
      <c r="FR495" s="75"/>
      <c r="FS495" s="75"/>
      <c r="FT495" s="75"/>
      <c r="FU495" s="75"/>
      <c r="FV495" s="75"/>
      <c r="FW495" s="75"/>
      <c r="FX495" s="75"/>
      <c r="FY495" s="75"/>
      <c r="FZ495" s="75"/>
      <c r="GA495" s="75"/>
      <c r="GB495" s="75"/>
      <c r="GC495" s="75"/>
      <c r="GD495" s="75"/>
      <c r="GE495" s="75"/>
      <c r="GF495" s="75"/>
      <c r="GG495" s="75"/>
      <c r="GH495" s="75"/>
      <c r="GI495" s="75"/>
      <c r="GJ495" s="75"/>
      <c r="GK495" s="75"/>
      <c r="GL495" s="75"/>
      <c r="GM495" s="75"/>
      <c r="GN495" s="75"/>
      <c r="GO495" s="75"/>
      <c r="GP495" s="75"/>
      <c r="GQ495" s="75"/>
      <c r="GR495" s="75"/>
      <c r="GS495" s="75"/>
      <c r="GT495" s="75"/>
      <c r="GU495" s="75"/>
      <c r="GV495" s="75"/>
      <c r="GW495" s="75"/>
      <c r="GX495" s="75"/>
      <c r="GY495" s="75"/>
      <c r="GZ495" s="75"/>
      <c r="HA495" s="75"/>
      <c r="HB495" s="75"/>
      <c r="HC495" s="75"/>
      <c r="HD495" s="75"/>
      <c r="HE495" s="75"/>
      <c r="HF495" s="75"/>
      <c r="HG495" s="75"/>
      <c r="HH495" s="75"/>
      <c r="HI495" s="75"/>
      <c r="HJ495" s="75"/>
      <c r="HK495" s="75"/>
      <c r="HL495" s="75"/>
      <c r="HM495" s="75"/>
      <c r="HN495" s="75"/>
      <c r="HO495" s="75"/>
      <c r="HP495" s="75"/>
      <c r="HQ495" s="75"/>
      <c r="HR495" s="75"/>
      <c r="HS495" s="75"/>
      <c r="HT495" s="75"/>
      <c r="HU495" s="75"/>
      <c r="HV495" s="75"/>
      <c r="HW495" s="75"/>
      <c r="HX495" s="75"/>
      <c r="HY495" s="75"/>
      <c r="HZ495" s="75"/>
      <c r="IA495" s="75"/>
      <c r="IB495" s="75"/>
      <c r="IC495" s="75"/>
      <c r="ID495" s="75"/>
      <c r="IE495" s="75"/>
      <c r="IF495" s="75"/>
      <c r="IG495" s="75"/>
      <c r="IH495" s="75"/>
      <c r="II495" s="75"/>
      <c r="IJ495" s="75"/>
      <c r="IK495" s="75"/>
      <c r="IL495" s="75"/>
      <c r="IM495" s="75"/>
      <c r="IN495" s="75"/>
      <c r="IO495" s="75"/>
      <c r="IP495" s="75"/>
      <c r="IQ495" s="75"/>
      <c r="IR495" s="75"/>
      <c r="IS495" s="75"/>
      <c r="IT495" s="75"/>
      <c r="IU495" s="75"/>
      <c r="IV495" s="75"/>
      <c r="IW495" s="75"/>
      <c r="IX495" s="75"/>
      <c r="IY495" s="75"/>
      <c r="IZ495" s="75"/>
      <c r="JA495" s="75"/>
      <c r="JB495" s="75"/>
      <c r="JC495" s="75"/>
      <c r="JD495" s="75"/>
      <c r="JE495" s="75"/>
      <c r="JF495" s="75"/>
      <c r="JG495" s="75"/>
      <c r="JH495" s="75"/>
      <c r="JI495" s="75"/>
      <c r="JJ495" s="75"/>
      <c r="JK495" s="75"/>
      <c r="JL495" s="75"/>
      <c r="JM495" s="75"/>
      <c r="JN495" s="75"/>
      <c r="JO495" s="75"/>
      <c r="JP495" s="75"/>
      <c r="JQ495" s="75"/>
      <c r="JR495" s="75"/>
      <c r="JS495" s="75"/>
      <c r="JT495" s="75"/>
      <c r="JU495" s="75"/>
      <c r="JV495" s="75"/>
      <c r="JW495" s="75"/>
      <c r="JX495" s="75"/>
      <c r="JY495" s="75"/>
      <c r="JZ495" s="75"/>
      <c r="KA495" s="75"/>
      <c r="KB495" s="75"/>
      <c r="KC495" s="75"/>
      <c r="KD495" s="75"/>
      <c r="KE495" s="75"/>
      <c r="KF495" s="75"/>
      <c r="KG495" s="75"/>
      <c r="KH495" s="75"/>
      <c r="KI495" s="75"/>
      <c r="KJ495" s="75"/>
      <c r="KK495" s="75"/>
      <c r="KL495" s="75"/>
      <c r="KM495" s="75"/>
      <c r="KN495" s="75"/>
      <c r="KO495" s="75"/>
      <c r="KP495" s="75"/>
      <c r="KQ495" s="75"/>
      <c r="KR495" s="75"/>
      <c r="KS495" s="75"/>
      <c r="KT495" s="75"/>
      <c r="KU495" s="75"/>
      <c r="KV495" s="75"/>
      <c r="KW495" s="75"/>
      <c r="KX495" s="75"/>
      <c r="KY495" s="75"/>
      <c r="KZ495" s="75"/>
      <c r="LA495" s="75"/>
      <c r="LB495" s="75"/>
      <c r="LC495" s="75"/>
      <c r="LD495" s="75"/>
      <c r="LE495" s="75"/>
      <c r="LF495" s="75"/>
      <c r="LG495" s="75"/>
      <c r="LH495" s="75"/>
      <c r="LI495" s="75"/>
      <c r="LJ495" s="75"/>
      <c r="LK495" s="75"/>
      <c r="LL495" s="75"/>
      <c r="LM495" s="75"/>
      <c r="LN495" s="75"/>
      <c r="LO495" s="75"/>
      <c r="LP495" s="75"/>
      <c r="LQ495" s="75"/>
      <c r="LR495" s="75"/>
      <c r="LS495" s="75"/>
      <c r="LT495" s="75"/>
      <c r="LU495" s="75"/>
      <c r="LV495" s="75"/>
      <c r="LW495" s="75"/>
      <c r="LX495" s="75"/>
      <c r="LY495" s="75"/>
      <c r="LZ495" s="75"/>
      <c r="MA495" s="75"/>
      <c r="MB495" s="75"/>
      <c r="MC495" s="75"/>
      <c r="MD495" s="75"/>
      <c r="ME495" s="75"/>
      <c r="MF495" s="75"/>
      <c r="MG495" s="75"/>
      <c r="MH495" s="75"/>
      <c r="MI495" s="75"/>
      <c r="MJ495" s="75"/>
      <c r="MK495" s="75"/>
      <c r="ML495" s="75"/>
      <c r="MM495" s="75"/>
      <c r="MN495" s="75"/>
      <c r="MO495" s="75"/>
      <c r="MP495" s="75"/>
      <c r="MQ495" s="75"/>
      <c r="MR495" s="75"/>
      <c r="MS495" s="75"/>
      <c r="MT495" s="75"/>
      <c r="MU495" s="75"/>
      <c r="MV495" s="75"/>
      <c r="MW495" s="75"/>
      <c r="MX495" s="75"/>
      <c r="MY495" s="75"/>
      <c r="MZ495" s="75"/>
      <c r="NA495" s="75"/>
      <c r="NB495" s="75"/>
      <c r="NC495" s="75"/>
      <c r="ND495" s="75"/>
      <c r="NE495" s="75"/>
      <c r="NF495" s="75"/>
      <c r="NG495" s="75"/>
      <c r="NH495" s="75"/>
      <c r="NI495" s="75"/>
      <c r="NJ495" s="75"/>
      <c r="NK495" s="75"/>
      <c r="NL495" s="75"/>
      <c r="NM495" s="75"/>
      <c r="NN495" s="75"/>
      <c r="NO495" s="75"/>
      <c r="NP495" s="75"/>
      <c r="NQ495" s="75"/>
      <c r="NR495" s="75"/>
      <c r="NS495" s="75"/>
      <c r="NT495" s="75"/>
      <c r="NU495" s="75"/>
      <c r="NV495" s="75"/>
      <c r="NW495" s="75"/>
      <c r="NX495" s="75"/>
      <c r="NY495" s="75"/>
      <c r="NZ495" s="75"/>
      <c r="OA495" s="75"/>
      <c r="OB495" s="75"/>
      <c r="OC495" s="75"/>
      <c r="OD495" s="75"/>
      <c r="OE495" s="75"/>
      <c r="OF495" s="75"/>
      <c r="OG495" s="75"/>
      <c r="OH495" s="75"/>
      <c r="OI495" s="75"/>
      <c r="OJ495" s="75"/>
      <c r="OK495" s="75"/>
      <c r="OL495" s="75"/>
      <c r="OM495" s="75"/>
      <c r="ON495" s="75"/>
      <c r="OO495" s="75"/>
      <c r="OP495" s="75"/>
      <c r="OQ495" s="75"/>
      <c r="OR495" s="75"/>
      <c r="OS495" s="75"/>
      <c r="OT495" s="75"/>
      <c r="OU495" s="75"/>
      <c r="OV495" s="75"/>
      <c r="OW495" s="75"/>
      <c r="OX495" s="75"/>
      <c r="OY495" s="75"/>
      <c r="OZ495" s="75"/>
      <c r="PA495" s="75"/>
      <c r="PB495" s="75"/>
      <c r="PC495" s="75"/>
      <c r="PD495" s="75"/>
      <c r="PE495" s="75"/>
      <c r="PF495" s="75"/>
      <c r="PG495" s="75"/>
      <c r="PH495" s="75"/>
      <c r="PI495" s="75"/>
      <c r="PJ495" s="75"/>
      <c r="PK495" s="75"/>
      <c r="PL495" s="75"/>
      <c r="PM495" s="75"/>
      <c r="PN495" s="75"/>
      <c r="PO495" s="75"/>
      <c r="PP495" s="75"/>
      <c r="PQ495" s="75"/>
      <c r="PR495" s="75"/>
      <c r="PS495" s="75"/>
      <c r="PT495" s="75"/>
      <c r="PU495" s="75"/>
      <c r="PV495" s="75"/>
      <c r="PW495" s="75"/>
      <c r="PX495" s="75"/>
      <c r="PY495" s="75"/>
      <c r="PZ495" s="75"/>
      <c r="QA495" s="75"/>
      <c r="QB495" s="75"/>
      <c r="QC495" s="75"/>
      <c r="QD495" s="75"/>
      <c r="QE495" s="75"/>
      <c r="QF495" s="75"/>
      <c r="QG495" s="75"/>
      <c r="QH495" s="75"/>
      <c r="QI495" s="75"/>
      <c r="QJ495" s="75"/>
      <c r="QK495" s="75"/>
      <c r="QL495" s="75"/>
      <c r="QM495" s="75"/>
      <c r="QN495" s="75"/>
      <c r="QO495" s="75"/>
      <c r="QP495" s="75"/>
      <c r="QQ495" s="75"/>
      <c r="QR495" s="75"/>
      <c r="QS495" s="75"/>
      <c r="QT495" s="75"/>
      <c r="QU495" s="75"/>
      <c r="QV495" s="75"/>
      <c r="QW495" s="75"/>
      <c r="QX495" s="75"/>
      <c r="QY495" s="75"/>
      <c r="QZ495" s="75"/>
      <c r="RA495" s="75"/>
      <c r="RB495" s="75"/>
      <c r="RC495" s="75"/>
      <c r="RD495" s="75"/>
      <c r="RE495" s="75"/>
      <c r="RF495" s="75"/>
      <c r="RG495" s="75"/>
      <c r="RH495" s="75"/>
      <c r="RI495" s="75"/>
      <c r="RJ495" s="75"/>
      <c r="RK495" s="75"/>
      <c r="RL495" s="75"/>
      <c r="RM495" s="75"/>
      <c r="RN495" s="75"/>
      <c r="RO495" s="75"/>
      <c r="RP495" s="75"/>
      <c r="RQ495" s="75"/>
      <c r="RR495" s="75"/>
      <c r="RS495" s="75"/>
      <c r="RT495" s="75"/>
      <c r="RU495" s="75"/>
      <c r="RV495" s="75"/>
      <c r="RW495" s="75"/>
      <c r="RX495" s="75"/>
      <c r="RY495" s="75"/>
      <c r="RZ495" s="75"/>
      <c r="SA495" s="75"/>
      <c r="SB495" s="75"/>
      <c r="SC495" s="75"/>
      <c r="SD495" s="75"/>
      <c r="SE495" s="75"/>
      <c r="SF495" s="75"/>
      <c r="SG495" s="75"/>
      <c r="SH495" s="75"/>
      <c r="SI495" s="75"/>
      <c r="SJ495" s="75"/>
      <c r="SK495" s="75"/>
      <c r="SL495" s="75"/>
      <c r="SM495" s="75"/>
      <c r="SN495" s="75"/>
      <c r="SO495" s="75"/>
      <c r="SP495" s="75"/>
      <c r="SQ495" s="75"/>
      <c r="SR495" s="75"/>
      <c r="SS495" s="75"/>
      <c r="ST495" s="75"/>
      <c r="SU495" s="75"/>
      <c r="SV495" s="75"/>
      <c r="SW495" s="75"/>
      <c r="SX495" s="75"/>
      <c r="SY495" s="75"/>
      <c r="SZ495" s="75"/>
      <c r="TA495" s="75"/>
      <c r="TB495" s="75"/>
      <c r="TC495" s="75"/>
      <c r="TD495" s="75"/>
      <c r="TE495" s="75"/>
      <c r="TF495" s="75"/>
      <c r="TG495" s="75"/>
      <c r="TH495" s="75"/>
      <c r="TI495" s="75"/>
      <c r="TJ495" s="75"/>
      <c r="TK495" s="75"/>
      <c r="TL495" s="75"/>
      <c r="TM495" s="75"/>
      <c r="TN495" s="75"/>
      <c r="TO495" s="75"/>
      <c r="TP495" s="75"/>
      <c r="TQ495" s="75"/>
      <c r="TR495" s="75"/>
      <c r="TS495" s="75"/>
      <c r="TT495" s="75"/>
      <c r="TU495" s="75"/>
      <c r="TV495" s="75"/>
      <c r="TW495" s="75"/>
      <c r="TX495" s="75"/>
      <c r="TY495" s="75"/>
      <c r="TZ495" s="75"/>
      <c r="UA495" s="75"/>
      <c r="UB495" s="75"/>
      <c r="UC495" s="75"/>
      <c r="UD495" s="75"/>
      <c r="UE495" s="75"/>
      <c r="UF495" s="75"/>
      <c r="UG495" s="75"/>
      <c r="UH495" s="75"/>
      <c r="UI495" s="75"/>
      <c r="UJ495" s="75"/>
      <c r="UK495" s="75"/>
      <c r="UL495" s="75"/>
      <c r="UM495" s="75"/>
      <c r="UN495" s="75"/>
      <c r="UO495" s="75"/>
      <c r="UP495" s="75"/>
      <c r="UQ495" s="75"/>
      <c r="UR495" s="75"/>
      <c r="US495" s="75"/>
      <c r="UT495" s="75"/>
      <c r="UU495" s="75"/>
      <c r="UV495" s="75"/>
      <c r="UW495" s="75"/>
      <c r="UX495" s="75"/>
      <c r="UY495" s="75"/>
      <c r="UZ495" s="75"/>
      <c r="VA495" s="75"/>
      <c r="VB495" s="75"/>
      <c r="VC495" s="75"/>
      <c r="VD495" s="75"/>
      <c r="VE495" s="75"/>
      <c r="VF495" s="75"/>
      <c r="VG495" s="75"/>
      <c r="VH495" s="75"/>
      <c r="VI495" s="75"/>
      <c r="VJ495" s="75"/>
      <c r="VK495" s="75"/>
      <c r="VL495" s="75"/>
      <c r="VM495" s="75"/>
      <c r="VN495" s="75"/>
      <c r="VO495" s="75"/>
      <c r="VP495" s="75"/>
      <c r="VQ495" s="75"/>
      <c r="VR495" s="75"/>
      <c r="VS495" s="75"/>
      <c r="VT495" s="75"/>
      <c r="VU495" s="75"/>
      <c r="VV495" s="75"/>
      <c r="VW495" s="75"/>
      <c r="VX495" s="75"/>
      <c r="VY495" s="75"/>
      <c r="VZ495" s="75"/>
      <c r="WA495" s="75"/>
      <c r="WB495" s="75"/>
      <c r="WC495" s="75"/>
      <c r="WD495" s="75"/>
      <c r="WE495" s="75"/>
      <c r="WF495" s="75"/>
      <c r="WG495" s="75"/>
      <c r="WH495" s="75"/>
      <c r="WI495" s="75"/>
      <c r="WJ495" s="75"/>
      <c r="WK495" s="75"/>
      <c r="WL495" s="75"/>
      <c r="WM495" s="75"/>
      <c r="WN495" s="75"/>
      <c r="WO495" s="75"/>
      <c r="WP495" s="75"/>
      <c r="WQ495" s="75"/>
      <c r="WR495" s="75"/>
      <c r="WS495" s="75"/>
      <c r="WT495" s="75"/>
      <c r="WU495" s="75"/>
      <c r="WV495" s="75"/>
      <c r="WW495" s="75"/>
      <c r="WX495" s="75"/>
      <c r="WY495" s="75"/>
      <c r="WZ495" s="75"/>
      <c r="XA495" s="75"/>
      <c r="XB495" s="75"/>
      <c r="XC495" s="75"/>
      <c r="XD495" s="75"/>
      <c r="XE495" s="75"/>
      <c r="XF495" s="75"/>
      <c r="XG495" s="75"/>
      <c r="XH495" s="75"/>
      <c r="XI495" s="75"/>
      <c r="XJ495" s="75"/>
      <c r="XK495" s="75"/>
      <c r="XL495" s="75"/>
      <c r="XM495" s="75"/>
      <c r="XN495" s="75"/>
      <c r="XO495" s="75"/>
      <c r="XP495" s="75"/>
      <c r="XQ495" s="75"/>
      <c r="XR495" s="75"/>
      <c r="XS495" s="75"/>
      <c r="XT495" s="75"/>
      <c r="XU495" s="75"/>
      <c r="XV495" s="75"/>
      <c r="XW495" s="75"/>
      <c r="XX495" s="75"/>
      <c r="XY495" s="75"/>
      <c r="XZ495" s="75"/>
      <c r="YA495" s="75"/>
      <c r="YB495" s="75"/>
      <c r="YC495" s="75"/>
      <c r="YD495" s="75"/>
      <c r="YE495" s="75"/>
      <c r="YF495" s="75"/>
      <c r="YG495" s="75"/>
      <c r="YH495" s="75"/>
      <c r="YI495" s="75"/>
      <c r="YJ495" s="75"/>
      <c r="YK495" s="75"/>
      <c r="YL495" s="75"/>
      <c r="YM495" s="75"/>
      <c r="YN495" s="75"/>
      <c r="YO495" s="75"/>
      <c r="YP495" s="75"/>
      <c r="YQ495" s="75"/>
      <c r="YR495" s="75"/>
      <c r="YS495" s="75"/>
      <c r="YT495" s="75"/>
      <c r="YU495" s="75"/>
      <c r="YV495" s="75"/>
      <c r="YW495" s="75"/>
      <c r="YX495" s="75"/>
      <c r="YY495" s="75"/>
      <c r="YZ495" s="75"/>
      <c r="ZA495" s="75"/>
      <c r="ZB495" s="75"/>
      <c r="ZC495" s="75"/>
      <c r="ZD495" s="75"/>
      <c r="ZE495" s="75"/>
      <c r="ZF495" s="75"/>
      <c r="ZG495" s="75"/>
      <c r="ZH495" s="75"/>
      <c r="ZI495" s="75"/>
      <c r="ZJ495" s="75"/>
      <c r="ZK495" s="75"/>
      <c r="ZL495" s="75"/>
      <c r="ZM495" s="75"/>
      <c r="ZN495" s="75"/>
      <c r="ZO495" s="75"/>
      <c r="ZP495" s="75"/>
      <c r="ZQ495" s="75"/>
      <c r="ZR495" s="75"/>
      <c r="ZS495" s="75"/>
      <c r="ZT495" s="75"/>
      <c r="ZU495" s="75"/>
      <c r="ZV495" s="75"/>
      <c r="ZW495" s="75"/>
      <c r="ZX495" s="75"/>
      <c r="ZY495" s="75"/>
      <c r="ZZ495" s="75"/>
      <c r="AAA495" s="75"/>
      <c r="AAB495" s="75"/>
      <c r="AAC495" s="75"/>
      <c r="AAD495" s="75"/>
      <c r="AAE495" s="75"/>
      <c r="AAF495" s="75"/>
      <c r="AAG495" s="75"/>
      <c r="AAH495" s="75"/>
      <c r="AAI495" s="75"/>
      <c r="AAJ495" s="75"/>
      <c r="AAK495" s="75"/>
      <c r="AAL495" s="75"/>
      <c r="AAM495" s="75"/>
      <c r="AAN495" s="75"/>
      <c r="AAO495" s="75"/>
      <c r="AAP495" s="75"/>
      <c r="AAQ495" s="75"/>
      <c r="AAR495" s="75"/>
      <c r="AAS495" s="75"/>
      <c r="AAT495" s="75"/>
      <c r="AAU495" s="75"/>
      <c r="AAV495" s="75"/>
      <c r="AAW495" s="75"/>
      <c r="AAX495" s="75"/>
      <c r="AAY495" s="75"/>
      <c r="AAZ495" s="75"/>
      <c r="ABA495" s="75"/>
      <c r="ABB495" s="75"/>
      <c r="ABC495" s="75"/>
      <c r="ABD495" s="75"/>
      <c r="ABE495" s="75"/>
      <c r="ABF495" s="75"/>
      <c r="ABG495" s="75"/>
      <c r="ABH495" s="75"/>
      <c r="ABI495" s="75"/>
      <c r="ABJ495" s="75"/>
      <c r="ABK495" s="75"/>
      <c r="ABL495" s="75"/>
      <c r="ABM495" s="75"/>
      <c r="ABN495" s="75"/>
      <c r="ABO495" s="75"/>
      <c r="ABP495" s="75"/>
      <c r="ABQ495" s="75"/>
      <c r="ABR495" s="75"/>
      <c r="ABS495" s="75"/>
      <c r="ABT495" s="75"/>
      <c r="ABU495" s="75"/>
      <c r="ABV495" s="75"/>
      <c r="ABW495" s="75"/>
      <c r="ABX495" s="75"/>
      <c r="ABY495" s="75"/>
      <c r="ABZ495" s="75"/>
      <c r="ACA495" s="75"/>
      <c r="ACB495" s="75"/>
      <c r="ACC495" s="75"/>
      <c r="ACD495" s="75"/>
      <c r="ACE495" s="75"/>
      <c r="ACF495" s="75"/>
      <c r="ACG495" s="75"/>
      <c r="ACH495" s="75"/>
      <c r="ACI495" s="75"/>
      <c r="ACJ495" s="75"/>
      <c r="ACK495" s="75"/>
      <c r="ACL495" s="75"/>
      <c r="ACM495" s="75"/>
      <c r="ACN495" s="75"/>
      <c r="ACO495" s="75"/>
      <c r="ACP495" s="75"/>
      <c r="ACQ495" s="75"/>
      <c r="ACR495" s="75"/>
      <c r="ACS495" s="75"/>
      <c r="ACT495" s="75"/>
      <c r="ACU495" s="75"/>
      <c r="ACV495" s="75"/>
      <c r="ACW495" s="75"/>
      <c r="ACX495" s="75"/>
      <c r="ACY495" s="75"/>
      <c r="ACZ495" s="75"/>
      <c r="ADA495" s="75"/>
      <c r="ADB495" s="75"/>
      <c r="ADC495" s="75"/>
      <c r="ADD495" s="75"/>
      <c r="ADE495" s="75"/>
      <c r="ADF495" s="75"/>
      <c r="ADG495" s="75"/>
      <c r="ADH495" s="75"/>
      <c r="ADI495" s="75"/>
      <c r="ADJ495" s="75"/>
      <c r="ADK495" s="75"/>
      <c r="ADL495" s="75"/>
      <c r="ADM495" s="75"/>
      <c r="ADN495" s="75"/>
      <c r="ADO495" s="75"/>
      <c r="ADP495" s="75"/>
      <c r="ADQ495" s="75"/>
      <c r="ADR495" s="75"/>
      <c r="ADS495" s="75"/>
      <c r="ADT495" s="75"/>
      <c r="ADU495" s="75"/>
      <c r="ADV495" s="75"/>
      <c r="ADW495" s="75"/>
      <c r="ADX495" s="75"/>
      <c r="ADY495" s="75"/>
      <c r="ADZ495" s="75"/>
      <c r="AEA495" s="75"/>
      <c r="AEB495" s="75"/>
      <c r="AEC495" s="75"/>
      <c r="AED495" s="75"/>
      <c r="AEE495" s="75"/>
      <c r="AEF495" s="75"/>
      <c r="AEG495" s="75"/>
      <c r="AEH495" s="75"/>
      <c r="AEI495" s="75"/>
      <c r="AEJ495" s="75"/>
      <c r="AEK495" s="75"/>
      <c r="AEL495" s="75"/>
      <c r="AEM495" s="75"/>
      <c r="AEN495" s="75"/>
      <c r="AEO495" s="75"/>
      <c r="AEP495" s="75"/>
      <c r="AEQ495" s="75"/>
      <c r="AER495" s="75"/>
      <c r="AES495" s="75"/>
      <c r="AET495" s="75"/>
      <c r="AEU495" s="75"/>
      <c r="AEV495" s="75"/>
      <c r="AEW495" s="75"/>
      <c r="AEX495" s="75"/>
      <c r="AEY495" s="75"/>
      <c r="AEZ495" s="75"/>
      <c r="AFA495" s="75"/>
      <c r="AFB495" s="75"/>
      <c r="AFC495" s="75"/>
      <c r="AFD495" s="75"/>
      <c r="AFE495" s="75"/>
      <c r="AFF495" s="75"/>
      <c r="AFG495" s="75"/>
      <c r="AFH495" s="75"/>
      <c r="AFI495" s="75"/>
      <c r="AFJ495" s="75"/>
      <c r="AFK495" s="75"/>
      <c r="AFL495" s="75"/>
      <c r="AFM495" s="75"/>
      <c r="AFN495" s="75"/>
      <c r="AFO495" s="75"/>
      <c r="AFP495" s="75"/>
      <c r="AFQ495" s="75"/>
      <c r="AFR495" s="75"/>
      <c r="AFS495" s="75"/>
      <c r="AFT495" s="75"/>
      <c r="AFU495" s="75"/>
      <c r="AFV495" s="75"/>
      <c r="AFW495" s="75"/>
      <c r="AFX495" s="75"/>
      <c r="AFY495" s="75"/>
      <c r="AFZ495" s="75"/>
      <c r="AGA495" s="75"/>
      <c r="AGB495" s="75"/>
      <c r="AGC495" s="75"/>
      <c r="AGD495" s="75"/>
      <c r="AGE495" s="75"/>
      <c r="AGF495" s="75"/>
      <c r="AGG495" s="75"/>
      <c r="AGH495" s="75"/>
      <c r="AGI495" s="75"/>
      <c r="AGJ495" s="75"/>
      <c r="AGK495" s="75"/>
      <c r="AGL495" s="75"/>
      <c r="AGM495" s="75"/>
      <c r="AGN495" s="75"/>
      <c r="AGO495" s="75"/>
      <c r="AGP495" s="75"/>
      <c r="AGQ495" s="75"/>
      <c r="AGR495" s="75"/>
      <c r="AGS495" s="75"/>
      <c r="AGT495" s="75"/>
      <c r="AGU495" s="75"/>
      <c r="AGV495" s="75"/>
      <c r="AGW495" s="75"/>
      <c r="AGX495" s="75"/>
      <c r="AGY495" s="75"/>
      <c r="AGZ495" s="75"/>
      <c r="AHA495" s="75"/>
      <c r="AHB495" s="75"/>
      <c r="AHC495" s="75"/>
      <c r="AHD495" s="75"/>
      <c r="AHE495" s="75"/>
      <c r="AHF495" s="75"/>
      <c r="AHG495" s="75"/>
      <c r="AHH495" s="75"/>
      <c r="AHI495" s="75"/>
      <c r="AHJ495" s="75"/>
      <c r="AHK495" s="75"/>
      <c r="AHL495" s="75"/>
      <c r="AHM495" s="75"/>
      <c r="AHN495" s="75"/>
      <c r="AHO495" s="75"/>
      <c r="AHP495" s="75"/>
      <c r="AHQ495" s="75"/>
      <c r="AHR495" s="75"/>
      <c r="AHS495" s="75"/>
      <c r="AHT495" s="75"/>
      <c r="AHU495" s="75"/>
      <c r="AHV495" s="75"/>
      <c r="AHW495" s="75"/>
      <c r="AHX495" s="75"/>
      <c r="AHY495" s="75"/>
      <c r="AHZ495" s="75"/>
      <c r="AIA495" s="75"/>
      <c r="AIB495" s="75"/>
      <c r="AIC495" s="75"/>
      <c r="AID495" s="75"/>
      <c r="AIE495" s="75"/>
      <c r="AIF495" s="75"/>
      <c r="AIG495" s="75"/>
      <c r="AIH495" s="75"/>
      <c r="AII495" s="75"/>
      <c r="AIJ495" s="75"/>
      <c r="AIK495" s="75"/>
      <c r="AIL495" s="75"/>
      <c r="AIM495" s="75"/>
      <c r="AIN495" s="75"/>
      <c r="AIO495" s="75"/>
      <c r="AIP495" s="75"/>
      <c r="AIQ495" s="75"/>
      <c r="AIR495" s="75"/>
      <c r="AIS495" s="75"/>
      <c r="AIT495" s="75"/>
      <c r="AIU495" s="75"/>
      <c r="AIV495" s="75"/>
      <c r="AIW495" s="75"/>
      <c r="AIX495" s="75"/>
      <c r="AIY495" s="75"/>
      <c r="AIZ495" s="75"/>
      <c r="AJA495" s="75"/>
      <c r="AJB495" s="75"/>
      <c r="AJC495" s="75"/>
      <c r="AJD495" s="75"/>
      <c r="AJE495" s="75"/>
      <c r="AJF495" s="75"/>
      <c r="AJG495" s="75"/>
      <c r="AJH495" s="75"/>
      <c r="AJI495" s="75"/>
      <c r="AJJ495" s="75"/>
      <c r="AJK495" s="75"/>
      <c r="AJL495" s="75"/>
      <c r="AJM495" s="75"/>
      <c r="AJN495" s="75"/>
      <c r="AJO495" s="75"/>
      <c r="AJP495" s="75"/>
      <c r="AJQ495" s="75"/>
      <c r="AJR495" s="75"/>
      <c r="AJS495" s="75"/>
      <c r="AJT495" s="75"/>
      <c r="AJU495" s="75"/>
      <c r="AJV495" s="75"/>
      <c r="AJW495" s="75"/>
      <c r="AJX495" s="75"/>
      <c r="AJY495" s="75"/>
      <c r="AJZ495" s="75"/>
      <c r="AKA495" s="75"/>
      <c r="AKB495" s="75"/>
      <c r="AKC495" s="75"/>
      <c r="AKD495" s="75"/>
      <c r="AKE495" s="75"/>
      <c r="AKF495" s="75"/>
      <c r="AKG495" s="75"/>
      <c r="AKH495" s="75"/>
      <c r="AKI495" s="75"/>
      <c r="AKJ495" s="75"/>
      <c r="AKK495" s="75"/>
      <c r="AKL495" s="75"/>
      <c r="AKM495" s="75"/>
      <c r="AKN495" s="75"/>
      <c r="AKO495" s="75"/>
      <c r="AKP495" s="75"/>
      <c r="AKQ495" s="75"/>
      <c r="AKR495" s="75"/>
      <c r="AKS495" s="75"/>
      <c r="AKT495" s="75"/>
      <c r="AKU495" s="75"/>
      <c r="AKV495" s="75"/>
      <c r="AKW495" s="75"/>
      <c r="AKX495" s="75"/>
      <c r="AKY495" s="75"/>
      <c r="AKZ495" s="75"/>
      <c r="ALA495" s="75"/>
      <c r="ALB495" s="75"/>
      <c r="ALC495" s="75"/>
      <c r="ALD495" s="75"/>
      <c r="ALE495" s="75"/>
      <c r="ALF495" s="75"/>
      <c r="ALG495" s="75"/>
      <c r="ALH495" s="75"/>
      <c r="ALI495" s="75"/>
      <c r="ALJ495" s="75"/>
      <c r="ALK495" s="75"/>
      <c r="ALL495" s="75"/>
      <c r="ALM495" s="75"/>
      <c r="ALN495" s="75"/>
      <c r="ALO495" s="75"/>
    </row>
    <row r="496" spans="1:1003" s="235" customFormat="1" ht="14.55" customHeight="1" outlineLevel="1" x14ac:dyDescent="0.25">
      <c r="A496" s="230" t="s">
        <v>1422</v>
      </c>
      <c r="B496" s="343" t="str">
        <f>"13.0414"</f>
        <v>13.0414</v>
      </c>
      <c r="C496" s="75" t="s">
        <v>2178</v>
      </c>
      <c r="D496" s="127" t="s">
        <v>2179</v>
      </c>
      <c r="E496" s="232"/>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c r="AY496" s="75"/>
      <c r="AZ496" s="75"/>
      <c r="BA496" s="75"/>
      <c r="BB496" s="75"/>
      <c r="BC496" s="75"/>
      <c r="BD496" s="75"/>
      <c r="BE496" s="75"/>
      <c r="BF496" s="75"/>
      <c r="BG496" s="75"/>
      <c r="BH496" s="75"/>
      <c r="BI496" s="75"/>
      <c r="BJ496" s="75"/>
      <c r="BK496" s="75"/>
      <c r="BL496" s="75"/>
      <c r="BM496" s="75"/>
      <c r="BN496" s="75"/>
      <c r="BO496" s="75"/>
      <c r="BP496" s="75"/>
      <c r="BQ496" s="75"/>
      <c r="BR496" s="75"/>
      <c r="BS496" s="75"/>
      <c r="BT496" s="75"/>
      <c r="BU496" s="75"/>
      <c r="BV496" s="75"/>
      <c r="BW496" s="75"/>
      <c r="BX496" s="75"/>
      <c r="BY496" s="75"/>
      <c r="BZ496" s="75"/>
      <c r="CA496" s="75"/>
      <c r="CB496" s="75"/>
      <c r="CC496" s="75"/>
      <c r="CD496" s="75"/>
      <c r="CE496" s="75"/>
      <c r="CF496" s="75"/>
      <c r="CG496" s="75"/>
      <c r="CH496" s="75"/>
      <c r="CI496" s="75"/>
      <c r="CJ496" s="75"/>
      <c r="CK496" s="75"/>
      <c r="CL496" s="75"/>
      <c r="CM496" s="75"/>
      <c r="CN496" s="75"/>
      <c r="CO496" s="75"/>
      <c r="CP496" s="75"/>
      <c r="CQ496" s="75"/>
      <c r="CR496" s="75"/>
      <c r="CS496" s="75"/>
      <c r="CT496" s="75"/>
      <c r="CU496" s="75"/>
      <c r="CV496" s="75"/>
      <c r="CW496" s="75"/>
      <c r="CX496" s="75"/>
      <c r="CY496" s="75"/>
      <c r="CZ496" s="75"/>
      <c r="DA496" s="75"/>
      <c r="DB496" s="75"/>
      <c r="DC496" s="75"/>
      <c r="DD496" s="75"/>
      <c r="DE496" s="75"/>
      <c r="DF496" s="75"/>
      <c r="DG496" s="75"/>
      <c r="DH496" s="75"/>
      <c r="DI496" s="75"/>
      <c r="DJ496" s="75"/>
      <c r="DK496" s="75"/>
      <c r="DL496" s="75"/>
      <c r="DM496" s="75"/>
      <c r="DN496" s="75"/>
      <c r="DO496" s="75"/>
      <c r="DP496" s="75"/>
      <c r="DQ496" s="75"/>
      <c r="DR496" s="75"/>
      <c r="DS496" s="75"/>
      <c r="DT496" s="75"/>
      <c r="DU496" s="75"/>
      <c r="DV496" s="75"/>
      <c r="DW496" s="75"/>
      <c r="DX496" s="75"/>
      <c r="DY496" s="75"/>
      <c r="DZ496" s="75"/>
      <c r="EA496" s="75"/>
      <c r="EB496" s="75"/>
      <c r="EC496" s="75"/>
      <c r="ED496" s="75"/>
      <c r="EE496" s="75"/>
      <c r="EF496" s="75"/>
      <c r="EG496" s="75"/>
      <c r="EH496" s="75"/>
      <c r="EI496" s="75"/>
      <c r="EJ496" s="75"/>
      <c r="EK496" s="75"/>
      <c r="EL496" s="75"/>
      <c r="EM496" s="75"/>
      <c r="EN496" s="75"/>
      <c r="EO496" s="75"/>
      <c r="EP496" s="75"/>
      <c r="EQ496" s="75"/>
      <c r="ER496" s="75"/>
      <c r="ES496" s="75"/>
      <c r="ET496" s="75"/>
      <c r="EU496" s="75"/>
      <c r="EV496" s="75"/>
      <c r="EW496" s="75"/>
      <c r="EX496" s="75"/>
      <c r="EY496" s="75"/>
      <c r="EZ496" s="75"/>
      <c r="FA496" s="75"/>
      <c r="FB496" s="75"/>
      <c r="FC496" s="75"/>
      <c r="FD496" s="75"/>
      <c r="FE496" s="75"/>
      <c r="FF496" s="75"/>
      <c r="FG496" s="75"/>
      <c r="FH496" s="75"/>
      <c r="FI496" s="75"/>
      <c r="FJ496" s="75"/>
      <c r="FK496" s="75"/>
      <c r="FL496" s="75"/>
      <c r="FM496" s="75"/>
      <c r="FN496" s="75"/>
      <c r="FO496" s="75"/>
      <c r="FP496" s="75"/>
      <c r="FQ496" s="75"/>
      <c r="FR496" s="75"/>
      <c r="FS496" s="75"/>
      <c r="FT496" s="75"/>
      <c r="FU496" s="75"/>
      <c r="FV496" s="75"/>
      <c r="FW496" s="75"/>
      <c r="FX496" s="75"/>
      <c r="FY496" s="75"/>
      <c r="FZ496" s="75"/>
      <c r="GA496" s="75"/>
      <c r="GB496" s="75"/>
      <c r="GC496" s="75"/>
      <c r="GD496" s="75"/>
      <c r="GE496" s="75"/>
      <c r="GF496" s="75"/>
      <c r="GG496" s="75"/>
      <c r="GH496" s="75"/>
      <c r="GI496" s="75"/>
      <c r="GJ496" s="75"/>
      <c r="GK496" s="75"/>
      <c r="GL496" s="75"/>
      <c r="GM496" s="75"/>
      <c r="GN496" s="75"/>
      <c r="GO496" s="75"/>
      <c r="GP496" s="75"/>
      <c r="GQ496" s="75"/>
      <c r="GR496" s="75"/>
      <c r="GS496" s="75"/>
      <c r="GT496" s="75"/>
      <c r="GU496" s="75"/>
      <c r="GV496" s="75"/>
      <c r="GW496" s="75"/>
      <c r="GX496" s="75"/>
      <c r="GY496" s="75"/>
      <c r="GZ496" s="75"/>
      <c r="HA496" s="75"/>
      <c r="HB496" s="75"/>
      <c r="HC496" s="75"/>
      <c r="HD496" s="75"/>
      <c r="HE496" s="75"/>
      <c r="HF496" s="75"/>
      <c r="HG496" s="75"/>
      <c r="HH496" s="75"/>
      <c r="HI496" s="75"/>
      <c r="HJ496" s="75"/>
      <c r="HK496" s="75"/>
      <c r="HL496" s="75"/>
      <c r="HM496" s="75"/>
      <c r="HN496" s="75"/>
      <c r="HO496" s="75"/>
      <c r="HP496" s="75"/>
      <c r="HQ496" s="75"/>
      <c r="HR496" s="75"/>
      <c r="HS496" s="75"/>
      <c r="HT496" s="75"/>
      <c r="HU496" s="75"/>
      <c r="HV496" s="75"/>
      <c r="HW496" s="75"/>
      <c r="HX496" s="75"/>
      <c r="HY496" s="75"/>
      <c r="HZ496" s="75"/>
      <c r="IA496" s="75"/>
      <c r="IB496" s="75"/>
      <c r="IC496" s="75"/>
      <c r="ID496" s="75"/>
      <c r="IE496" s="75"/>
      <c r="IF496" s="75"/>
      <c r="IG496" s="75"/>
      <c r="IH496" s="75"/>
      <c r="II496" s="75"/>
      <c r="IJ496" s="75"/>
      <c r="IK496" s="75"/>
      <c r="IL496" s="75"/>
      <c r="IM496" s="75"/>
      <c r="IN496" s="75"/>
      <c r="IO496" s="75"/>
      <c r="IP496" s="75"/>
      <c r="IQ496" s="75"/>
      <c r="IR496" s="75"/>
      <c r="IS496" s="75"/>
      <c r="IT496" s="75"/>
      <c r="IU496" s="75"/>
      <c r="IV496" s="75"/>
      <c r="IW496" s="75"/>
      <c r="IX496" s="75"/>
      <c r="IY496" s="75"/>
      <c r="IZ496" s="75"/>
      <c r="JA496" s="75"/>
      <c r="JB496" s="75"/>
      <c r="JC496" s="75"/>
      <c r="JD496" s="75"/>
      <c r="JE496" s="75"/>
      <c r="JF496" s="75"/>
      <c r="JG496" s="75"/>
      <c r="JH496" s="75"/>
      <c r="JI496" s="75"/>
      <c r="JJ496" s="75"/>
      <c r="JK496" s="75"/>
      <c r="JL496" s="75"/>
      <c r="JM496" s="75"/>
      <c r="JN496" s="75"/>
      <c r="JO496" s="75"/>
      <c r="JP496" s="75"/>
      <c r="JQ496" s="75"/>
      <c r="JR496" s="75"/>
      <c r="JS496" s="75"/>
      <c r="JT496" s="75"/>
      <c r="JU496" s="75"/>
      <c r="JV496" s="75"/>
      <c r="JW496" s="75"/>
      <c r="JX496" s="75"/>
      <c r="JY496" s="75"/>
      <c r="JZ496" s="75"/>
      <c r="KA496" s="75"/>
      <c r="KB496" s="75"/>
      <c r="KC496" s="75"/>
      <c r="KD496" s="75"/>
      <c r="KE496" s="75"/>
      <c r="KF496" s="75"/>
      <c r="KG496" s="75"/>
      <c r="KH496" s="75"/>
      <c r="KI496" s="75"/>
      <c r="KJ496" s="75"/>
      <c r="KK496" s="75"/>
      <c r="KL496" s="75"/>
      <c r="KM496" s="75"/>
      <c r="KN496" s="75"/>
      <c r="KO496" s="75"/>
      <c r="KP496" s="75"/>
      <c r="KQ496" s="75"/>
      <c r="KR496" s="75"/>
      <c r="KS496" s="75"/>
      <c r="KT496" s="75"/>
      <c r="KU496" s="75"/>
      <c r="KV496" s="75"/>
      <c r="KW496" s="75"/>
      <c r="KX496" s="75"/>
      <c r="KY496" s="75"/>
      <c r="KZ496" s="75"/>
      <c r="LA496" s="75"/>
      <c r="LB496" s="75"/>
      <c r="LC496" s="75"/>
      <c r="LD496" s="75"/>
      <c r="LE496" s="75"/>
      <c r="LF496" s="75"/>
      <c r="LG496" s="75"/>
      <c r="LH496" s="75"/>
      <c r="LI496" s="75"/>
      <c r="LJ496" s="75"/>
      <c r="LK496" s="75"/>
      <c r="LL496" s="75"/>
      <c r="LM496" s="75"/>
      <c r="LN496" s="75"/>
      <c r="LO496" s="75"/>
      <c r="LP496" s="75"/>
      <c r="LQ496" s="75"/>
      <c r="LR496" s="75"/>
      <c r="LS496" s="75"/>
      <c r="LT496" s="75"/>
      <c r="LU496" s="75"/>
      <c r="LV496" s="75"/>
      <c r="LW496" s="75"/>
      <c r="LX496" s="75"/>
      <c r="LY496" s="75"/>
      <c r="LZ496" s="75"/>
      <c r="MA496" s="75"/>
      <c r="MB496" s="75"/>
      <c r="MC496" s="75"/>
      <c r="MD496" s="75"/>
      <c r="ME496" s="75"/>
      <c r="MF496" s="75"/>
      <c r="MG496" s="75"/>
      <c r="MH496" s="75"/>
      <c r="MI496" s="75"/>
      <c r="MJ496" s="75"/>
      <c r="MK496" s="75"/>
      <c r="ML496" s="75"/>
      <c r="MM496" s="75"/>
      <c r="MN496" s="75"/>
      <c r="MO496" s="75"/>
      <c r="MP496" s="75"/>
      <c r="MQ496" s="75"/>
      <c r="MR496" s="75"/>
      <c r="MS496" s="75"/>
      <c r="MT496" s="75"/>
      <c r="MU496" s="75"/>
      <c r="MV496" s="75"/>
      <c r="MW496" s="75"/>
      <c r="MX496" s="75"/>
      <c r="MY496" s="75"/>
      <c r="MZ496" s="75"/>
      <c r="NA496" s="75"/>
      <c r="NB496" s="75"/>
      <c r="NC496" s="75"/>
      <c r="ND496" s="75"/>
      <c r="NE496" s="75"/>
      <c r="NF496" s="75"/>
      <c r="NG496" s="75"/>
      <c r="NH496" s="75"/>
      <c r="NI496" s="75"/>
      <c r="NJ496" s="75"/>
      <c r="NK496" s="75"/>
      <c r="NL496" s="75"/>
      <c r="NM496" s="75"/>
      <c r="NN496" s="75"/>
      <c r="NO496" s="75"/>
      <c r="NP496" s="75"/>
      <c r="NQ496" s="75"/>
      <c r="NR496" s="75"/>
      <c r="NS496" s="75"/>
      <c r="NT496" s="75"/>
      <c r="NU496" s="75"/>
      <c r="NV496" s="75"/>
      <c r="NW496" s="75"/>
      <c r="NX496" s="75"/>
      <c r="NY496" s="75"/>
      <c r="NZ496" s="75"/>
      <c r="OA496" s="75"/>
      <c r="OB496" s="75"/>
      <c r="OC496" s="75"/>
      <c r="OD496" s="75"/>
      <c r="OE496" s="75"/>
      <c r="OF496" s="75"/>
      <c r="OG496" s="75"/>
      <c r="OH496" s="75"/>
      <c r="OI496" s="75"/>
      <c r="OJ496" s="75"/>
      <c r="OK496" s="75"/>
      <c r="OL496" s="75"/>
      <c r="OM496" s="75"/>
      <c r="ON496" s="75"/>
      <c r="OO496" s="75"/>
      <c r="OP496" s="75"/>
      <c r="OQ496" s="75"/>
      <c r="OR496" s="75"/>
      <c r="OS496" s="75"/>
      <c r="OT496" s="75"/>
      <c r="OU496" s="75"/>
      <c r="OV496" s="75"/>
      <c r="OW496" s="75"/>
      <c r="OX496" s="75"/>
      <c r="OY496" s="75"/>
      <c r="OZ496" s="75"/>
      <c r="PA496" s="75"/>
      <c r="PB496" s="75"/>
      <c r="PC496" s="75"/>
      <c r="PD496" s="75"/>
      <c r="PE496" s="75"/>
      <c r="PF496" s="75"/>
      <c r="PG496" s="75"/>
      <c r="PH496" s="75"/>
      <c r="PI496" s="75"/>
      <c r="PJ496" s="75"/>
      <c r="PK496" s="75"/>
      <c r="PL496" s="75"/>
      <c r="PM496" s="75"/>
      <c r="PN496" s="75"/>
      <c r="PO496" s="75"/>
      <c r="PP496" s="75"/>
      <c r="PQ496" s="75"/>
      <c r="PR496" s="75"/>
      <c r="PS496" s="75"/>
      <c r="PT496" s="75"/>
      <c r="PU496" s="75"/>
      <c r="PV496" s="75"/>
      <c r="PW496" s="75"/>
      <c r="PX496" s="75"/>
      <c r="PY496" s="75"/>
      <c r="PZ496" s="75"/>
      <c r="QA496" s="75"/>
      <c r="QB496" s="75"/>
      <c r="QC496" s="75"/>
      <c r="QD496" s="75"/>
      <c r="QE496" s="75"/>
      <c r="QF496" s="75"/>
      <c r="QG496" s="75"/>
      <c r="QH496" s="75"/>
      <c r="QI496" s="75"/>
      <c r="QJ496" s="75"/>
      <c r="QK496" s="75"/>
      <c r="QL496" s="75"/>
      <c r="QM496" s="75"/>
      <c r="QN496" s="75"/>
      <c r="QO496" s="75"/>
      <c r="QP496" s="75"/>
      <c r="QQ496" s="75"/>
      <c r="QR496" s="75"/>
      <c r="QS496" s="75"/>
      <c r="QT496" s="75"/>
      <c r="QU496" s="75"/>
      <c r="QV496" s="75"/>
      <c r="QW496" s="75"/>
      <c r="QX496" s="75"/>
      <c r="QY496" s="75"/>
      <c r="QZ496" s="75"/>
      <c r="RA496" s="75"/>
      <c r="RB496" s="75"/>
      <c r="RC496" s="75"/>
      <c r="RD496" s="75"/>
      <c r="RE496" s="75"/>
      <c r="RF496" s="75"/>
      <c r="RG496" s="75"/>
      <c r="RH496" s="75"/>
      <c r="RI496" s="75"/>
      <c r="RJ496" s="75"/>
      <c r="RK496" s="75"/>
      <c r="RL496" s="75"/>
      <c r="RM496" s="75"/>
      <c r="RN496" s="75"/>
      <c r="RO496" s="75"/>
      <c r="RP496" s="75"/>
      <c r="RQ496" s="75"/>
      <c r="RR496" s="75"/>
      <c r="RS496" s="75"/>
      <c r="RT496" s="75"/>
      <c r="RU496" s="75"/>
      <c r="RV496" s="75"/>
      <c r="RW496" s="75"/>
      <c r="RX496" s="75"/>
      <c r="RY496" s="75"/>
      <c r="RZ496" s="75"/>
      <c r="SA496" s="75"/>
      <c r="SB496" s="75"/>
      <c r="SC496" s="75"/>
      <c r="SD496" s="75"/>
      <c r="SE496" s="75"/>
      <c r="SF496" s="75"/>
      <c r="SG496" s="75"/>
      <c r="SH496" s="75"/>
      <c r="SI496" s="75"/>
      <c r="SJ496" s="75"/>
      <c r="SK496" s="75"/>
      <c r="SL496" s="75"/>
      <c r="SM496" s="75"/>
      <c r="SN496" s="75"/>
      <c r="SO496" s="75"/>
      <c r="SP496" s="75"/>
      <c r="SQ496" s="75"/>
      <c r="SR496" s="75"/>
      <c r="SS496" s="75"/>
      <c r="ST496" s="75"/>
      <c r="SU496" s="75"/>
      <c r="SV496" s="75"/>
      <c r="SW496" s="75"/>
      <c r="SX496" s="75"/>
      <c r="SY496" s="75"/>
      <c r="SZ496" s="75"/>
      <c r="TA496" s="75"/>
      <c r="TB496" s="75"/>
      <c r="TC496" s="75"/>
      <c r="TD496" s="75"/>
      <c r="TE496" s="75"/>
      <c r="TF496" s="75"/>
      <c r="TG496" s="75"/>
      <c r="TH496" s="75"/>
      <c r="TI496" s="75"/>
      <c r="TJ496" s="75"/>
      <c r="TK496" s="75"/>
      <c r="TL496" s="75"/>
      <c r="TM496" s="75"/>
      <c r="TN496" s="75"/>
      <c r="TO496" s="75"/>
      <c r="TP496" s="75"/>
      <c r="TQ496" s="75"/>
      <c r="TR496" s="75"/>
      <c r="TS496" s="75"/>
      <c r="TT496" s="75"/>
      <c r="TU496" s="75"/>
      <c r="TV496" s="75"/>
      <c r="TW496" s="75"/>
      <c r="TX496" s="75"/>
      <c r="TY496" s="75"/>
      <c r="TZ496" s="75"/>
      <c r="UA496" s="75"/>
      <c r="UB496" s="75"/>
      <c r="UC496" s="75"/>
      <c r="UD496" s="75"/>
      <c r="UE496" s="75"/>
      <c r="UF496" s="75"/>
      <c r="UG496" s="75"/>
      <c r="UH496" s="75"/>
      <c r="UI496" s="75"/>
      <c r="UJ496" s="75"/>
      <c r="UK496" s="75"/>
      <c r="UL496" s="75"/>
      <c r="UM496" s="75"/>
      <c r="UN496" s="75"/>
      <c r="UO496" s="75"/>
      <c r="UP496" s="75"/>
      <c r="UQ496" s="75"/>
      <c r="UR496" s="75"/>
      <c r="US496" s="75"/>
      <c r="UT496" s="75"/>
      <c r="UU496" s="75"/>
      <c r="UV496" s="75"/>
      <c r="UW496" s="75"/>
      <c r="UX496" s="75"/>
      <c r="UY496" s="75"/>
      <c r="UZ496" s="75"/>
      <c r="VA496" s="75"/>
      <c r="VB496" s="75"/>
      <c r="VC496" s="75"/>
      <c r="VD496" s="75"/>
      <c r="VE496" s="75"/>
      <c r="VF496" s="75"/>
      <c r="VG496" s="75"/>
      <c r="VH496" s="75"/>
      <c r="VI496" s="75"/>
      <c r="VJ496" s="75"/>
      <c r="VK496" s="75"/>
      <c r="VL496" s="75"/>
      <c r="VM496" s="75"/>
      <c r="VN496" s="75"/>
      <c r="VO496" s="75"/>
      <c r="VP496" s="75"/>
      <c r="VQ496" s="75"/>
      <c r="VR496" s="75"/>
      <c r="VS496" s="75"/>
      <c r="VT496" s="75"/>
      <c r="VU496" s="75"/>
      <c r="VV496" s="75"/>
      <c r="VW496" s="75"/>
      <c r="VX496" s="75"/>
      <c r="VY496" s="75"/>
      <c r="VZ496" s="75"/>
      <c r="WA496" s="75"/>
      <c r="WB496" s="75"/>
      <c r="WC496" s="75"/>
      <c r="WD496" s="75"/>
      <c r="WE496" s="75"/>
      <c r="WF496" s="75"/>
      <c r="WG496" s="75"/>
      <c r="WH496" s="75"/>
      <c r="WI496" s="75"/>
      <c r="WJ496" s="75"/>
      <c r="WK496" s="75"/>
      <c r="WL496" s="75"/>
      <c r="WM496" s="75"/>
      <c r="WN496" s="75"/>
      <c r="WO496" s="75"/>
      <c r="WP496" s="75"/>
      <c r="WQ496" s="75"/>
      <c r="WR496" s="75"/>
      <c r="WS496" s="75"/>
      <c r="WT496" s="75"/>
      <c r="WU496" s="75"/>
      <c r="WV496" s="75"/>
      <c r="WW496" s="75"/>
      <c r="WX496" s="75"/>
      <c r="WY496" s="75"/>
      <c r="WZ496" s="75"/>
      <c r="XA496" s="75"/>
      <c r="XB496" s="75"/>
      <c r="XC496" s="75"/>
      <c r="XD496" s="75"/>
      <c r="XE496" s="75"/>
      <c r="XF496" s="75"/>
      <c r="XG496" s="75"/>
      <c r="XH496" s="75"/>
      <c r="XI496" s="75"/>
      <c r="XJ496" s="75"/>
      <c r="XK496" s="75"/>
      <c r="XL496" s="75"/>
      <c r="XM496" s="75"/>
      <c r="XN496" s="75"/>
      <c r="XO496" s="75"/>
      <c r="XP496" s="75"/>
      <c r="XQ496" s="75"/>
      <c r="XR496" s="75"/>
      <c r="XS496" s="75"/>
      <c r="XT496" s="75"/>
      <c r="XU496" s="75"/>
      <c r="XV496" s="75"/>
      <c r="XW496" s="75"/>
      <c r="XX496" s="75"/>
      <c r="XY496" s="75"/>
      <c r="XZ496" s="75"/>
      <c r="YA496" s="75"/>
      <c r="YB496" s="75"/>
      <c r="YC496" s="75"/>
      <c r="YD496" s="75"/>
      <c r="YE496" s="75"/>
      <c r="YF496" s="75"/>
      <c r="YG496" s="75"/>
      <c r="YH496" s="75"/>
      <c r="YI496" s="75"/>
      <c r="YJ496" s="75"/>
      <c r="YK496" s="75"/>
      <c r="YL496" s="75"/>
      <c r="YM496" s="75"/>
      <c r="YN496" s="75"/>
      <c r="YO496" s="75"/>
      <c r="YP496" s="75"/>
      <c r="YQ496" s="75"/>
      <c r="YR496" s="75"/>
      <c r="YS496" s="75"/>
      <c r="YT496" s="75"/>
      <c r="YU496" s="75"/>
      <c r="YV496" s="75"/>
      <c r="YW496" s="75"/>
      <c r="YX496" s="75"/>
      <c r="YY496" s="75"/>
      <c r="YZ496" s="75"/>
      <c r="ZA496" s="75"/>
      <c r="ZB496" s="75"/>
      <c r="ZC496" s="75"/>
      <c r="ZD496" s="75"/>
      <c r="ZE496" s="75"/>
      <c r="ZF496" s="75"/>
      <c r="ZG496" s="75"/>
      <c r="ZH496" s="75"/>
      <c r="ZI496" s="75"/>
      <c r="ZJ496" s="75"/>
      <c r="ZK496" s="75"/>
      <c r="ZL496" s="75"/>
      <c r="ZM496" s="75"/>
      <c r="ZN496" s="75"/>
      <c r="ZO496" s="75"/>
      <c r="ZP496" s="75"/>
      <c r="ZQ496" s="75"/>
      <c r="ZR496" s="75"/>
      <c r="ZS496" s="75"/>
      <c r="ZT496" s="75"/>
      <c r="ZU496" s="75"/>
      <c r="ZV496" s="75"/>
      <c r="ZW496" s="75"/>
      <c r="ZX496" s="75"/>
      <c r="ZY496" s="75"/>
      <c r="ZZ496" s="75"/>
      <c r="AAA496" s="75"/>
      <c r="AAB496" s="75"/>
      <c r="AAC496" s="75"/>
      <c r="AAD496" s="75"/>
      <c r="AAE496" s="75"/>
      <c r="AAF496" s="75"/>
      <c r="AAG496" s="75"/>
      <c r="AAH496" s="75"/>
      <c r="AAI496" s="75"/>
      <c r="AAJ496" s="75"/>
      <c r="AAK496" s="75"/>
      <c r="AAL496" s="75"/>
      <c r="AAM496" s="75"/>
      <c r="AAN496" s="75"/>
      <c r="AAO496" s="75"/>
      <c r="AAP496" s="75"/>
      <c r="AAQ496" s="75"/>
      <c r="AAR496" s="75"/>
      <c r="AAS496" s="75"/>
      <c r="AAT496" s="75"/>
      <c r="AAU496" s="75"/>
      <c r="AAV496" s="75"/>
      <c r="AAW496" s="75"/>
      <c r="AAX496" s="75"/>
      <c r="AAY496" s="75"/>
      <c r="AAZ496" s="75"/>
      <c r="ABA496" s="75"/>
      <c r="ABB496" s="75"/>
      <c r="ABC496" s="75"/>
      <c r="ABD496" s="75"/>
      <c r="ABE496" s="75"/>
      <c r="ABF496" s="75"/>
      <c r="ABG496" s="75"/>
      <c r="ABH496" s="75"/>
      <c r="ABI496" s="75"/>
      <c r="ABJ496" s="75"/>
      <c r="ABK496" s="75"/>
      <c r="ABL496" s="75"/>
      <c r="ABM496" s="75"/>
      <c r="ABN496" s="75"/>
      <c r="ABO496" s="75"/>
      <c r="ABP496" s="75"/>
      <c r="ABQ496" s="75"/>
      <c r="ABR496" s="75"/>
      <c r="ABS496" s="75"/>
      <c r="ABT496" s="75"/>
      <c r="ABU496" s="75"/>
      <c r="ABV496" s="75"/>
      <c r="ABW496" s="75"/>
      <c r="ABX496" s="75"/>
      <c r="ABY496" s="75"/>
      <c r="ABZ496" s="75"/>
      <c r="ACA496" s="75"/>
      <c r="ACB496" s="75"/>
      <c r="ACC496" s="75"/>
      <c r="ACD496" s="75"/>
      <c r="ACE496" s="75"/>
      <c r="ACF496" s="75"/>
      <c r="ACG496" s="75"/>
      <c r="ACH496" s="75"/>
      <c r="ACI496" s="75"/>
      <c r="ACJ496" s="75"/>
      <c r="ACK496" s="75"/>
      <c r="ACL496" s="75"/>
      <c r="ACM496" s="75"/>
      <c r="ACN496" s="75"/>
      <c r="ACO496" s="75"/>
      <c r="ACP496" s="75"/>
      <c r="ACQ496" s="75"/>
      <c r="ACR496" s="75"/>
      <c r="ACS496" s="75"/>
      <c r="ACT496" s="75"/>
      <c r="ACU496" s="75"/>
      <c r="ACV496" s="75"/>
      <c r="ACW496" s="75"/>
      <c r="ACX496" s="75"/>
      <c r="ACY496" s="75"/>
      <c r="ACZ496" s="75"/>
      <c r="ADA496" s="75"/>
      <c r="ADB496" s="75"/>
      <c r="ADC496" s="75"/>
      <c r="ADD496" s="75"/>
      <c r="ADE496" s="75"/>
      <c r="ADF496" s="75"/>
      <c r="ADG496" s="75"/>
      <c r="ADH496" s="75"/>
      <c r="ADI496" s="75"/>
      <c r="ADJ496" s="75"/>
      <c r="ADK496" s="75"/>
      <c r="ADL496" s="75"/>
      <c r="ADM496" s="75"/>
      <c r="ADN496" s="75"/>
      <c r="ADO496" s="75"/>
      <c r="ADP496" s="75"/>
      <c r="ADQ496" s="75"/>
      <c r="ADR496" s="75"/>
      <c r="ADS496" s="75"/>
      <c r="ADT496" s="75"/>
      <c r="ADU496" s="75"/>
      <c r="ADV496" s="75"/>
      <c r="ADW496" s="75"/>
      <c r="ADX496" s="75"/>
      <c r="ADY496" s="75"/>
      <c r="ADZ496" s="75"/>
      <c r="AEA496" s="75"/>
      <c r="AEB496" s="75"/>
      <c r="AEC496" s="75"/>
      <c r="AED496" s="75"/>
      <c r="AEE496" s="75"/>
      <c r="AEF496" s="75"/>
      <c r="AEG496" s="75"/>
      <c r="AEH496" s="75"/>
      <c r="AEI496" s="75"/>
      <c r="AEJ496" s="75"/>
      <c r="AEK496" s="75"/>
      <c r="AEL496" s="75"/>
      <c r="AEM496" s="75"/>
      <c r="AEN496" s="75"/>
      <c r="AEO496" s="75"/>
      <c r="AEP496" s="75"/>
      <c r="AEQ496" s="75"/>
      <c r="AER496" s="75"/>
      <c r="AES496" s="75"/>
      <c r="AET496" s="75"/>
      <c r="AEU496" s="75"/>
      <c r="AEV496" s="75"/>
      <c r="AEW496" s="75"/>
      <c r="AEX496" s="75"/>
      <c r="AEY496" s="75"/>
      <c r="AEZ496" s="75"/>
      <c r="AFA496" s="75"/>
      <c r="AFB496" s="75"/>
      <c r="AFC496" s="75"/>
      <c r="AFD496" s="75"/>
      <c r="AFE496" s="75"/>
      <c r="AFF496" s="75"/>
      <c r="AFG496" s="75"/>
      <c r="AFH496" s="75"/>
      <c r="AFI496" s="75"/>
      <c r="AFJ496" s="75"/>
      <c r="AFK496" s="75"/>
      <c r="AFL496" s="75"/>
      <c r="AFM496" s="75"/>
      <c r="AFN496" s="75"/>
      <c r="AFO496" s="75"/>
      <c r="AFP496" s="75"/>
      <c r="AFQ496" s="75"/>
      <c r="AFR496" s="75"/>
      <c r="AFS496" s="75"/>
      <c r="AFT496" s="75"/>
      <c r="AFU496" s="75"/>
      <c r="AFV496" s="75"/>
      <c r="AFW496" s="75"/>
      <c r="AFX496" s="75"/>
      <c r="AFY496" s="75"/>
      <c r="AFZ496" s="75"/>
      <c r="AGA496" s="75"/>
      <c r="AGB496" s="75"/>
      <c r="AGC496" s="75"/>
      <c r="AGD496" s="75"/>
      <c r="AGE496" s="75"/>
      <c r="AGF496" s="75"/>
      <c r="AGG496" s="75"/>
      <c r="AGH496" s="75"/>
      <c r="AGI496" s="75"/>
      <c r="AGJ496" s="75"/>
      <c r="AGK496" s="75"/>
      <c r="AGL496" s="75"/>
      <c r="AGM496" s="75"/>
      <c r="AGN496" s="75"/>
      <c r="AGO496" s="75"/>
      <c r="AGP496" s="75"/>
      <c r="AGQ496" s="75"/>
      <c r="AGR496" s="75"/>
      <c r="AGS496" s="75"/>
      <c r="AGT496" s="75"/>
      <c r="AGU496" s="75"/>
      <c r="AGV496" s="75"/>
      <c r="AGW496" s="75"/>
      <c r="AGX496" s="75"/>
      <c r="AGY496" s="75"/>
      <c r="AGZ496" s="75"/>
      <c r="AHA496" s="75"/>
      <c r="AHB496" s="75"/>
      <c r="AHC496" s="75"/>
      <c r="AHD496" s="75"/>
      <c r="AHE496" s="75"/>
      <c r="AHF496" s="75"/>
      <c r="AHG496" s="75"/>
      <c r="AHH496" s="75"/>
      <c r="AHI496" s="75"/>
      <c r="AHJ496" s="75"/>
      <c r="AHK496" s="75"/>
      <c r="AHL496" s="75"/>
      <c r="AHM496" s="75"/>
      <c r="AHN496" s="75"/>
      <c r="AHO496" s="75"/>
      <c r="AHP496" s="75"/>
      <c r="AHQ496" s="75"/>
      <c r="AHR496" s="75"/>
      <c r="AHS496" s="75"/>
      <c r="AHT496" s="75"/>
      <c r="AHU496" s="75"/>
      <c r="AHV496" s="75"/>
      <c r="AHW496" s="75"/>
      <c r="AHX496" s="75"/>
      <c r="AHY496" s="75"/>
      <c r="AHZ496" s="75"/>
      <c r="AIA496" s="75"/>
      <c r="AIB496" s="75"/>
      <c r="AIC496" s="75"/>
      <c r="AID496" s="75"/>
      <c r="AIE496" s="75"/>
      <c r="AIF496" s="75"/>
      <c r="AIG496" s="75"/>
      <c r="AIH496" s="75"/>
      <c r="AII496" s="75"/>
      <c r="AIJ496" s="75"/>
      <c r="AIK496" s="75"/>
      <c r="AIL496" s="75"/>
      <c r="AIM496" s="75"/>
      <c r="AIN496" s="75"/>
      <c r="AIO496" s="75"/>
      <c r="AIP496" s="75"/>
      <c r="AIQ496" s="75"/>
      <c r="AIR496" s="75"/>
      <c r="AIS496" s="75"/>
      <c r="AIT496" s="75"/>
      <c r="AIU496" s="75"/>
      <c r="AIV496" s="75"/>
      <c r="AIW496" s="75"/>
      <c r="AIX496" s="75"/>
      <c r="AIY496" s="75"/>
      <c r="AIZ496" s="75"/>
      <c r="AJA496" s="75"/>
      <c r="AJB496" s="75"/>
      <c r="AJC496" s="75"/>
      <c r="AJD496" s="75"/>
      <c r="AJE496" s="75"/>
      <c r="AJF496" s="75"/>
      <c r="AJG496" s="75"/>
      <c r="AJH496" s="75"/>
      <c r="AJI496" s="75"/>
      <c r="AJJ496" s="75"/>
      <c r="AJK496" s="75"/>
      <c r="AJL496" s="75"/>
      <c r="AJM496" s="75"/>
      <c r="AJN496" s="75"/>
      <c r="AJO496" s="75"/>
      <c r="AJP496" s="75"/>
      <c r="AJQ496" s="75"/>
      <c r="AJR496" s="75"/>
      <c r="AJS496" s="75"/>
      <c r="AJT496" s="75"/>
      <c r="AJU496" s="75"/>
      <c r="AJV496" s="75"/>
      <c r="AJW496" s="75"/>
      <c r="AJX496" s="75"/>
      <c r="AJY496" s="75"/>
      <c r="AJZ496" s="75"/>
      <c r="AKA496" s="75"/>
      <c r="AKB496" s="75"/>
      <c r="AKC496" s="75"/>
      <c r="AKD496" s="75"/>
      <c r="AKE496" s="75"/>
      <c r="AKF496" s="75"/>
      <c r="AKG496" s="75"/>
      <c r="AKH496" s="75"/>
      <c r="AKI496" s="75"/>
      <c r="AKJ496" s="75"/>
      <c r="AKK496" s="75"/>
      <c r="AKL496" s="75"/>
      <c r="AKM496" s="75"/>
      <c r="AKN496" s="75"/>
      <c r="AKO496" s="75"/>
      <c r="AKP496" s="75"/>
      <c r="AKQ496" s="75"/>
      <c r="AKR496" s="75"/>
      <c r="AKS496" s="75"/>
      <c r="AKT496" s="75"/>
      <c r="AKU496" s="75"/>
      <c r="AKV496" s="75"/>
      <c r="AKW496" s="75"/>
      <c r="AKX496" s="75"/>
      <c r="AKY496" s="75"/>
      <c r="AKZ496" s="75"/>
      <c r="ALA496" s="75"/>
      <c r="ALB496" s="75"/>
      <c r="ALC496" s="75"/>
      <c r="ALD496" s="75"/>
      <c r="ALE496" s="75"/>
      <c r="ALF496" s="75"/>
      <c r="ALG496" s="75"/>
      <c r="ALH496" s="75"/>
      <c r="ALI496" s="75"/>
      <c r="ALJ496" s="75"/>
      <c r="ALK496" s="75"/>
      <c r="ALL496" s="75"/>
      <c r="ALM496" s="75"/>
      <c r="ALN496" s="75"/>
      <c r="ALO496" s="75"/>
    </row>
    <row r="497" spans="1:1003" s="235" customFormat="1" ht="14.55" customHeight="1" outlineLevel="1" x14ac:dyDescent="0.25">
      <c r="A497" s="230" t="s">
        <v>1422</v>
      </c>
      <c r="B497" s="343" t="str">
        <f>"13.0499"</f>
        <v>13.0499</v>
      </c>
      <c r="C497" s="75" t="s">
        <v>2180</v>
      </c>
      <c r="D497" s="127" t="s">
        <v>2181</v>
      </c>
      <c r="E497" s="232"/>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c r="AY497" s="75"/>
      <c r="AZ497" s="75"/>
      <c r="BA497" s="75"/>
      <c r="BB497" s="75"/>
      <c r="BC497" s="75"/>
      <c r="BD497" s="75"/>
      <c r="BE497" s="75"/>
      <c r="BF497" s="75"/>
      <c r="BG497" s="75"/>
      <c r="BH497" s="75"/>
      <c r="BI497" s="75"/>
      <c r="BJ497" s="75"/>
      <c r="BK497" s="75"/>
      <c r="BL497" s="75"/>
      <c r="BM497" s="75"/>
      <c r="BN497" s="75"/>
      <c r="BO497" s="75"/>
      <c r="BP497" s="75"/>
      <c r="BQ497" s="75"/>
      <c r="BR497" s="75"/>
      <c r="BS497" s="75"/>
      <c r="BT497" s="75"/>
      <c r="BU497" s="75"/>
      <c r="BV497" s="75"/>
      <c r="BW497" s="75"/>
      <c r="BX497" s="75"/>
      <c r="BY497" s="75"/>
      <c r="BZ497" s="75"/>
      <c r="CA497" s="75"/>
      <c r="CB497" s="75"/>
      <c r="CC497" s="75"/>
      <c r="CD497" s="75"/>
      <c r="CE497" s="75"/>
      <c r="CF497" s="75"/>
      <c r="CG497" s="75"/>
      <c r="CH497" s="75"/>
      <c r="CI497" s="75"/>
      <c r="CJ497" s="75"/>
      <c r="CK497" s="75"/>
      <c r="CL497" s="75"/>
      <c r="CM497" s="75"/>
      <c r="CN497" s="75"/>
      <c r="CO497" s="75"/>
      <c r="CP497" s="75"/>
      <c r="CQ497" s="75"/>
      <c r="CR497" s="75"/>
      <c r="CS497" s="75"/>
      <c r="CT497" s="75"/>
      <c r="CU497" s="75"/>
      <c r="CV497" s="75"/>
      <c r="CW497" s="75"/>
      <c r="CX497" s="75"/>
      <c r="CY497" s="75"/>
      <c r="CZ497" s="75"/>
      <c r="DA497" s="75"/>
      <c r="DB497" s="75"/>
      <c r="DC497" s="75"/>
      <c r="DD497" s="75"/>
      <c r="DE497" s="75"/>
      <c r="DF497" s="75"/>
      <c r="DG497" s="75"/>
      <c r="DH497" s="75"/>
      <c r="DI497" s="75"/>
      <c r="DJ497" s="75"/>
      <c r="DK497" s="75"/>
      <c r="DL497" s="75"/>
      <c r="DM497" s="75"/>
      <c r="DN497" s="75"/>
      <c r="DO497" s="75"/>
      <c r="DP497" s="75"/>
      <c r="DQ497" s="75"/>
      <c r="DR497" s="75"/>
      <c r="DS497" s="75"/>
      <c r="DT497" s="75"/>
      <c r="DU497" s="75"/>
      <c r="DV497" s="75"/>
      <c r="DW497" s="75"/>
      <c r="DX497" s="75"/>
      <c r="DY497" s="75"/>
      <c r="DZ497" s="75"/>
      <c r="EA497" s="75"/>
      <c r="EB497" s="75"/>
      <c r="EC497" s="75"/>
      <c r="ED497" s="75"/>
      <c r="EE497" s="75"/>
      <c r="EF497" s="75"/>
      <c r="EG497" s="75"/>
      <c r="EH497" s="75"/>
      <c r="EI497" s="75"/>
      <c r="EJ497" s="75"/>
      <c r="EK497" s="75"/>
      <c r="EL497" s="75"/>
      <c r="EM497" s="75"/>
      <c r="EN497" s="75"/>
      <c r="EO497" s="75"/>
      <c r="EP497" s="75"/>
      <c r="EQ497" s="75"/>
      <c r="ER497" s="75"/>
      <c r="ES497" s="75"/>
      <c r="ET497" s="75"/>
      <c r="EU497" s="75"/>
      <c r="EV497" s="75"/>
      <c r="EW497" s="75"/>
      <c r="EX497" s="75"/>
      <c r="EY497" s="75"/>
      <c r="EZ497" s="75"/>
      <c r="FA497" s="75"/>
      <c r="FB497" s="75"/>
      <c r="FC497" s="75"/>
      <c r="FD497" s="75"/>
      <c r="FE497" s="75"/>
      <c r="FF497" s="75"/>
      <c r="FG497" s="75"/>
      <c r="FH497" s="75"/>
      <c r="FI497" s="75"/>
      <c r="FJ497" s="75"/>
      <c r="FK497" s="75"/>
      <c r="FL497" s="75"/>
      <c r="FM497" s="75"/>
      <c r="FN497" s="75"/>
      <c r="FO497" s="75"/>
      <c r="FP497" s="75"/>
      <c r="FQ497" s="75"/>
      <c r="FR497" s="75"/>
      <c r="FS497" s="75"/>
      <c r="FT497" s="75"/>
      <c r="FU497" s="75"/>
      <c r="FV497" s="75"/>
      <c r="FW497" s="75"/>
      <c r="FX497" s="75"/>
      <c r="FY497" s="75"/>
      <c r="FZ497" s="75"/>
      <c r="GA497" s="75"/>
      <c r="GB497" s="75"/>
      <c r="GC497" s="75"/>
      <c r="GD497" s="75"/>
      <c r="GE497" s="75"/>
      <c r="GF497" s="75"/>
      <c r="GG497" s="75"/>
      <c r="GH497" s="75"/>
      <c r="GI497" s="75"/>
      <c r="GJ497" s="75"/>
      <c r="GK497" s="75"/>
      <c r="GL497" s="75"/>
      <c r="GM497" s="75"/>
      <c r="GN497" s="75"/>
      <c r="GO497" s="75"/>
      <c r="GP497" s="75"/>
      <c r="GQ497" s="75"/>
      <c r="GR497" s="75"/>
      <c r="GS497" s="75"/>
      <c r="GT497" s="75"/>
      <c r="GU497" s="75"/>
      <c r="GV497" s="75"/>
      <c r="GW497" s="75"/>
      <c r="GX497" s="75"/>
      <c r="GY497" s="75"/>
      <c r="GZ497" s="75"/>
      <c r="HA497" s="75"/>
      <c r="HB497" s="75"/>
      <c r="HC497" s="75"/>
      <c r="HD497" s="75"/>
      <c r="HE497" s="75"/>
      <c r="HF497" s="75"/>
      <c r="HG497" s="75"/>
      <c r="HH497" s="75"/>
      <c r="HI497" s="75"/>
      <c r="HJ497" s="75"/>
      <c r="HK497" s="75"/>
      <c r="HL497" s="75"/>
      <c r="HM497" s="75"/>
      <c r="HN497" s="75"/>
      <c r="HO497" s="75"/>
      <c r="HP497" s="75"/>
      <c r="HQ497" s="75"/>
      <c r="HR497" s="75"/>
      <c r="HS497" s="75"/>
      <c r="HT497" s="75"/>
      <c r="HU497" s="75"/>
      <c r="HV497" s="75"/>
      <c r="HW497" s="75"/>
      <c r="HX497" s="75"/>
      <c r="HY497" s="75"/>
      <c r="HZ497" s="75"/>
      <c r="IA497" s="75"/>
      <c r="IB497" s="75"/>
      <c r="IC497" s="75"/>
      <c r="ID497" s="75"/>
      <c r="IE497" s="75"/>
      <c r="IF497" s="75"/>
      <c r="IG497" s="75"/>
      <c r="IH497" s="75"/>
      <c r="II497" s="75"/>
      <c r="IJ497" s="75"/>
      <c r="IK497" s="75"/>
      <c r="IL497" s="75"/>
      <c r="IM497" s="75"/>
      <c r="IN497" s="75"/>
      <c r="IO497" s="75"/>
      <c r="IP497" s="75"/>
      <c r="IQ497" s="75"/>
      <c r="IR497" s="75"/>
      <c r="IS497" s="75"/>
      <c r="IT497" s="75"/>
      <c r="IU497" s="75"/>
      <c r="IV497" s="75"/>
      <c r="IW497" s="75"/>
      <c r="IX497" s="75"/>
      <c r="IY497" s="75"/>
      <c r="IZ497" s="75"/>
      <c r="JA497" s="75"/>
      <c r="JB497" s="75"/>
      <c r="JC497" s="75"/>
      <c r="JD497" s="75"/>
      <c r="JE497" s="75"/>
      <c r="JF497" s="75"/>
      <c r="JG497" s="75"/>
      <c r="JH497" s="75"/>
      <c r="JI497" s="75"/>
      <c r="JJ497" s="75"/>
      <c r="JK497" s="75"/>
      <c r="JL497" s="75"/>
      <c r="JM497" s="75"/>
      <c r="JN497" s="75"/>
      <c r="JO497" s="75"/>
      <c r="JP497" s="75"/>
      <c r="JQ497" s="75"/>
      <c r="JR497" s="75"/>
      <c r="JS497" s="75"/>
      <c r="JT497" s="75"/>
      <c r="JU497" s="75"/>
      <c r="JV497" s="75"/>
      <c r="JW497" s="75"/>
      <c r="JX497" s="75"/>
      <c r="JY497" s="75"/>
      <c r="JZ497" s="75"/>
      <c r="KA497" s="75"/>
      <c r="KB497" s="75"/>
      <c r="KC497" s="75"/>
      <c r="KD497" s="75"/>
      <c r="KE497" s="75"/>
      <c r="KF497" s="75"/>
      <c r="KG497" s="75"/>
      <c r="KH497" s="75"/>
      <c r="KI497" s="75"/>
      <c r="KJ497" s="75"/>
      <c r="KK497" s="75"/>
      <c r="KL497" s="75"/>
      <c r="KM497" s="75"/>
      <c r="KN497" s="75"/>
      <c r="KO497" s="75"/>
      <c r="KP497" s="75"/>
      <c r="KQ497" s="75"/>
      <c r="KR497" s="75"/>
      <c r="KS497" s="75"/>
      <c r="KT497" s="75"/>
      <c r="KU497" s="75"/>
      <c r="KV497" s="75"/>
      <c r="KW497" s="75"/>
      <c r="KX497" s="75"/>
      <c r="KY497" s="75"/>
      <c r="KZ497" s="75"/>
      <c r="LA497" s="75"/>
      <c r="LB497" s="75"/>
      <c r="LC497" s="75"/>
      <c r="LD497" s="75"/>
      <c r="LE497" s="75"/>
      <c r="LF497" s="75"/>
      <c r="LG497" s="75"/>
      <c r="LH497" s="75"/>
      <c r="LI497" s="75"/>
      <c r="LJ497" s="75"/>
      <c r="LK497" s="75"/>
      <c r="LL497" s="75"/>
      <c r="LM497" s="75"/>
      <c r="LN497" s="75"/>
      <c r="LO497" s="75"/>
      <c r="LP497" s="75"/>
      <c r="LQ497" s="75"/>
      <c r="LR497" s="75"/>
      <c r="LS497" s="75"/>
      <c r="LT497" s="75"/>
      <c r="LU497" s="75"/>
      <c r="LV497" s="75"/>
      <c r="LW497" s="75"/>
      <c r="LX497" s="75"/>
      <c r="LY497" s="75"/>
      <c r="LZ497" s="75"/>
      <c r="MA497" s="75"/>
      <c r="MB497" s="75"/>
      <c r="MC497" s="75"/>
      <c r="MD497" s="75"/>
      <c r="ME497" s="75"/>
      <c r="MF497" s="75"/>
      <c r="MG497" s="75"/>
      <c r="MH497" s="75"/>
      <c r="MI497" s="75"/>
      <c r="MJ497" s="75"/>
      <c r="MK497" s="75"/>
      <c r="ML497" s="75"/>
      <c r="MM497" s="75"/>
      <c r="MN497" s="75"/>
      <c r="MO497" s="75"/>
      <c r="MP497" s="75"/>
      <c r="MQ497" s="75"/>
      <c r="MR497" s="75"/>
      <c r="MS497" s="75"/>
      <c r="MT497" s="75"/>
      <c r="MU497" s="75"/>
      <c r="MV497" s="75"/>
      <c r="MW497" s="75"/>
      <c r="MX497" s="75"/>
      <c r="MY497" s="75"/>
      <c r="MZ497" s="75"/>
      <c r="NA497" s="75"/>
      <c r="NB497" s="75"/>
      <c r="NC497" s="75"/>
      <c r="ND497" s="75"/>
      <c r="NE497" s="75"/>
      <c r="NF497" s="75"/>
      <c r="NG497" s="75"/>
      <c r="NH497" s="75"/>
      <c r="NI497" s="75"/>
      <c r="NJ497" s="75"/>
      <c r="NK497" s="75"/>
      <c r="NL497" s="75"/>
      <c r="NM497" s="75"/>
      <c r="NN497" s="75"/>
      <c r="NO497" s="75"/>
      <c r="NP497" s="75"/>
      <c r="NQ497" s="75"/>
      <c r="NR497" s="75"/>
      <c r="NS497" s="75"/>
      <c r="NT497" s="75"/>
      <c r="NU497" s="75"/>
      <c r="NV497" s="75"/>
      <c r="NW497" s="75"/>
      <c r="NX497" s="75"/>
      <c r="NY497" s="75"/>
      <c r="NZ497" s="75"/>
      <c r="OA497" s="75"/>
      <c r="OB497" s="75"/>
      <c r="OC497" s="75"/>
      <c r="OD497" s="75"/>
      <c r="OE497" s="75"/>
      <c r="OF497" s="75"/>
      <c r="OG497" s="75"/>
      <c r="OH497" s="75"/>
      <c r="OI497" s="75"/>
      <c r="OJ497" s="75"/>
      <c r="OK497" s="75"/>
      <c r="OL497" s="75"/>
      <c r="OM497" s="75"/>
      <c r="ON497" s="75"/>
      <c r="OO497" s="75"/>
      <c r="OP497" s="75"/>
      <c r="OQ497" s="75"/>
      <c r="OR497" s="75"/>
      <c r="OS497" s="75"/>
      <c r="OT497" s="75"/>
      <c r="OU497" s="75"/>
      <c r="OV497" s="75"/>
      <c r="OW497" s="75"/>
      <c r="OX497" s="75"/>
      <c r="OY497" s="75"/>
      <c r="OZ497" s="75"/>
      <c r="PA497" s="75"/>
      <c r="PB497" s="75"/>
      <c r="PC497" s="75"/>
      <c r="PD497" s="75"/>
      <c r="PE497" s="75"/>
      <c r="PF497" s="75"/>
      <c r="PG497" s="75"/>
      <c r="PH497" s="75"/>
      <c r="PI497" s="75"/>
      <c r="PJ497" s="75"/>
      <c r="PK497" s="75"/>
      <c r="PL497" s="75"/>
      <c r="PM497" s="75"/>
      <c r="PN497" s="75"/>
      <c r="PO497" s="75"/>
      <c r="PP497" s="75"/>
      <c r="PQ497" s="75"/>
      <c r="PR497" s="75"/>
      <c r="PS497" s="75"/>
      <c r="PT497" s="75"/>
      <c r="PU497" s="75"/>
      <c r="PV497" s="75"/>
      <c r="PW497" s="75"/>
      <c r="PX497" s="75"/>
      <c r="PY497" s="75"/>
      <c r="PZ497" s="75"/>
      <c r="QA497" s="75"/>
      <c r="QB497" s="75"/>
      <c r="QC497" s="75"/>
      <c r="QD497" s="75"/>
      <c r="QE497" s="75"/>
      <c r="QF497" s="75"/>
      <c r="QG497" s="75"/>
      <c r="QH497" s="75"/>
      <c r="QI497" s="75"/>
      <c r="QJ497" s="75"/>
      <c r="QK497" s="75"/>
      <c r="QL497" s="75"/>
      <c r="QM497" s="75"/>
      <c r="QN497" s="75"/>
      <c r="QO497" s="75"/>
      <c r="QP497" s="75"/>
      <c r="QQ497" s="75"/>
      <c r="QR497" s="75"/>
      <c r="QS497" s="75"/>
      <c r="QT497" s="75"/>
      <c r="QU497" s="75"/>
      <c r="QV497" s="75"/>
      <c r="QW497" s="75"/>
      <c r="QX497" s="75"/>
      <c r="QY497" s="75"/>
      <c r="QZ497" s="75"/>
      <c r="RA497" s="75"/>
      <c r="RB497" s="75"/>
      <c r="RC497" s="75"/>
      <c r="RD497" s="75"/>
      <c r="RE497" s="75"/>
      <c r="RF497" s="75"/>
      <c r="RG497" s="75"/>
      <c r="RH497" s="75"/>
      <c r="RI497" s="75"/>
      <c r="RJ497" s="75"/>
      <c r="RK497" s="75"/>
      <c r="RL497" s="75"/>
      <c r="RM497" s="75"/>
      <c r="RN497" s="75"/>
      <c r="RO497" s="75"/>
      <c r="RP497" s="75"/>
      <c r="RQ497" s="75"/>
      <c r="RR497" s="75"/>
      <c r="RS497" s="75"/>
      <c r="RT497" s="75"/>
      <c r="RU497" s="75"/>
      <c r="RV497" s="75"/>
      <c r="RW497" s="75"/>
      <c r="RX497" s="75"/>
      <c r="RY497" s="75"/>
      <c r="RZ497" s="75"/>
      <c r="SA497" s="75"/>
      <c r="SB497" s="75"/>
      <c r="SC497" s="75"/>
      <c r="SD497" s="75"/>
      <c r="SE497" s="75"/>
      <c r="SF497" s="75"/>
      <c r="SG497" s="75"/>
      <c r="SH497" s="75"/>
      <c r="SI497" s="75"/>
      <c r="SJ497" s="75"/>
      <c r="SK497" s="75"/>
      <c r="SL497" s="75"/>
      <c r="SM497" s="75"/>
      <c r="SN497" s="75"/>
      <c r="SO497" s="75"/>
      <c r="SP497" s="75"/>
      <c r="SQ497" s="75"/>
      <c r="SR497" s="75"/>
      <c r="SS497" s="75"/>
      <c r="ST497" s="75"/>
      <c r="SU497" s="75"/>
      <c r="SV497" s="75"/>
      <c r="SW497" s="75"/>
      <c r="SX497" s="75"/>
      <c r="SY497" s="75"/>
      <c r="SZ497" s="75"/>
      <c r="TA497" s="75"/>
      <c r="TB497" s="75"/>
      <c r="TC497" s="75"/>
      <c r="TD497" s="75"/>
      <c r="TE497" s="75"/>
      <c r="TF497" s="75"/>
      <c r="TG497" s="75"/>
      <c r="TH497" s="75"/>
      <c r="TI497" s="75"/>
      <c r="TJ497" s="75"/>
      <c r="TK497" s="75"/>
      <c r="TL497" s="75"/>
      <c r="TM497" s="75"/>
      <c r="TN497" s="75"/>
      <c r="TO497" s="75"/>
      <c r="TP497" s="75"/>
      <c r="TQ497" s="75"/>
      <c r="TR497" s="75"/>
      <c r="TS497" s="75"/>
      <c r="TT497" s="75"/>
      <c r="TU497" s="75"/>
      <c r="TV497" s="75"/>
      <c r="TW497" s="75"/>
      <c r="TX497" s="75"/>
      <c r="TY497" s="75"/>
      <c r="TZ497" s="75"/>
      <c r="UA497" s="75"/>
      <c r="UB497" s="75"/>
      <c r="UC497" s="75"/>
      <c r="UD497" s="75"/>
      <c r="UE497" s="75"/>
      <c r="UF497" s="75"/>
      <c r="UG497" s="75"/>
      <c r="UH497" s="75"/>
      <c r="UI497" s="75"/>
      <c r="UJ497" s="75"/>
      <c r="UK497" s="75"/>
      <c r="UL497" s="75"/>
      <c r="UM497" s="75"/>
      <c r="UN497" s="75"/>
      <c r="UO497" s="75"/>
      <c r="UP497" s="75"/>
      <c r="UQ497" s="75"/>
      <c r="UR497" s="75"/>
      <c r="US497" s="75"/>
      <c r="UT497" s="75"/>
      <c r="UU497" s="75"/>
      <c r="UV497" s="75"/>
      <c r="UW497" s="75"/>
      <c r="UX497" s="75"/>
      <c r="UY497" s="75"/>
      <c r="UZ497" s="75"/>
      <c r="VA497" s="75"/>
      <c r="VB497" s="75"/>
      <c r="VC497" s="75"/>
      <c r="VD497" s="75"/>
      <c r="VE497" s="75"/>
      <c r="VF497" s="75"/>
      <c r="VG497" s="75"/>
      <c r="VH497" s="75"/>
      <c r="VI497" s="75"/>
      <c r="VJ497" s="75"/>
      <c r="VK497" s="75"/>
      <c r="VL497" s="75"/>
      <c r="VM497" s="75"/>
      <c r="VN497" s="75"/>
      <c r="VO497" s="75"/>
      <c r="VP497" s="75"/>
      <c r="VQ497" s="75"/>
      <c r="VR497" s="75"/>
      <c r="VS497" s="75"/>
      <c r="VT497" s="75"/>
      <c r="VU497" s="75"/>
      <c r="VV497" s="75"/>
      <c r="VW497" s="75"/>
      <c r="VX497" s="75"/>
      <c r="VY497" s="75"/>
      <c r="VZ497" s="75"/>
      <c r="WA497" s="75"/>
      <c r="WB497" s="75"/>
      <c r="WC497" s="75"/>
      <c r="WD497" s="75"/>
      <c r="WE497" s="75"/>
      <c r="WF497" s="75"/>
      <c r="WG497" s="75"/>
      <c r="WH497" s="75"/>
      <c r="WI497" s="75"/>
      <c r="WJ497" s="75"/>
      <c r="WK497" s="75"/>
      <c r="WL497" s="75"/>
      <c r="WM497" s="75"/>
      <c r="WN497" s="75"/>
      <c r="WO497" s="75"/>
      <c r="WP497" s="75"/>
      <c r="WQ497" s="75"/>
      <c r="WR497" s="75"/>
      <c r="WS497" s="75"/>
      <c r="WT497" s="75"/>
      <c r="WU497" s="75"/>
      <c r="WV497" s="75"/>
      <c r="WW497" s="75"/>
      <c r="WX497" s="75"/>
      <c r="WY497" s="75"/>
      <c r="WZ497" s="75"/>
      <c r="XA497" s="75"/>
      <c r="XB497" s="75"/>
      <c r="XC497" s="75"/>
      <c r="XD497" s="75"/>
      <c r="XE497" s="75"/>
      <c r="XF497" s="75"/>
      <c r="XG497" s="75"/>
      <c r="XH497" s="75"/>
      <c r="XI497" s="75"/>
      <c r="XJ497" s="75"/>
      <c r="XK497" s="75"/>
      <c r="XL497" s="75"/>
      <c r="XM497" s="75"/>
      <c r="XN497" s="75"/>
      <c r="XO497" s="75"/>
      <c r="XP497" s="75"/>
      <c r="XQ497" s="75"/>
      <c r="XR497" s="75"/>
      <c r="XS497" s="75"/>
      <c r="XT497" s="75"/>
      <c r="XU497" s="75"/>
      <c r="XV497" s="75"/>
      <c r="XW497" s="75"/>
      <c r="XX497" s="75"/>
      <c r="XY497" s="75"/>
      <c r="XZ497" s="75"/>
      <c r="YA497" s="75"/>
      <c r="YB497" s="75"/>
      <c r="YC497" s="75"/>
      <c r="YD497" s="75"/>
      <c r="YE497" s="75"/>
      <c r="YF497" s="75"/>
      <c r="YG497" s="75"/>
      <c r="YH497" s="75"/>
      <c r="YI497" s="75"/>
      <c r="YJ497" s="75"/>
      <c r="YK497" s="75"/>
      <c r="YL497" s="75"/>
      <c r="YM497" s="75"/>
      <c r="YN497" s="75"/>
      <c r="YO497" s="75"/>
      <c r="YP497" s="75"/>
      <c r="YQ497" s="75"/>
      <c r="YR497" s="75"/>
      <c r="YS497" s="75"/>
      <c r="YT497" s="75"/>
      <c r="YU497" s="75"/>
      <c r="YV497" s="75"/>
      <c r="YW497" s="75"/>
      <c r="YX497" s="75"/>
      <c r="YY497" s="75"/>
      <c r="YZ497" s="75"/>
      <c r="ZA497" s="75"/>
      <c r="ZB497" s="75"/>
      <c r="ZC497" s="75"/>
      <c r="ZD497" s="75"/>
      <c r="ZE497" s="75"/>
      <c r="ZF497" s="75"/>
      <c r="ZG497" s="75"/>
      <c r="ZH497" s="75"/>
      <c r="ZI497" s="75"/>
      <c r="ZJ497" s="75"/>
      <c r="ZK497" s="75"/>
      <c r="ZL497" s="75"/>
      <c r="ZM497" s="75"/>
      <c r="ZN497" s="75"/>
      <c r="ZO497" s="75"/>
      <c r="ZP497" s="75"/>
      <c r="ZQ497" s="75"/>
      <c r="ZR497" s="75"/>
      <c r="ZS497" s="75"/>
      <c r="ZT497" s="75"/>
      <c r="ZU497" s="75"/>
      <c r="ZV497" s="75"/>
      <c r="ZW497" s="75"/>
      <c r="ZX497" s="75"/>
      <c r="ZY497" s="75"/>
      <c r="ZZ497" s="75"/>
      <c r="AAA497" s="75"/>
      <c r="AAB497" s="75"/>
      <c r="AAC497" s="75"/>
      <c r="AAD497" s="75"/>
      <c r="AAE497" s="75"/>
      <c r="AAF497" s="75"/>
      <c r="AAG497" s="75"/>
      <c r="AAH497" s="75"/>
      <c r="AAI497" s="75"/>
      <c r="AAJ497" s="75"/>
      <c r="AAK497" s="75"/>
      <c r="AAL497" s="75"/>
      <c r="AAM497" s="75"/>
      <c r="AAN497" s="75"/>
      <c r="AAO497" s="75"/>
      <c r="AAP497" s="75"/>
      <c r="AAQ497" s="75"/>
      <c r="AAR497" s="75"/>
      <c r="AAS497" s="75"/>
      <c r="AAT497" s="75"/>
      <c r="AAU497" s="75"/>
      <c r="AAV497" s="75"/>
      <c r="AAW497" s="75"/>
      <c r="AAX497" s="75"/>
      <c r="AAY497" s="75"/>
      <c r="AAZ497" s="75"/>
      <c r="ABA497" s="75"/>
      <c r="ABB497" s="75"/>
      <c r="ABC497" s="75"/>
      <c r="ABD497" s="75"/>
      <c r="ABE497" s="75"/>
      <c r="ABF497" s="75"/>
      <c r="ABG497" s="75"/>
      <c r="ABH497" s="75"/>
      <c r="ABI497" s="75"/>
      <c r="ABJ497" s="75"/>
      <c r="ABK497" s="75"/>
      <c r="ABL497" s="75"/>
      <c r="ABM497" s="75"/>
      <c r="ABN497" s="75"/>
      <c r="ABO497" s="75"/>
      <c r="ABP497" s="75"/>
      <c r="ABQ497" s="75"/>
      <c r="ABR497" s="75"/>
      <c r="ABS497" s="75"/>
      <c r="ABT497" s="75"/>
      <c r="ABU497" s="75"/>
      <c r="ABV497" s="75"/>
      <c r="ABW497" s="75"/>
      <c r="ABX497" s="75"/>
      <c r="ABY497" s="75"/>
      <c r="ABZ497" s="75"/>
      <c r="ACA497" s="75"/>
      <c r="ACB497" s="75"/>
      <c r="ACC497" s="75"/>
      <c r="ACD497" s="75"/>
      <c r="ACE497" s="75"/>
      <c r="ACF497" s="75"/>
      <c r="ACG497" s="75"/>
      <c r="ACH497" s="75"/>
      <c r="ACI497" s="75"/>
      <c r="ACJ497" s="75"/>
      <c r="ACK497" s="75"/>
      <c r="ACL497" s="75"/>
      <c r="ACM497" s="75"/>
      <c r="ACN497" s="75"/>
      <c r="ACO497" s="75"/>
      <c r="ACP497" s="75"/>
      <c r="ACQ497" s="75"/>
      <c r="ACR497" s="75"/>
      <c r="ACS497" s="75"/>
      <c r="ACT497" s="75"/>
      <c r="ACU497" s="75"/>
      <c r="ACV497" s="75"/>
      <c r="ACW497" s="75"/>
      <c r="ACX497" s="75"/>
      <c r="ACY497" s="75"/>
      <c r="ACZ497" s="75"/>
      <c r="ADA497" s="75"/>
      <c r="ADB497" s="75"/>
      <c r="ADC497" s="75"/>
      <c r="ADD497" s="75"/>
      <c r="ADE497" s="75"/>
      <c r="ADF497" s="75"/>
      <c r="ADG497" s="75"/>
      <c r="ADH497" s="75"/>
      <c r="ADI497" s="75"/>
      <c r="ADJ497" s="75"/>
      <c r="ADK497" s="75"/>
      <c r="ADL497" s="75"/>
      <c r="ADM497" s="75"/>
      <c r="ADN497" s="75"/>
      <c r="ADO497" s="75"/>
      <c r="ADP497" s="75"/>
      <c r="ADQ497" s="75"/>
      <c r="ADR497" s="75"/>
      <c r="ADS497" s="75"/>
      <c r="ADT497" s="75"/>
      <c r="ADU497" s="75"/>
      <c r="ADV497" s="75"/>
      <c r="ADW497" s="75"/>
      <c r="ADX497" s="75"/>
      <c r="ADY497" s="75"/>
      <c r="ADZ497" s="75"/>
      <c r="AEA497" s="75"/>
      <c r="AEB497" s="75"/>
      <c r="AEC497" s="75"/>
      <c r="AED497" s="75"/>
      <c r="AEE497" s="75"/>
      <c r="AEF497" s="75"/>
      <c r="AEG497" s="75"/>
      <c r="AEH497" s="75"/>
      <c r="AEI497" s="75"/>
      <c r="AEJ497" s="75"/>
      <c r="AEK497" s="75"/>
      <c r="AEL497" s="75"/>
      <c r="AEM497" s="75"/>
      <c r="AEN497" s="75"/>
      <c r="AEO497" s="75"/>
      <c r="AEP497" s="75"/>
      <c r="AEQ497" s="75"/>
      <c r="AER497" s="75"/>
      <c r="AES497" s="75"/>
      <c r="AET497" s="75"/>
      <c r="AEU497" s="75"/>
      <c r="AEV497" s="75"/>
      <c r="AEW497" s="75"/>
      <c r="AEX497" s="75"/>
      <c r="AEY497" s="75"/>
      <c r="AEZ497" s="75"/>
      <c r="AFA497" s="75"/>
      <c r="AFB497" s="75"/>
      <c r="AFC497" s="75"/>
      <c r="AFD497" s="75"/>
      <c r="AFE497" s="75"/>
      <c r="AFF497" s="75"/>
      <c r="AFG497" s="75"/>
      <c r="AFH497" s="75"/>
      <c r="AFI497" s="75"/>
      <c r="AFJ497" s="75"/>
      <c r="AFK497" s="75"/>
      <c r="AFL497" s="75"/>
      <c r="AFM497" s="75"/>
      <c r="AFN497" s="75"/>
      <c r="AFO497" s="75"/>
      <c r="AFP497" s="75"/>
      <c r="AFQ497" s="75"/>
      <c r="AFR497" s="75"/>
      <c r="AFS497" s="75"/>
      <c r="AFT497" s="75"/>
      <c r="AFU497" s="75"/>
      <c r="AFV497" s="75"/>
      <c r="AFW497" s="75"/>
      <c r="AFX497" s="75"/>
      <c r="AFY497" s="75"/>
      <c r="AFZ497" s="75"/>
      <c r="AGA497" s="75"/>
      <c r="AGB497" s="75"/>
      <c r="AGC497" s="75"/>
      <c r="AGD497" s="75"/>
      <c r="AGE497" s="75"/>
      <c r="AGF497" s="75"/>
      <c r="AGG497" s="75"/>
      <c r="AGH497" s="75"/>
      <c r="AGI497" s="75"/>
      <c r="AGJ497" s="75"/>
      <c r="AGK497" s="75"/>
      <c r="AGL497" s="75"/>
      <c r="AGM497" s="75"/>
      <c r="AGN497" s="75"/>
      <c r="AGO497" s="75"/>
      <c r="AGP497" s="75"/>
      <c r="AGQ497" s="75"/>
      <c r="AGR497" s="75"/>
      <c r="AGS497" s="75"/>
      <c r="AGT497" s="75"/>
      <c r="AGU497" s="75"/>
      <c r="AGV497" s="75"/>
      <c r="AGW497" s="75"/>
      <c r="AGX497" s="75"/>
      <c r="AGY497" s="75"/>
      <c r="AGZ497" s="75"/>
      <c r="AHA497" s="75"/>
      <c r="AHB497" s="75"/>
      <c r="AHC497" s="75"/>
      <c r="AHD497" s="75"/>
      <c r="AHE497" s="75"/>
      <c r="AHF497" s="75"/>
      <c r="AHG497" s="75"/>
      <c r="AHH497" s="75"/>
      <c r="AHI497" s="75"/>
      <c r="AHJ497" s="75"/>
      <c r="AHK497" s="75"/>
      <c r="AHL497" s="75"/>
      <c r="AHM497" s="75"/>
      <c r="AHN497" s="75"/>
      <c r="AHO497" s="75"/>
      <c r="AHP497" s="75"/>
      <c r="AHQ497" s="75"/>
      <c r="AHR497" s="75"/>
      <c r="AHS497" s="75"/>
      <c r="AHT497" s="75"/>
      <c r="AHU497" s="75"/>
      <c r="AHV497" s="75"/>
      <c r="AHW497" s="75"/>
      <c r="AHX497" s="75"/>
      <c r="AHY497" s="75"/>
      <c r="AHZ497" s="75"/>
      <c r="AIA497" s="75"/>
      <c r="AIB497" s="75"/>
      <c r="AIC497" s="75"/>
      <c r="AID497" s="75"/>
      <c r="AIE497" s="75"/>
      <c r="AIF497" s="75"/>
      <c r="AIG497" s="75"/>
      <c r="AIH497" s="75"/>
      <c r="AII497" s="75"/>
      <c r="AIJ497" s="75"/>
      <c r="AIK497" s="75"/>
      <c r="AIL497" s="75"/>
      <c r="AIM497" s="75"/>
      <c r="AIN497" s="75"/>
      <c r="AIO497" s="75"/>
      <c r="AIP497" s="75"/>
      <c r="AIQ497" s="75"/>
      <c r="AIR497" s="75"/>
      <c r="AIS497" s="75"/>
      <c r="AIT497" s="75"/>
      <c r="AIU497" s="75"/>
      <c r="AIV497" s="75"/>
      <c r="AIW497" s="75"/>
      <c r="AIX497" s="75"/>
      <c r="AIY497" s="75"/>
      <c r="AIZ497" s="75"/>
      <c r="AJA497" s="75"/>
      <c r="AJB497" s="75"/>
      <c r="AJC497" s="75"/>
      <c r="AJD497" s="75"/>
      <c r="AJE497" s="75"/>
      <c r="AJF497" s="75"/>
      <c r="AJG497" s="75"/>
      <c r="AJH497" s="75"/>
      <c r="AJI497" s="75"/>
      <c r="AJJ497" s="75"/>
      <c r="AJK497" s="75"/>
      <c r="AJL497" s="75"/>
      <c r="AJM497" s="75"/>
      <c r="AJN497" s="75"/>
      <c r="AJO497" s="75"/>
      <c r="AJP497" s="75"/>
      <c r="AJQ497" s="75"/>
      <c r="AJR497" s="75"/>
      <c r="AJS497" s="75"/>
      <c r="AJT497" s="75"/>
      <c r="AJU497" s="75"/>
      <c r="AJV497" s="75"/>
      <c r="AJW497" s="75"/>
      <c r="AJX497" s="75"/>
      <c r="AJY497" s="75"/>
      <c r="AJZ497" s="75"/>
      <c r="AKA497" s="75"/>
      <c r="AKB497" s="75"/>
      <c r="AKC497" s="75"/>
      <c r="AKD497" s="75"/>
      <c r="AKE497" s="75"/>
      <c r="AKF497" s="75"/>
      <c r="AKG497" s="75"/>
      <c r="AKH497" s="75"/>
      <c r="AKI497" s="75"/>
      <c r="AKJ497" s="75"/>
      <c r="AKK497" s="75"/>
      <c r="AKL497" s="75"/>
      <c r="AKM497" s="75"/>
      <c r="AKN497" s="75"/>
      <c r="AKO497" s="75"/>
      <c r="AKP497" s="75"/>
      <c r="AKQ497" s="75"/>
      <c r="AKR497" s="75"/>
      <c r="AKS497" s="75"/>
      <c r="AKT497" s="75"/>
      <c r="AKU497" s="75"/>
      <c r="AKV497" s="75"/>
      <c r="AKW497" s="75"/>
      <c r="AKX497" s="75"/>
      <c r="AKY497" s="75"/>
      <c r="AKZ497" s="75"/>
      <c r="ALA497" s="75"/>
      <c r="ALB497" s="75"/>
      <c r="ALC497" s="75"/>
      <c r="ALD497" s="75"/>
      <c r="ALE497" s="75"/>
      <c r="ALF497" s="75"/>
      <c r="ALG497" s="75"/>
      <c r="ALH497" s="75"/>
      <c r="ALI497" s="75"/>
      <c r="ALJ497" s="75"/>
      <c r="ALK497" s="75"/>
      <c r="ALL497" s="75"/>
      <c r="ALM497" s="75"/>
      <c r="ALN497" s="75"/>
      <c r="ALO497" s="75"/>
    </row>
    <row r="498" spans="1:1003" s="235" customFormat="1" ht="14.55" customHeight="1" outlineLevel="1" x14ac:dyDescent="0.25">
      <c r="A498" s="230" t="s">
        <v>1422</v>
      </c>
      <c r="B498" s="343" t="str">
        <f>"13.05"</f>
        <v>13.05</v>
      </c>
      <c r="C498" s="75" t="s">
        <v>2182</v>
      </c>
      <c r="D498" s="127" t="s">
        <v>2183</v>
      </c>
      <c r="E498" s="232"/>
      <c r="F498" s="75"/>
      <c r="G498" s="75"/>
      <c r="H498" s="75"/>
      <c r="I498" s="75"/>
      <c r="J498" s="75"/>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c r="AY498" s="75"/>
      <c r="AZ498" s="75"/>
      <c r="BA498" s="75"/>
      <c r="BB498" s="75"/>
      <c r="BC498" s="75"/>
      <c r="BD498" s="75"/>
      <c r="BE498" s="75"/>
      <c r="BF498" s="75"/>
      <c r="BG498" s="75"/>
      <c r="BH498" s="75"/>
      <c r="BI498" s="75"/>
      <c r="BJ498" s="75"/>
      <c r="BK498" s="75"/>
      <c r="BL498" s="75"/>
      <c r="BM498" s="75"/>
      <c r="BN498" s="75"/>
      <c r="BO498" s="75"/>
      <c r="BP498" s="75"/>
      <c r="BQ498" s="75"/>
      <c r="BR498" s="75"/>
      <c r="BS498" s="75"/>
      <c r="BT498" s="75"/>
      <c r="BU498" s="75"/>
      <c r="BV498" s="75"/>
      <c r="BW498" s="75"/>
      <c r="BX498" s="75"/>
      <c r="BY498" s="75"/>
      <c r="BZ498" s="75"/>
      <c r="CA498" s="75"/>
      <c r="CB498" s="75"/>
      <c r="CC498" s="75"/>
      <c r="CD498" s="75"/>
      <c r="CE498" s="75"/>
      <c r="CF498" s="75"/>
      <c r="CG498" s="75"/>
      <c r="CH498" s="75"/>
      <c r="CI498" s="75"/>
      <c r="CJ498" s="75"/>
      <c r="CK498" s="75"/>
      <c r="CL498" s="75"/>
      <c r="CM498" s="75"/>
      <c r="CN498" s="75"/>
      <c r="CO498" s="75"/>
      <c r="CP498" s="75"/>
      <c r="CQ498" s="75"/>
      <c r="CR498" s="75"/>
      <c r="CS498" s="75"/>
      <c r="CT498" s="75"/>
      <c r="CU498" s="75"/>
      <c r="CV498" s="75"/>
      <c r="CW498" s="75"/>
      <c r="CX498" s="75"/>
      <c r="CY498" s="75"/>
      <c r="CZ498" s="75"/>
      <c r="DA498" s="75"/>
      <c r="DB498" s="75"/>
      <c r="DC498" s="75"/>
      <c r="DD498" s="75"/>
      <c r="DE498" s="75"/>
      <c r="DF498" s="75"/>
      <c r="DG498" s="75"/>
      <c r="DH498" s="75"/>
      <c r="DI498" s="75"/>
      <c r="DJ498" s="75"/>
      <c r="DK498" s="75"/>
      <c r="DL498" s="75"/>
      <c r="DM498" s="75"/>
      <c r="DN498" s="75"/>
      <c r="DO498" s="75"/>
      <c r="DP498" s="75"/>
      <c r="DQ498" s="75"/>
      <c r="DR498" s="75"/>
      <c r="DS498" s="75"/>
      <c r="DT498" s="75"/>
      <c r="DU498" s="75"/>
      <c r="DV498" s="75"/>
      <c r="DW498" s="75"/>
      <c r="DX498" s="75"/>
      <c r="DY498" s="75"/>
      <c r="DZ498" s="75"/>
      <c r="EA498" s="75"/>
      <c r="EB498" s="75"/>
      <c r="EC498" s="75"/>
      <c r="ED498" s="75"/>
      <c r="EE498" s="75"/>
      <c r="EF498" s="75"/>
      <c r="EG498" s="75"/>
      <c r="EH498" s="75"/>
      <c r="EI498" s="75"/>
      <c r="EJ498" s="75"/>
      <c r="EK498" s="75"/>
      <c r="EL498" s="75"/>
      <c r="EM498" s="75"/>
      <c r="EN498" s="75"/>
      <c r="EO498" s="75"/>
      <c r="EP498" s="75"/>
      <c r="EQ498" s="75"/>
      <c r="ER498" s="75"/>
      <c r="ES498" s="75"/>
      <c r="ET498" s="75"/>
      <c r="EU498" s="75"/>
      <c r="EV498" s="75"/>
      <c r="EW498" s="75"/>
      <c r="EX498" s="75"/>
      <c r="EY498" s="75"/>
      <c r="EZ498" s="75"/>
      <c r="FA498" s="75"/>
      <c r="FB498" s="75"/>
      <c r="FC498" s="75"/>
      <c r="FD498" s="75"/>
      <c r="FE498" s="75"/>
      <c r="FF498" s="75"/>
      <c r="FG498" s="75"/>
      <c r="FH498" s="75"/>
      <c r="FI498" s="75"/>
      <c r="FJ498" s="75"/>
      <c r="FK498" s="75"/>
      <c r="FL498" s="75"/>
      <c r="FM498" s="75"/>
      <c r="FN498" s="75"/>
      <c r="FO498" s="75"/>
      <c r="FP498" s="75"/>
      <c r="FQ498" s="75"/>
      <c r="FR498" s="75"/>
      <c r="FS498" s="75"/>
      <c r="FT498" s="75"/>
      <c r="FU498" s="75"/>
      <c r="FV498" s="75"/>
      <c r="FW498" s="75"/>
      <c r="FX498" s="75"/>
      <c r="FY498" s="75"/>
      <c r="FZ498" s="75"/>
      <c r="GA498" s="75"/>
      <c r="GB498" s="75"/>
      <c r="GC498" s="75"/>
      <c r="GD498" s="75"/>
      <c r="GE498" s="75"/>
      <c r="GF498" s="75"/>
      <c r="GG498" s="75"/>
      <c r="GH498" s="75"/>
      <c r="GI498" s="75"/>
      <c r="GJ498" s="75"/>
      <c r="GK498" s="75"/>
      <c r="GL498" s="75"/>
      <c r="GM498" s="75"/>
      <c r="GN498" s="75"/>
      <c r="GO498" s="75"/>
      <c r="GP498" s="75"/>
      <c r="GQ498" s="75"/>
      <c r="GR498" s="75"/>
      <c r="GS498" s="75"/>
      <c r="GT498" s="75"/>
      <c r="GU498" s="75"/>
      <c r="GV498" s="75"/>
      <c r="GW498" s="75"/>
      <c r="GX498" s="75"/>
      <c r="GY498" s="75"/>
      <c r="GZ498" s="75"/>
      <c r="HA498" s="75"/>
      <c r="HB498" s="75"/>
      <c r="HC498" s="75"/>
      <c r="HD498" s="75"/>
      <c r="HE498" s="75"/>
      <c r="HF498" s="75"/>
      <c r="HG498" s="75"/>
      <c r="HH498" s="75"/>
      <c r="HI498" s="75"/>
      <c r="HJ498" s="75"/>
      <c r="HK498" s="75"/>
      <c r="HL498" s="75"/>
      <c r="HM498" s="75"/>
      <c r="HN498" s="75"/>
      <c r="HO498" s="75"/>
      <c r="HP498" s="75"/>
      <c r="HQ498" s="75"/>
      <c r="HR498" s="75"/>
      <c r="HS498" s="75"/>
      <c r="HT498" s="75"/>
      <c r="HU498" s="75"/>
      <c r="HV498" s="75"/>
      <c r="HW498" s="75"/>
      <c r="HX498" s="75"/>
      <c r="HY498" s="75"/>
      <c r="HZ498" s="75"/>
      <c r="IA498" s="75"/>
      <c r="IB498" s="75"/>
      <c r="IC498" s="75"/>
      <c r="ID498" s="75"/>
      <c r="IE498" s="75"/>
      <c r="IF498" s="75"/>
      <c r="IG498" s="75"/>
      <c r="IH498" s="75"/>
      <c r="II498" s="75"/>
      <c r="IJ498" s="75"/>
      <c r="IK498" s="75"/>
      <c r="IL498" s="75"/>
      <c r="IM498" s="75"/>
      <c r="IN498" s="75"/>
      <c r="IO498" s="75"/>
      <c r="IP498" s="75"/>
      <c r="IQ498" s="75"/>
      <c r="IR498" s="75"/>
      <c r="IS498" s="75"/>
      <c r="IT498" s="75"/>
      <c r="IU498" s="75"/>
      <c r="IV498" s="75"/>
      <c r="IW498" s="75"/>
      <c r="IX498" s="75"/>
      <c r="IY498" s="75"/>
      <c r="IZ498" s="75"/>
      <c r="JA498" s="75"/>
      <c r="JB498" s="75"/>
      <c r="JC498" s="75"/>
      <c r="JD498" s="75"/>
      <c r="JE498" s="75"/>
      <c r="JF498" s="75"/>
      <c r="JG498" s="75"/>
      <c r="JH498" s="75"/>
      <c r="JI498" s="75"/>
      <c r="JJ498" s="75"/>
      <c r="JK498" s="75"/>
      <c r="JL498" s="75"/>
      <c r="JM498" s="75"/>
      <c r="JN498" s="75"/>
      <c r="JO498" s="75"/>
      <c r="JP498" s="75"/>
      <c r="JQ498" s="75"/>
      <c r="JR498" s="75"/>
      <c r="JS498" s="75"/>
      <c r="JT498" s="75"/>
      <c r="JU498" s="75"/>
      <c r="JV498" s="75"/>
      <c r="JW498" s="75"/>
      <c r="JX498" s="75"/>
      <c r="JY498" s="75"/>
      <c r="JZ498" s="75"/>
      <c r="KA498" s="75"/>
      <c r="KB498" s="75"/>
      <c r="KC498" s="75"/>
      <c r="KD498" s="75"/>
      <c r="KE498" s="75"/>
      <c r="KF498" s="75"/>
      <c r="KG498" s="75"/>
      <c r="KH498" s="75"/>
      <c r="KI498" s="75"/>
      <c r="KJ498" s="75"/>
      <c r="KK498" s="75"/>
      <c r="KL498" s="75"/>
      <c r="KM498" s="75"/>
      <c r="KN498" s="75"/>
      <c r="KO498" s="75"/>
      <c r="KP498" s="75"/>
      <c r="KQ498" s="75"/>
      <c r="KR498" s="75"/>
      <c r="KS498" s="75"/>
      <c r="KT498" s="75"/>
      <c r="KU498" s="75"/>
      <c r="KV498" s="75"/>
      <c r="KW498" s="75"/>
      <c r="KX498" s="75"/>
      <c r="KY498" s="75"/>
      <c r="KZ498" s="75"/>
      <c r="LA498" s="75"/>
      <c r="LB498" s="75"/>
      <c r="LC498" s="75"/>
      <c r="LD498" s="75"/>
      <c r="LE498" s="75"/>
      <c r="LF498" s="75"/>
      <c r="LG498" s="75"/>
      <c r="LH498" s="75"/>
      <c r="LI498" s="75"/>
      <c r="LJ498" s="75"/>
      <c r="LK498" s="75"/>
      <c r="LL498" s="75"/>
      <c r="LM498" s="75"/>
      <c r="LN498" s="75"/>
      <c r="LO498" s="75"/>
      <c r="LP498" s="75"/>
      <c r="LQ498" s="75"/>
      <c r="LR498" s="75"/>
      <c r="LS498" s="75"/>
      <c r="LT498" s="75"/>
      <c r="LU498" s="75"/>
      <c r="LV498" s="75"/>
      <c r="LW498" s="75"/>
      <c r="LX498" s="75"/>
      <c r="LY498" s="75"/>
      <c r="LZ498" s="75"/>
      <c r="MA498" s="75"/>
      <c r="MB498" s="75"/>
      <c r="MC498" s="75"/>
      <c r="MD498" s="75"/>
      <c r="ME498" s="75"/>
      <c r="MF498" s="75"/>
      <c r="MG498" s="75"/>
      <c r="MH498" s="75"/>
      <c r="MI498" s="75"/>
      <c r="MJ498" s="75"/>
      <c r="MK498" s="75"/>
      <c r="ML498" s="75"/>
      <c r="MM498" s="75"/>
      <c r="MN498" s="75"/>
      <c r="MO498" s="75"/>
      <c r="MP498" s="75"/>
      <c r="MQ498" s="75"/>
      <c r="MR498" s="75"/>
      <c r="MS498" s="75"/>
      <c r="MT498" s="75"/>
      <c r="MU498" s="75"/>
      <c r="MV498" s="75"/>
      <c r="MW498" s="75"/>
      <c r="MX498" s="75"/>
      <c r="MY498" s="75"/>
      <c r="MZ498" s="75"/>
      <c r="NA498" s="75"/>
      <c r="NB498" s="75"/>
      <c r="NC498" s="75"/>
      <c r="ND498" s="75"/>
      <c r="NE498" s="75"/>
      <c r="NF498" s="75"/>
      <c r="NG498" s="75"/>
      <c r="NH498" s="75"/>
      <c r="NI498" s="75"/>
      <c r="NJ498" s="75"/>
      <c r="NK498" s="75"/>
      <c r="NL498" s="75"/>
      <c r="NM498" s="75"/>
      <c r="NN498" s="75"/>
      <c r="NO498" s="75"/>
      <c r="NP498" s="75"/>
      <c r="NQ498" s="75"/>
      <c r="NR498" s="75"/>
      <c r="NS498" s="75"/>
      <c r="NT498" s="75"/>
      <c r="NU498" s="75"/>
      <c r="NV498" s="75"/>
      <c r="NW498" s="75"/>
      <c r="NX498" s="75"/>
      <c r="NY498" s="75"/>
      <c r="NZ498" s="75"/>
      <c r="OA498" s="75"/>
      <c r="OB498" s="75"/>
      <c r="OC498" s="75"/>
      <c r="OD498" s="75"/>
      <c r="OE498" s="75"/>
      <c r="OF498" s="75"/>
      <c r="OG498" s="75"/>
      <c r="OH498" s="75"/>
      <c r="OI498" s="75"/>
      <c r="OJ498" s="75"/>
      <c r="OK498" s="75"/>
      <c r="OL498" s="75"/>
      <c r="OM498" s="75"/>
      <c r="ON498" s="75"/>
      <c r="OO498" s="75"/>
      <c r="OP498" s="75"/>
      <c r="OQ498" s="75"/>
      <c r="OR498" s="75"/>
      <c r="OS498" s="75"/>
      <c r="OT498" s="75"/>
      <c r="OU498" s="75"/>
      <c r="OV498" s="75"/>
      <c r="OW498" s="75"/>
      <c r="OX498" s="75"/>
      <c r="OY498" s="75"/>
      <c r="OZ498" s="75"/>
      <c r="PA498" s="75"/>
      <c r="PB498" s="75"/>
      <c r="PC498" s="75"/>
      <c r="PD498" s="75"/>
      <c r="PE498" s="75"/>
      <c r="PF498" s="75"/>
      <c r="PG498" s="75"/>
      <c r="PH498" s="75"/>
      <c r="PI498" s="75"/>
      <c r="PJ498" s="75"/>
      <c r="PK498" s="75"/>
      <c r="PL498" s="75"/>
      <c r="PM498" s="75"/>
      <c r="PN498" s="75"/>
      <c r="PO498" s="75"/>
      <c r="PP498" s="75"/>
      <c r="PQ498" s="75"/>
      <c r="PR498" s="75"/>
      <c r="PS498" s="75"/>
      <c r="PT498" s="75"/>
      <c r="PU498" s="75"/>
      <c r="PV498" s="75"/>
      <c r="PW498" s="75"/>
      <c r="PX498" s="75"/>
      <c r="PY498" s="75"/>
      <c r="PZ498" s="75"/>
      <c r="QA498" s="75"/>
      <c r="QB498" s="75"/>
      <c r="QC498" s="75"/>
      <c r="QD498" s="75"/>
      <c r="QE498" s="75"/>
      <c r="QF498" s="75"/>
      <c r="QG498" s="75"/>
      <c r="QH498" s="75"/>
      <c r="QI498" s="75"/>
      <c r="QJ498" s="75"/>
      <c r="QK498" s="75"/>
      <c r="QL498" s="75"/>
      <c r="QM498" s="75"/>
      <c r="QN498" s="75"/>
      <c r="QO498" s="75"/>
      <c r="QP498" s="75"/>
      <c r="QQ498" s="75"/>
      <c r="QR498" s="75"/>
      <c r="QS498" s="75"/>
      <c r="QT498" s="75"/>
      <c r="QU498" s="75"/>
      <c r="QV498" s="75"/>
      <c r="QW498" s="75"/>
      <c r="QX498" s="75"/>
      <c r="QY498" s="75"/>
      <c r="QZ498" s="75"/>
      <c r="RA498" s="75"/>
      <c r="RB498" s="75"/>
      <c r="RC498" s="75"/>
      <c r="RD498" s="75"/>
      <c r="RE498" s="75"/>
      <c r="RF498" s="75"/>
      <c r="RG498" s="75"/>
      <c r="RH498" s="75"/>
      <c r="RI498" s="75"/>
      <c r="RJ498" s="75"/>
      <c r="RK498" s="75"/>
      <c r="RL498" s="75"/>
      <c r="RM498" s="75"/>
      <c r="RN498" s="75"/>
      <c r="RO498" s="75"/>
      <c r="RP498" s="75"/>
      <c r="RQ498" s="75"/>
      <c r="RR498" s="75"/>
      <c r="RS498" s="75"/>
      <c r="RT498" s="75"/>
      <c r="RU498" s="75"/>
      <c r="RV498" s="75"/>
      <c r="RW498" s="75"/>
      <c r="RX498" s="75"/>
      <c r="RY498" s="75"/>
      <c r="RZ498" s="75"/>
      <c r="SA498" s="75"/>
      <c r="SB498" s="75"/>
      <c r="SC498" s="75"/>
      <c r="SD498" s="75"/>
      <c r="SE498" s="75"/>
      <c r="SF498" s="75"/>
      <c r="SG498" s="75"/>
      <c r="SH498" s="75"/>
      <c r="SI498" s="75"/>
      <c r="SJ498" s="75"/>
      <c r="SK498" s="75"/>
      <c r="SL498" s="75"/>
      <c r="SM498" s="75"/>
      <c r="SN498" s="75"/>
      <c r="SO498" s="75"/>
      <c r="SP498" s="75"/>
      <c r="SQ498" s="75"/>
      <c r="SR498" s="75"/>
      <c r="SS498" s="75"/>
      <c r="ST498" s="75"/>
      <c r="SU498" s="75"/>
      <c r="SV498" s="75"/>
      <c r="SW498" s="75"/>
      <c r="SX498" s="75"/>
      <c r="SY498" s="75"/>
      <c r="SZ498" s="75"/>
      <c r="TA498" s="75"/>
      <c r="TB498" s="75"/>
      <c r="TC498" s="75"/>
      <c r="TD498" s="75"/>
      <c r="TE498" s="75"/>
      <c r="TF498" s="75"/>
      <c r="TG498" s="75"/>
      <c r="TH498" s="75"/>
      <c r="TI498" s="75"/>
      <c r="TJ498" s="75"/>
      <c r="TK498" s="75"/>
      <c r="TL498" s="75"/>
      <c r="TM498" s="75"/>
      <c r="TN498" s="75"/>
      <c r="TO498" s="75"/>
      <c r="TP498" s="75"/>
      <c r="TQ498" s="75"/>
      <c r="TR498" s="75"/>
      <c r="TS498" s="75"/>
      <c r="TT498" s="75"/>
      <c r="TU498" s="75"/>
      <c r="TV498" s="75"/>
      <c r="TW498" s="75"/>
      <c r="TX498" s="75"/>
      <c r="TY498" s="75"/>
      <c r="TZ498" s="75"/>
      <c r="UA498" s="75"/>
      <c r="UB498" s="75"/>
      <c r="UC498" s="75"/>
      <c r="UD498" s="75"/>
      <c r="UE498" s="75"/>
      <c r="UF498" s="75"/>
      <c r="UG498" s="75"/>
      <c r="UH498" s="75"/>
      <c r="UI498" s="75"/>
      <c r="UJ498" s="75"/>
      <c r="UK498" s="75"/>
      <c r="UL498" s="75"/>
      <c r="UM498" s="75"/>
      <c r="UN498" s="75"/>
      <c r="UO498" s="75"/>
      <c r="UP498" s="75"/>
      <c r="UQ498" s="75"/>
      <c r="UR498" s="75"/>
      <c r="US498" s="75"/>
      <c r="UT498" s="75"/>
      <c r="UU498" s="75"/>
      <c r="UV498" s="75"/>
      <c r="UW498" s="75"/>
      <c r="UX498" s="75"/>
      <c r="UY498" s="75"/>
      <c r="UZ498" s="75"/>
      <c r="VA498" s="75"/>
      <c r="VB498" s="75"/>
      <c r="VC498" s="75"/>
      <c r="VD498" s="75"/>
      <c r="VE498" s="75"/>
      <c r="VF498" s="75"/>
      <c r="VG498" s="75"/>
      <c r="VH498" s="75"/>
      <c r="VI498" s="75"/>
      <c r="VJ498" s="75"/>
      <c r="VK498" s="75"/>
      <c r="VL498" s="75"/>
      <c r="VM498" s="75"/>
      <c r="VN498" s="75"/>
      <c r="VO498" s="75"/>
      <c r="VP498" s="75"/>
      <c r="VQ498" s="75"/>
      <c r="VR498" s="75"/>
      <c r="VS498" s="75"/>
      <c r="VT498" s="75"/>
      <c r="VU498" s="75"/>
      <c r="VV498" s="75"/>
      <c r="VW498" s="75"/>
      <c r="VX498" s="75"/>
      <c r="VY498" s="75"/>
      <c r="VZ498" s="75"/>
      <c r="WA498" s="75"/>
      <c r="WB498" s="75"/>
      <c r="WC498" s="75"/>
      <c r="WD498" s="75"/>
      <c r="WE498" s="75"/>
      <c r="WF498" s="75"/>
      <c r="WG498" s="75"/>
      <c r="WH498" s="75"/>
      <c r="WI498" s="75"/>
      <c r="WJ498" s="75"/>
      <c r="WK498" s="75"/>
      <c r="WL498" s="75"/>
      <c r="WM498" s="75"/>
      <c r="WN498" s="75"/>
      <c r="WO498" s="75"/>
      <c r="WP498" s="75"/>
      <c r="WQ498" s="75"/>
      <c r="WR498" s="75"/>
      <c r="WS498" s="75"/>
      <c r="WT498" s="75"/>
      <c r="WU498" s="75"/>
      <c r="WV498" s="75"/>
      <c r="WW498" s="75"/>
      <c r="WX498" s="75"/>
      <c r="WY498" s="75"/>
      <c r="WZ498" s="75"/>
      <c r="XA498" s="75"/>
      <c r="XB498" s="75"/>
      <c r="XC498" s="75"/>
      <c r="XD498" s="75"/>
      <c r="XE498" s="75"/>
      <c r="XF498" s="75"/>
      <c r="XG498" s="75"/>
      <c r="XH498" s="75"/>
      <c r="XI498" s="75"/>
      <c r="XJ498" s="75"/>
      <c r="XK498" s="75"/>
      <c r="XL498" s="75"/>
      <c r="XM498" s="75"/>
      <c r="XN498" s="75"/>
      <c r="XO498" s="75"/>
      <c r="XP498" s="75"/>
      <c r="XQ498" s="75"/>
      <c r="XR498" s="75"/>
      <c r="XS498" s="75"/>
      <c r="XT498" s="75"/>
      <c r="XU498" s="75"/>
      <c r="XV498" s="75"/>
      <c r="XW498" s="75"/>
      <c r="XX498" s="75"/>
      <c r="XY498" s="75"/>
      <c r="XZ498" s="75"/>
      <c r="YA498" s="75"/>
      <c r="YB498" s="75"/>
      <c r="YC498" s="75"/>
      <c r="YD498" s="75"/>
      <c r="YE498" s="75"/>
      <c r="YF498" s="75"/>
      <c r="YG498" s="75"/>
      <c r="YH498" s="75"/>
      <c r="YI498" s="75"/>
      <c r="YJ498" s="75"/>
      <c r="YK498" s="75"/>
      <c r="YL498" s="75"/>
      <c r="YM498" s="75"/>
      <c r="YN498" s="75"/>
      <c r="YO498" s="75"/>
      <c r="YP498" s="75"/>
      <c r="YQ498" s="75"/>
      <c r="YR498" s="75"/>
      <c r="YS498" s="75"/>
      <c r="YT498" s="75"/>
      <c r="YU498" s="75"/>
      <c r="YV498" s="75"/>
      <c r="YW498" s="75"/>
      <c r="YX498" s="75"/>
      <c r="YY498" s="75"/>
      <c r="YZ498" s="75"/>
      <c r="ZA498" s="75"/>
      <c r="ZB498" s="75"/>
      <c r="ZC498" s="75"/>
      <c r="ZD498" s="75"/>
      <c r="ZE498" s="75"/>
      <c r="ZF498" s="75"/>
      <c r="ZG498" s="75"/>
      <c r="ZH498" s="75"/>
      <c r="ZI498" s="75"/>
      <c r="ZJ498" s="75"/>
      <c r="ZK498" s="75"/>
      <c r="ZL498" s="75"/>
      <c r="ZM498" s="75"/>
      <c r="ZN498" s="75"/>
      <c r="ZO498" s="75"/>
      <c r="ZP498" s="75"/>
      <c r="ZQ498" s="75"/>
      <c r="ZR498" s="75"/>
      <c r="ZS498" s="75"/>
      <c r="ZT498" s="75"/>
      <c r="ZU498" s="75"/>
      <c r="ZV498" s="75"/>
      <c r="ZW498" s="75"/>
      <c r="ZX498" s="75"/>
      <c r="ZY498" s="75"/>
      <c r="ZZ498" s="75"/>
      <c r="AAA498" s="75"/>
      <c r="AAB498" s="75"/>
      <c r="AAC498" s="75"/>
      <c r="AAD498" s="75"/>
      <c r="AAE498" s="75"/>
      <c r="AAF498" s="75"/>
      <c r="AAG498" s="75"/>
      <c r="AAH498" s="75"/>
      <c r="AAI498" s="75"/>
      <c r="AAJ498" s="75"/>
      <c r="AAK498" s="75"/>
      <c r="AAL498" s="75"/>
      <c r="AAM498" s="75"/>
      <c r="AAN498" s="75"/>
      <c r="AAO498" s="75"/>
      <c r="AAP498" s="75"/>
      <c r="AAQ498" s="75"/>
      <c r="AAR498" s="75"/>
      <c r="AAS498" s="75"/>
      <c r="AAT498" s="75"/>
      <c r="AAU498" s="75"/>
      <c r="AAV498" s="75"/>
      <c r="AAW498" s="75"/>
      <c r="AAX498" s="75"/>
      <c r="AAY498" s="75"/>
      <c r="AAZ498" s="75"/>
      <c r="ABA498" s="75"/>
      <c r="ABB498" s="75"/>
      <c r="ABC498" s="75"/>
      <c r="ABD498" s="75"/>
      <c r="ABE498" s="75"/>
      <c r="ABF498" s="75"/>
      <c r="ABG498" s="75"/>
      <c r="ABH498" s="75"/>
      <c r="ABI498" s="75"/>
      <c r="ABJ498" s="75"/>
      <c r="ABK498" s="75"/>
      <c r="ABL498" s="75"/>
      <c r="ABM498" s="75"/>
      <c r="ABN498" s="75"/>
      <c r="ABO498" s="75"/>
      <c r="ABP498" s="75"/>
      <c r="ABQ498" s="75"/>
      <c r="ABR498" s="75"/>
      <c r="ABS498" s="75"/>
      <c r="ABT498" s="75"/>
      <c r="ABU498" s="75"/>
      <c r="ABV498" s="75"/>
      <c r="ABW498" s="75"/>
      <c r="ABX498" s="75"/>
      <c r="ABY498" s="75"/>
      <c r="ABZ498" s="75"/>
      <c r="ACA498" s="75"/>
      <c r="ACB498" s="75"/>
      <c r="ACC498" s="75"/>
      <c r="ACD498" s="75"/>
      <c r="ACE498" s="75"/>
      <c r="ACF498" s="75"/>
      <c r="ACG498" s="75"/>
      <c r="ACH498" s="75"/>
      <c r="ACI498" s="75"/>
      <c r="ACJ498" s="75"/>
      <c r="ACK498" s="75"/>
      <c r="ACL498" s="75"/>
      <c r="ACM498" s="75"/>
      <c r="ACN498" s="75"/>
      <c r="ACO498" s="75"/>
      <c r="ACP498" s="75"/>
      <c r="ACQ498" s="75"/>
      <c r="ACR498" s="75"/>
      <c r="ACS498" s="75"/>
      <c r="ACT498" s="75"/>
      <c r="ACU498" s="75"/>
      <c r="ACV498" s="75"/>
      <c r="ACW498" s="75"/>
      <c r="ACX498" s="75"/>
      <c r="ACY498" s="75"/>
      <c r="ACZ498" s="75"/>
      <c r="ADA498" s="75"/>
      <c r="ADB498" s="75"/>
      <c r="ADC498" s="75"/>
      <c r="ADD498" s="75"/>
      <c r="ADE498" s="75"/>
      <c r="ADF498" s="75"/>
      <c r="ADG498" s="75"/>
      <c r="ADH498" s="75"/>
      <c r="ADI498" s="75"/>
      <c r="ADJ498" s="75"/>
      <c r="ADK498" s="75"/>
      <c r="ADL498" s="75"/>
      <c r="ADM498" s="75"/>
      <c r="ADN498" s="75"/>
      <c r="ADO498" s="75"/>
      <c r="ADP498" s="75"/>
      <c r="ADQ498" s="75"/>
      <c r="ADR498" s="75"/>
      <c r="ADS498" s="75"/>
      <c r="ADT498" s="75"/>
      <c r="ADU498" s="75"/>
      <c r="ADV498" s="75"/>
      <c r="ADW498" s="75"/>
      <c r="ADX498" s="75"/>
      <c r="ADY498" s="75"/>
      <c r="ADZ498" s="75"/>
      <c r="AEA498" s="75"/>
      <c r="AEB498" s="75"/>
      <c r="AEC498" s="75"/>
      <c r="AED498" s="75"/>
      <c r="AEE498" s="75"/>
      <c r="AEF498" s="75"/>
      <c r="AEG498" s="75"/>
      <c r="AEH498" s="75"/>
      <c r="AEI498" s="75"/>
      <c r="AEJ498" s="75"/>
      <c r="AEK498" s="75"/>
      <c r="AEL498" s="75"/>
      <c r="AEM498" s="75"/>
      <c r="AEN498" s="75"/>
      <c r="AEO498" s="75"/>
      <c r="AEP498" s="75"/>
      <c r="AEQ498" s="75"/>
      <c r="AER498" s="75"/>
      <c r="AES498" s="75"/>
      <c r="AET498" s="75"/>
      <c r="AEU498" s="75"/>
      <c r="AEV498" s="75"/>
      <c r="AEW498" s="75"/>
      <c r="AEX498" s="75"/>
      <c r="AEY498" s="75"/>
      <c r="AEZ498" s="75"/>
      <c r="AFA498" s="75"/>
      <c r="AFB498" s="75"/>
      <c r="AFC498" s="75"/>
      <c r="AFD498" s="75"/>
      <c r="AFE498" s="75"/>
      <c r="AFF498" s="75"/>
      <c r="AFG498" s="75"/>
      <c r="AFH498" s="75"/>
      <c r="AFI498" s="75"/>
      <c r="AFJ498" s="75"/>
      <c r="AFK498" s="75"/>
      <c r="AFL498" s="75"/>
      <c r="AFM498" s="75"/>
      <c r="AFN498" s="75"/>
      <c r="AFO498" s="75"/>
      <c r="AFP498" s="75"/>
      <c r="AFQ498" s="75"/>
      <c r="AFR498" s="75"/>
      <c r="AFS498" s="75"/>
      <c r="AFT498" s="75"/>
      <c r="AFU498" s="75"/>
      <c r="AFV498" s="75"/>
      <c r="AFW498" s="75"/>
      <c r="AFX498" s="75"/>
      <c r="AFY498" s="75"/>
      <c r="AFZ498" s="75"/>
      <c r="AGA498" s="75"/>
      <c r="AGB498" s="75"/>
      <c r="AGC498" s="75"/>
      <c r="AGD498" s="75"/>
      <c r="AGE498" s="75"/>
      <c r="AGF498" s="75"/>
      <c r="AGG498" s="75"/>
      <c r="AGH498" s="75"/>
      <c r="AGI498" s="75"/>
      <c r="AGJ498" s="75"/>
      <c r="AGK498" s="75"/>
      <c r="AGL498" s="75"/>
      <c r="AGM498" s="75"/>
      <c r="AGN498" s="75"/>
      <c r="AGO498" s="75"/>
      <c r="AGP498" s="75"/>
      <c r="AGQ498" s="75"/>
      <c r="AGR498" s="75"/>
      <c r="AGS498" s="75"/>
      <c r="AGT498" s="75"/>
      <c r="AGU498" s="75"/>
      <c r="AGV498" s="75"/>
      <c r="AGW498" s="75"/>
      <c r="AGX498" s="75"/>
      <c r="AGY498" s="75"/>
      <c r="AGZ498" s="75"/>
      <c r="AHA498" s="75"/>
      <c r="AHB498" s="75"/>
      <c r="AHC498" s="75"/>
      <c r="AHD498" s="75"/>
      <c r="AHE498" s="75"/>
      <c r="AHF498" s="75"/>
      <c r="AHG498" s="75"/>
      <c r="AHH498" s="75"/>
      <c r="AHI498" s="75"/>
      <c r="AHJ498" s="75"/>
      <c r="AHK498" s="75"/>
      <c r="AHL498" s="75"/>
      <c r="AHM498" s="75"/>
      <c r="AHN498" s="75"/>
      <c r="AHO498" s="75"/>
      <c r="AHP498" s="75"/>
      <c r="AHQ498" s="75"/>
      <c r="AHR498" s="75"/>
      <c r="AHS498" s="75"/>
      <c r="AHT498" s="75"/>
      <c r="AHU498" s="75"/>
      <c r="AHV498" s="75"/>
      <c r="AHW498" s="75"/>
      <c r="AHX498" s="75"/>
      <c r="AHY498" s="75"/>
      <c r="AHZ498" s="75"/>
      <c r="AIA498" s="75"/>
      <c r="AIB498" s="75"/>
      <c r="AIC498" s="75"/>
      <c r="AID498" s="75"/>
      <c r="AIE498" s="75"/>
      <c r="AIF498" s="75"/>
      <c r="AIG498" s="75"/>
      <c r="AIH498" s="75"/>
      <c r="AII498" s="75"/>
      <c r="AIJ498" s="75"/>
      <c r="AIK498" s="75"/>
      <c r="AIL498" s="75"/>
      <c r="AIM498" s="75"/>
      <c r="AIN498" s="75"/>
      <c r="AIO498" s="75"/>
      <c r="AIP498" s="75"/>
      <c r="AIQ498" s="75"/>
      <c r="AIR498" s="75"/>
      <c r="AIS498" s="75"/>
      <c r="AIT498" s="75"/>
      <c r="AIU498" s="75"/>
      <c r="AIV498" s="75"/>
      <c r="AIW498" s="75"/>
      <c r="AIX498" s="75"/>
      <c r="AIY498" s="75"/>
      <c r="AIZ498" s="75"/>
      <c r="AJA498" s="75"/>
      <c r="AJB498" s="75"/>
      <c r="AJC498" s="75"/>
      <c r="AJD498" s="75"/>
      <c r="AJE498" s="75"/>
      <c r="AJF498" s="75"/>
      <c r="AJG498" s="75"/>
      <c r="AJH498" s="75"/>
      <c r="AJI498" s="75"/>
      <c r="AJJ498" s="75"/>
      <c r="AJK498" s="75"/>
      <c r="AJL498" s="75"/>
      <c r="AJM498" s="75"/>
      <c r="AJN498" s="75"/>
      <c r="AJO498" s="75"/>
      <c r="AJP498" s="75"/>
      <c r="AJQ498" s="75"/>
      <c r="AJR498" s="75"/>
      <c r="AJS498" s="75"/>
      <c r="AJT498" s="75"/>
      <c r="AJU498" s="75"/>
      <c r="AJV498" s="75"/>
      <c r="AJW498" s="75"/>
      <c r="AJX498" s="75"/>
      <c r="AJY498" s="75"/>
      <c r="AJZ498" s="75"/>
      <c r="AKA498" s="75"/>
      <c r="AKB498" s="75"/>
      <c r="AKC498" s="75"/>
      <c r="AKD498" s="75"/>
      <c r="AKE498" s="75"/>
      <c r="AKF498" s="75"/>
      <c r="AKG498" s="75"/>
      <c r="AKH498" s="75"/>
      <c r="AKI498" s="75"/>
      <c r="AKJ498" s="75"/>
      <c r="AKK498" s="75"/>
      <c r="AKL498" s="75"/>
      <c r="AKM498" s="75"/>
      <c r="AKN498" s="75"/>
      <c r="AKO498" s="75"/>
      <c r="AKP498" s="75"/>
      <c r="AKQ498" s="75"/>
      <c r="AKR498" s="75"/>
      <c r="AKS498" s="75"/>
      <c r="AKT498" s="75"/>
      <c r="AKU498" s="75"/>
      <c r="AKV498" s="75"/>
      <c r="AKW498" s="75"/>
      <c r="AKX498" s="75"/>
      <c r="AKY498" s="75"/>
      <c r="AKZ498" s="75"/>
      <c r="ALA498" s="75"/>
      <c r="ALB498" s="75"/>
      <c r="ALC498" s="75"/>
      <c r="ALD498" s="75"/>
      <c r="ALE498" s="75"/>
      <c r="ALF498" s="75"/>
      <c r="ALG498" s="75"/>
      <c r="ALH498" s="75"/>
      <c r="ALI498" s="75"/>
      <c r="ALJ498" s="75"/>
      <c r="ALK498" s="75"/>
      <c r="ALL498" s="75"/>
      <c r="ALM498" s="75"/>
      <c r="ALN498" s="75"/>
      <c r="ALO498" s="75"/>
    </row>
    <row r="499" spans="1:1003" s="235" customFormat="1" ht="14.55" customHeight="1" outlineLevel="1" x14ac:dyDescent="0.25">
      <c r="A499" s="230" t="s">
        <v>1422</v>
      </c>
      <c r="B499" s="343" t="str">
        <f>"13.0501"</f>
        <v>13.0501</v>
      </c>
      <c r="C499" s="75" t="s">
        <v>2184</v>
      </c>
      <c r="D499" s="127" t="s">
        <v>2185</v>
      </c>
      <c r="E499" s="232"/>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c r="AY499" s="75"/>
      <c r="AZ499" s="75"/>
      <c r="BA499" s="75"/>
      <c r="BB499" s="75"/>
      <c r="BC499" s="75"/>
      <c r="BD499" s="75"/>
      <c r="BE499" s="75"/>
      <c r="BF499" s="75"/>
      <c r="BG499" s="75"/>
      <c r="BH499" s="75"/>
      <c r="BI499" s="75"/>
      <c r="BJ499" s="75"/>
      <c r="BK499" s="75"/>
      <c r="BL499" s="75"/>
      <c r="BM499" s="75"/>
      <c r="BN499" s="75"/>
      <c r="BO499" s="75"/>
      <c r="BP499" s="75"/>
      <c r="BQ499" s="75"/>
      <c r="BR499" s="75"/>
      <c r="BS499" s="75"/>
      <c r="BT499" s="75"/>
      <c r="BU499" s="75"/>
      <c r="BV499" s="75"/>
      <c r="BW499" s="75"/>
      <c r="BX499" s="75"/>
      <c r="BY499" s="75"/>
      <c r="BZ499" s="75"/>
      <c r="CA499" s="75"/>
      <c r="CB499" s="75"/>
      <c r="CC499" s="75"/>
      <c r="CD499" s="75"/>
      <c r="CE499" s="75"/>
      <c r="CF499" s="75"/>
      <c r="CG499" s="75"/>
      <c r="CH499" s="75"/>
      <c r="CI499" s="75"/>
      <c r="CJ499" s="75"/>
      <c r="CK499" s="75"/>
      <c r="CL499" s="75"/>
      <c r="CM499" s="75"/>
      <c r="CN499" s="75"/>
      <c r="CO499" s="75"/>
      <c r="CP499" s="75"/>
      <c r="CQ499" s="75"/>
      <c r="CR499" s="75"/>
      <c r="CS499" s="75"/>
      <c r="CT499" s="75"/>
      <c r="CU499" s="75"/>
      <c r="CV499" s="75"/>
      <c r="CW499" s="75"/>
      <c r="CX499" s="75"/>
      <c r="CY499" s="75"/>
      <c r="CZ499" s="75"/>
      <c r="DA499" s="75"/>
      <c r="DB499" s="75"/>
      <c r="DC499" s="75"/>
      <c r="DD499" s="75"/>
      <c r="DE499" s="75"/>
      <c r="DF499" s="75"/>
      <c r="DG499" s="75"/>
      <c r="DH499" s="75"/>
      <c r="DI499" s="75"/>
      <c r="DJ499" s="75"/>
      <c r="DK499" s="75"/>
      <c r="DL499" s="75"/>
      <c r="DM499" s="75"/>
      <c r="DN499" s="75"/>
      <c r="DO499" s="75"/>
      <c r="DP499" s="75"/>
      <c r="DQ499" s="75"/>
      <c r="DR499" s="75"/>
      <c r="DS499" s="75"/>
      <c r="DT499" s="75"/>
      <c r="DU499" s="75"/>
      <c r="DV499" s="75"/>
      <c r="DW499" s="75"/>
      <c r="DX499" s="75"/>
      <c r="DY499" s="75"/>
      <c r="DZ499" s="75"/>
      <c r="EA499" s="75"/>
      <c r="EB499" s="75"/>
      <c r="EC499" s="75"/>
      <c r="ED499" s="75"/>
      <c r="EE499" s="75"/>
      <c r="EF499" s="75"/>
      <c r="EG499" s="75"/>
      <c r="EH499" s="75"/>
      <c r="EI499" s="75"/>
      <c r="EJ499" s="75"/>
      <c r="EK499" s="75"/>
      <c r="EL499" s="75"/>
      <c r="EM499" s="75"/>
      <c r="EN499" s="75"/>
      <c r="EO499" s="75"/>
      <c r="EP499" s="75"/>
      <c r="EQ499" s="75"/>
      <c r="ER499" s="75"/>
      <c r="ES499" s="75"/>
      <c r="ET499" s="75"/>
      <c r="EU499" s="75"/>
      <c r="EV499" s="75"/>
      <c r="EW499" s="75"/>
      <c r="EX499" s="75"/>
      <c r="EY499" s="75"/>
      <c r="EZ499" s="75"/>
      <c r="FA499" s="75"/>
      <c r="FB499" s="75"/>
      <c r="FC499" s="75"/>
      <c r="FD499" s="75"/>
      <c r="FE499" s="75"/>
      <c r="FF499" s="75"/>
      <c r="FG499" s="75"/>
      <c r="FH499" s="75"/>
      <c r="FI499" s="75"/>
      <c r="FJ499" s="75"/>
      <c r="FK499" s="75"/>
      <c r="FL499" s="75"/>
      <c r="FM499" s="75"/>
      <c r="FN499" s="75"/>
      <c r="FO499" s="75"/>
      <c r="FP499" s="75"/>
      <c r="FQ499" s="75"/>
      <c r="FR499" s="75"/>
      <c r="FS499" s="75"/>
      <c r="FT499" s="75"/>
      <c r="FU499" s="75"/>
      <c r="FV499" s="75"/>
      <c r="FW499" s="75"/>
      <c r="FX499" s="75"/>
      <c r="FY499" s="75"/>
      <c r="FZ499" s="75"/>
      <c r="GA499" s="75"/>
      <c r="GB499" s="75"/>
      <c r="GC499" s="75"/>
      <c r="GD499" s="75"/>
      <c r="GE499" s="75"/>
      <c r="GF499" s="75"/>
      <c r="GG499" s="75"/>
      <c r="GH499" s="75"/>
      <c r="GI499" s="75"/>
      <c r="GJ499" s="75"/>
      <c r="GK499" s="75"/>
      <c r="GL499" s="75"/>
      <c r="GM499" s="75"/>
      <c r="GN499" s="75"/>
      <c r="GO499" s="75"/>
      <c r="GP499" s="75"/>
      <c r="GQ499" s="75"/>
      <c r="GR499" s="75"/>
      <c r="GS499" s="75"/>
      <c r="GT499" s="75"/>
      <c r="GU499" s="75"/>
      <c r="GV499" s="75"/>
      <c r="GW499" s="75"/>
      <c r="GX499" s="75"/>
      <c r="GY499" s="75"/>
      <c r="GZ499" s="75"/>
      <c r="HA499" s="75"/>
      <c r="HB499" s="75"/>
      <c r="HC499" s="75"/>
      <c r="HD499" s="75"/>
      <c r="HE499" s="75"/>
      <c r="HF499" s="75"/>
      <c r="HG499" s="75"/>
      <c r="HH499" s="75"/>
      <c r="HI499" s="75"/>
      <c r="HJ499" s="75"/>
      <c r="HK499" s="75"/>
      <c r="HL499" s="75"/>
      <c r="HM499" s="75"/>
      <c r="HN499" s="75"/>
      <c r="HO499" s="75"/>
      <c r="HP499" s="75"/>
      <c r="HQ499" s="75"/>
      <c r="HR499" s="75"/>
      <c r="HS499" s="75"/>
      <c r="HT499" s="75"/>
      <c r="HU499" s="75"/>
      <c r="HV499" s="75"/>
      <c r="HW499" s="75"/>
      <c r="HX499" s="75"/>
      <c r="HY499" s="75"/>
      <c r="HZ499" s="75"/>
      <c r="IA499" s="75"/>
      <c r="IB499" s="75"/>
      <c r="IC499" s="75"/>
      <c r="ID499" s="75"/>
      <c r="IE499" s="75"/>
      <c r="IF499" s="75"/>
      <c r="IG499" s="75"/>
      <c r="IH499" s="75"/>
      <c r="II499" s="75"/>
      <c r="IJ499" s="75"/>
      <c r="IK499" s="75"/>
      <c r="IL499" s="75"/>
      <c r="IM499" s="75"/>
      <c r="IN499" s="75"/>
      <c r="IO499" s="75"/>
      <c r="IP499" s="75"/>
      <c r="IQ499" s="75"/>
      <c r="IR499" s="75"/>
      <c r="IS499" s="75"/>
      <c r="IT499" s="75"/>
      <c r="IU499" s="75"/>
      <c r="IV499" s="75"/>
      <c r="IW499" s="75"/>
      <c r="IX499" s="75"/>
      <c r="IY499" s="75"/>
      <c r="IZ499" s="75"/>
      <c r="JA499" s="75"/>
      <c r="JB499" s="75"/>
      <c r="JC499" s="75"/>
      <c r="JD499" s="75"/>
      <c r="JE499" s="75"/>
      <c r="JF499" s="75"/>
      <c r="JG499" s="75"/>
      <c r="JH499" s="75"/>
      <c r="JI499" s="75"/>
      <c r="JJ499" s="75"/>
      <c r="JK499" s="75"/>
      <c r="JL499" s="75"/>
      <c r="JM499" s="75"/>
      <c r="JN499" s="75"/>
      <c r="JO499" s="75"/>
      <c r="JP499" s="75"/>
      <c r="JQ499" s="75"/>
      <c r="JR499" s="75"/>
      <c r="JS499" s="75"/>
      <c r="JT499" s="75"/>
      <c r="JU499" s="75"/>
      <c r="JV499" s="75"/>
      <c r="JW499" s="75"/>
      <c r="JX499" s="75"/>
      <c r="JY499" s="75"/>
      <c r="JZ499" s="75"/>
      <c r="KA499" s="75"/>
      <c r="KB499" s="75"/>
      <c r="KC499" s="75"/>
      <c r="KD499" s="75"/>
      <c r="KE499" s="75"/>
      <c r="KF499" s="75"/>
      <c r="KG499" s="75"/>
      <c r="KH499" s="75"/>
      <c r="KI499" s="75"/>
      <c r="KJ499" s="75"/>
      <c r="KK499" s="75"/>
      <c r="KL499" s="75"/>
      <c r="KM499" s="75"/>
      <c r="KN499" s="75"/>
      <c r="KO499" s="75"/>
      <c r="KP499" s="75"/>
      <c r="KQ499" s="75"/>
      <c r="KR499" s="75"/>
      <c r="KS499" s="75"/>
      <c r="KT499" s="75"/>
      <c r="KU499" s="75"/>
      <c r="KV499" s="75"/>
      <c r="KW499" s="75"/>
      <c r="KX499" s="75"/>
      <c r="KY499" s="75"/>
      <c r="KZ499" s="75"/>
      <c r="LA499" s="75"/>
      <c r="LB499" s="75"/>
      <c r="LC499" s="75"/>
      <c r="LD499" s="75"/>
      <c r="LE499" s="75"/>
      <c r="LF499" s="75"/>
      <c r="LG499" s="75"/>
      <c r="LH499" s="75"/>
      <c r="LI499" s="75"/>
      <c r="LJ499" s="75"/>
      <c r="LK499" s="75"/>
      <c r="LL499" s="75"/>
      <c r="LM499" s="75"/>
      <c r="LN499" s="75"/>
      <c r="LO499" s="75"/>
      <c r="LP499" s="75"/>
      <c r="LQ499" s="75"/>
      <c r="LR499" s="75"/>
      <c r="LS499" s="75"/>
      <c r="LT499" s="75"/>
      <c r="LU499" s="75"/>
      <c r="LV499" s="75"/>
      <c r="LW499" s="75"/>
      <c r="LX499" s="75"/>
      <c r="LY499" s="75"/>
      <c r="LZ499" s="75"/>
      <c r="MA499" s="75"/>
      <c r="MB499" s="75"/>
      <c r="MC499" s="75"/>
      <c r="MD499" s="75"/>
      <c r="ME499" s="75"/>
      <c r="MF499" s="75"/>
      <c r="MG499" s="75"/>
      <c r="MH499" s="75"/>
      <c r="MI499" s="75"/>
      <c r="MJ499" s="75"/>
      <c r="MK499" s="75"/>
      <c r="ML499" s="75"/>
      <c r="MM499" s="75"/>
      <c r="MN499" s="75"/>
      <c r="MO499" s="75"/>
      <c r="MP499" s="75"/>
      <c r="MQ499" s="75"/>
      <c r="MR499" s="75"/>
      <c r="MS499" s="75"/>
      <c r="MT499" s="75"/>
      <c r="MU499" s="75"/>
      <c r="MV499" s="75"/>
      <c r="MW499" s="75"/>
      <c r="MX499" s="75"/>
      <c r="MY499" s="75"/>
      <c r="MZ499" s="75"/>
      <c r="NA499" s="75"/>
      <c r="NB499" s="75"/>
      <c r="NC499" s="75"/>
      <c r="ND499" s="75"/>
      <c r="NE499" s="75"/>
      <c r="NF499" s="75"/>
      <c r="NG499" s="75"/>
      <c r="NH499" s="75"/>
      <c r="NI499" s="75"/>
      <c r="NJ499" s="75"/>
      <c r="NK499" s="75"/>
      <c r="NL499" s="75"/>
      <c r="NM499" s="75"/>
      <c r="NN499" s="75"/>
      <c r="NO499" s="75"/>
      <c r="NP499" s="75"/>
      <c r="NQ499" s="75"/>
      <c r="NR499" s="75"/>
      <c r="NS499" s="75"/>
      <c r="NT499" s="75"/>
      <c r="NU499" s="75"/>
      <c r="NV499" s="75"/>
      <c r="NW499" s="75"/>
      <c r="NX499" s="75"/>
      <c r="NY499" s="75"/>
      <c r="NZ499" s="75"/>
      <c r="OA499" s="75"/>
      <c r="OB499" s="75"/>
      <c r="OC499" s="75"/>
      <c r="OD499" s="75"/>
      <c r="OE499" s="75"/>
      <c r="OF499" s="75"/>
      <c r="OG499" s="75"/>
      <c r="OH499" s="75"/>
      <c r="OI499" s="75"/>
      <c r="OJ499" s="75"/>
      <c r="OK499" s="75"/>
      <c r="OL499" s="75"/>
      <c r="OM499" s="75"/>
      <c r="ON499" s="75"/>
      <c r="OO499" s="75"/>
      <c r="OP499" s="75"/>
      <c r="OQ499" s="75"/>
      <c r="OR499" s="75"/>
      <c r="OS499" s="75"/>
      <c r="OT499" s="75"/>
      <c r="OU499" s="75"/>
      <c r="OV499" s="75"/>
      <c r="OW499" s="75"/>
      <c r="OX499" s="75"/>
      <c r="OY499" s="75"/>
      <c r="OZ499" s="75"/>
      <c r="PA499" s="75"/>
      <c r="PB499" s="75"/>
      <c r="PC499" s="75"/>
      <c r="PD499" s="75"/>
      <c r="PE499" s="75"/>
      <c r="PF499" s="75"/>
      <c r="PG499" s="75"/>
      <c r="PH499" s="75"/>
      <c r="PI499" s="75"/>
      <c r="PJ499" s="75"/>
      <c r="PK499" s="75"/>
      <c r="PL499" s="75"/>
      <c r="PM499" s="75"/>
      <c r="PN499" s="75"/>
      <c r="PO499" s="75"/>
      <c r="PP499" s="75"/>
      <c r="PQ499" s="75"/>
      <c r="PR499" s="75"/>
      <c r="PS499" s="75"/>
      <c r="PT499" s="75"/>
      <c r="PU499" s="75"/>
      <c r="PV499" s="75"/>
      <c r="PW499" s="75"/>
      <c r="PX499" s="75"/>
      <c r="PY499" s="75"/>
      <c r="PZ499" s="75"/>
      <c r="QA499" s="75"/>
      <c r="QB499" s="75"/>
      <c r="QC499" s="75"/>
      <c r="QD499" s="75"/>
      <c r="QE499" s="75"/>
      <c r="QF499" s="75"/>
      <c r="QG499" s="75"/>
      <c r="QH499" s="75"/>
      <c r="QI499" s="75"/>
      <c r="QJ499" s="75"/>
      <c r="QK499" s="75"/>
      <c r="QL499" s="75"/>
      <c r="QM499" s="75"/>
      <c r="QN499" s="75"/>
      <c r="QO499" s="75"/>
      <c r="QP499" s="75"/>
      <c r="QQ499" s="75"/>
      <c r="QR499" s="75"/>
      <c r="QS499" s="75"/>
      <c r="QT499" s="75"/>
      <c r="QU499" s="75"/>
      <c r="QV499" s="75"/>
      <c r="QW499" s="75"/>
      <c r="QX499" s="75"/>
      <c r="QY499" s="75"/>
      <c r="QZ499" s="75"/>
      <c r="RA499" s="75"/>
      <c r="RB499" s="75"/>
      <c r="RC499" s="75"/>
      <c r="RD499" s="75"/>
      <c r="RE499" s="75"/>
      <c r="RF499" s="75"/>
      <c r="RG499" s="75"/>
      <c r="RH499" s="75"/>
      <c r="RI499" s="75"/>
      <c r="RJ499" s="75"/>
      <c r="RK499" s="75"/>
      <c r="RL499" s="75"/>
      <c r="RM499" s="75"/>
      <c r="RN499" s="75"/>
      <c r="RO499" s="75"/>
      <c r="RP499" s="75"/>
      <c r="RQ499" s="75"/>
      <c r="RR499" s="75"/>
      <c r="RS499" s="75"/>
      <c r="RT499" s="75"/>
      <c r="RU499" s="75"/>
      <c r="RV499" s="75"/>
      <c r="RW499" s="75"/>
      <c r="RX499" s="75"/>
      <c r="RY499" s="75"/>
      <c r="RZ499" s="75"/>
      <c r="SA499" s="75"/>
      <c r="SB499" s="75"/>
      <c r="SC499" s="75"/>
      <c r="SD499" s="75"/>
      <c r="SE499" s="75"/>
      <c r="SF499" s="75"/>
      <c r="SG499" s="75"/>
      <c r="SH499" s="75"/>
      <c r="SI499" s="75"/>
      <c r="SJ499" s="75"/>
      <c r="SK499" s="75"/>
      <c r="SL499" s="75"/>
      <c r="SM499" s="75"/>
      <c r="SN499" s="75"/>
      <c r="SO499" s="75"/>
      <c r="SP499" s="75"/>
      <c r="SQ499" s="75"/>
      <c r="SR499" s="75"/>
      <c r="SS499" s="75"/>
      <c r="ST499" s="75"/>
      <c r="SU499" s="75"/>
      <c r="SV499" s="75"/>
      <c r="SW499" s="75"/>
      <c r="SX499" s="75"/>
      <c r="SY499" s="75"/>
      <c r="SZ499" s="75"/>
      <c r="TA499" s="75"/>
      <c r="TB499" s="75"/>
      <c r="TC499" s="75"/>
      <c r="TD499" s="75"/>
      <c r="TE499" s="75"/>
      <c r="TF499" s="75"/>
      <c r="TG499" s="75"/>
      <c r="TH499" s="75"/>
      <c r="TI499" s="75"/>
      <c r="TJ499" s="75"/>
      <c r="TK499" s="75"/>
      <c r="TL499" s="75"/>
      <c r="TM499" s="75"/>
      <c r="TN499" s="75"/>
      <c r="TO499" s="75"/>
      <c r="TP499" s="75"/>
      <c r="TQ499" s="75"/>
      <c r="TR499" s="75"/>
      <c r="TS499" s="75"/>
      <c r="TT499" s="75"/>
      <c r="TU499" s="75"/>
      <c r="TV499" s="75"/>
      <c r="TW499" s="75"/>
      <c r="TX499" s="75"/>
      <c r="TY499" s="75"/>
      <c r="TZ499" s="75"/>
      <c r="UA499" s="75"/>
      <c r="UB499" s="75"/>
      <c r="UC499" s="75"/>
      <c r="UD499" s="75"/>
      <c r="UE499" s="75"/>
      <c r="UF499" s="75"/>
      <c r="UG499" s="75"/>
      <c r="UH499" s="75"/>
      <c r="UI499" s="75"/>
      <c r="UJ499" s="75"/>
      <c r="UK499" s="75"/>
      <c r="UL499" s="75"/>
      <c r="UM499" s="75"/>
      <c r="UN499" s="75"/>
      <c r="UO499" s="75"/>
      <c r="UP499" s="75"/>
      <c r="UQ499" s="75"/>
      <c r="UR499" s="75"/>
      <c r="US499" s="75"/>
      <c r="UT499" s="75"/>
      <c r="UU499" s="75"/>
      <c r="UV499" s="75"/>
      <c r="UW499" s="75"/>
      <c r="UX499" s="75"/>
      <c r="UY499" s="75"/>
      <c r="UZ499" s="75"/>
      <c r="VA499" s="75"/>
      <c r="VB499" s="75"/>
      <c r="VC499" s="75"/>
      <c r="VD499" s="75"/>
      <c r="VE499" s="75"/>
      <c r="VF499" s="75"/>
      <c r="VG499" s="75"/>
      <c r="VH499" s="75"/>
      <c r="VI499" s="75"/>
      <c r="VJ499" s="75"/>
      <c r="VK499" s="75"/>
      <c r="VL499" s="75"/>
      <c r="VM499" s="75"/>
      <c r="VN499" s="75"/>
      <c r="VO499" s="75"/>
      <c r="VP499" s="75"/>
      <c r="VQ499" s="75"/>
      <c r="VR499" s="75"/>
      <c r="VS499" s="75"/>
      <c r="VT499" s="75"/>
      <c r="VU499" s="75"/>
      <c r="VV499" s="75"/>
      <c r="VW499" s="75"/>
      <c r="VX499" s="75"/>
      <c r="VY499" s="75"/>
      <c r="VZ499" s="75"/>
      <c r="WA499" s="75"/>
      <c r="WB499" s="75"/>
      <c r="WC499" s="75"/>
      <c r="WD499" s="75"/>
      <c r="WE499" s="75"/>
      <c r="WF499" s="75"/>
      <c r="WG499" s="75"/>
      <c r="WH499" s="75"/>
      <c r="WI499" s="75"/>
      <c r="WJ499" s="75"/>
      <c r="WK499" s="75"/>
      <c r="WL499" s="75"/>
      <c r="WM499" s="75"/>
      <c r="WN499" s="75"/>
      <c r="WO499" s="75"/>
      <c r="WP499" s="75"/>
      <c r="WQ499" s="75"/>
      <c r="WR499" s="75"/>
      <c r="WS499" s="75"/>
      <c r="WT499" s="75"/>
      <c r="WU499" s="75"/>
      <c r="WV499" s="75"/>
      <c r="WW499" s="75"/>
      <c r="WX499" s="75"/>
      <c r="WY499" s="75"/>
      <c r="WZ499" s="75"/>
      <c r="XA499" s="75"/>
      <c r="XB499" s="75"/>
      <c r="XC499" s="75"/>
      <c r="XD499" s="75"/>
      <c r="XE499" s="75"/>
      <c r="XF499" s="75"/>
      <c r="XG499" s="75"/>
      <c r="XH499" s="75"/>
      <c r="XI499" s="75"/>
      <c r="XJ499" s="75"/>
      <c r="XK499" s="75"/>
      <c r="XL499" s="75"/>
      <c r="XM499" s="75"/>
      <c r="XN499" s="75"/>
      <c r="XO499" s="75"/>
      <c r="XP499" s="75"/>
      <c r="XQ499" s="75"/>
      <c r="XR499" s="75"/>
      <c r="XS499" s="75"/>
      <c r="XT499" s="75"/>
      <c r="XU499" s="75"/>
      <c r="XV499" s="75"/>
      <c r="XW499" s="75"/>
      <c r="XX499" s="75"/>
      <c r="XY499" s="75"/>
      <c r="XZ499" s="75"/>
      <c r="YA499" s="75"/>
      <c r="YB499" s="75"/>
      <c r="YC499" s="75"/>
      <c r="YD499" s="75"/>
      <c r="YE499" s="75"/>
      <c r="YF499" s="75"/>
      <c r="YG499" s="75"/>
      <c r="YH499" s="75"/>
      <c r="YI499" s="75"/>
      <c r="YJ499" s="75"/>
      <c r="YK499" s="75"/>
      <c r="YL499" s="75"/>
      <c r="YM499" s="75"/>
      <c r="YN499" s="75"/>
      <c r="YO499" s="75"/>
      <c r="YP499" s="75"/>
      <c r="YQ499" s="75"/>
      <c r="YR499" s="75"/>
      <c r="YS499" s="75"/>
      <c r="YT499" s="75"/>
      <c r="YU499" s="75"/>
      <c r="YV499" s="75"/>
      <c r="YW499" s="75"/>
      <c r="YX499" s="75"/>
      <c r="YY499" s="75"/>
      <c r="YZ499" s="75"/>
      <c r="ZA499" s="75"/>
      <c r="ZB499" s="75"/>
      <c r="ZC499" s="75"/>
      <c r="ZD499" s="75"/>
      <c r="ZE499" s="75"/>
      <c r="ZF499" s="75"/>
      <c r="ZG499" s="75"/>
      <c r="ZH499" s="75"/>
      <c r="ZI499" s="75"/>
      <c r="ZJ499" s="75"/>
      <c r="ZK499" s="75"/>
      <c r="ZL499" s="75"/>
      <c r="ZM499" s="75"/>
      <c r="ZN499" s="75"/>
      <c r="ZO499" s="75"/>
      <c r="ZP499" s="75"/>
      <c r="ZQ499" s="75"/>
      <c r="ZR499" s="75"/>
      <c r="ZS499" s="75"/>
      <c r="ZT499" s="75"/>
      <c r="ZU499" s="75"/>
      <c r="ZV499" s="75"/>
      <c r="ZW499" s="75"/>
      <c r="ZX499" s="75"/>
      <c r="ZY499" s="75"/>
      <c r="ZZ499" s="75"/>
      <c r="AAA499" s="75"/>
      <c r="AAB499" s="75"/>
      <c r="AAC499" s="75"/>
      <c r="AAD499" s="75"/>
      <c r="AAE499" s="75"/>
      <c r="AAF499" s="75"/>
      <c r="AAG499" s="75"/>
      <c r="AAH499" s="75"/>
      <c r="AAI499" s="75"/>
      <c r="AAJ499" s="75"/>
      <c r="AAK499" s="75"/>
      <c r="AAL499" s="75"/>
      <c r="AAM499" s="75"/>
      <c r="AAN499" s="75"/>
      <c r="AAO499" s="75"/>
      <c r="AAP499" s="75"/>
      <c r="AAQ499" s="75"/>
      <c r="AAR499" s="75"/>
      <c r="AAS499" s="75"/>
      <c r="AAT499" s="75"/>
      <c r="AAU499" s="75"/>
      <c r="AAV499" s="75"/>
      <c r="AAW499" s="75"/>
      <c r="AAX499" s="75"/>
      <c r="AAY499" s="75"/>
      <c r="AAZ499" s="75"/>
      <c r="ABA499" s="75"/>
      <c r="ABB499" s="75"/>
      <c r="ABC499" s="75"/>
      <c r="ABD499" s="75"/>
      <c r="ABE499" s="75"/>
      <c r="ABF499" s="75"/>
      <c r="ABG499" s="75"/>
      <c r="ABH499" s="75"/>
      <c r="ABI499" s="75"/>
      <c r="ABJ499" s="75"/>
      <c r="ABK499" s="75"/>
      <c r="ABL499" s="75"/>
      <c r="ABM499" s="75"/>
      <c r="ABN499" s="75"/>
      <c r="ABO499" s="75"/>
      <c r="ABP499" s="75"/>
      <c r="ABQ499" s="75"/>
      <c r="ABR499" s="75"/>
      <c r="ABS499" s="75"/>
      <c r="ABT499" s="75"/>
      <c r="ABU499" s="75"/>
      <c r="ABV499" s="75"/>
      <c r="ABW499" s="75"/>
      <c r="ABX499" s="75"/>
      <c r="ABY499" s="75"/>
      <c r="ABZ499" s="75"/>
      <c r="ACA499" s="75"/>
      <c r="ACB499" s="75"/>
      <c r="ACC499" s="75"/>
      <c r="ACD499" s="75"/>
      <c r="ACE499" s="75"/>
      <c r="ACF499" s="75"/>
      <c r="ACG499" s="75"/>
      <c r="ACH499" s="75"/>
      <c r="ACI499" s="75"/>
      <c r="ACJ499" s="75"/>
      <c r="ACK499" s="75"/>
      <c r="ACL499" s="75"/>
      <c r="ACM499" s="75"/>
      <c r="ACN499" s="75"/>
      <c r="ACO499" s="75"/>
      <c r="ACP499" s="75"/>
      <c r="ACQ499" s="75"/>
      <c r="ACR499" s="75"/>
      <c r="ACS499" s="75"/>
      <c r="ACT499" s="75"/>
      <c r="ACU499" s="75"/>
      <c r="ACV499" s="75"/>
      <c r="ACW499" s="75"/>
      <c r="ACX499" s="75"/>
      <c r="ACY499" s="75"/>
      <c r="ACZ499" s="75"/>
      <c r="ADA499" s="75"/>
      <c r="ADB499" s="75"/>
      <c r="ADC499" s="75"/>
      <c r="ADD499" s="75"/>
      <c r="ADE499" s="75"/>
      <c r="ADF499" s="75"/>
      <c r="ADG499" s="75"/>
      <c r="ADH499" s="75"/>
      <c r="ADI499" s="75"/>
      <c r="ADJ499" s="75"/>
      <c r="ADK499" s="75"/>
      <c r="ADL499" s="75"/>
      <c r="ADM499" s="75"/>
      <c r="ADN499" s="75"/>
      <c r="ADO499" s="75"/>
      <c r="ADP499" s="75"/>
      <c r="ADQ499" s="75"/>
      <c r="ADR499" s="75"/>
      <c r="ADS499" s="75"/>
      <c r="ADT499" s="75"/>
      <c r="ADU499" s="75"/>
      <c r="ADV499" s="75"/>
      <c r="ADW499" s="75"/>
      <c r="ADX499" s="75"/>
      <c r="ADY499" s="75"/>
      <c r="ADZ499" s="75"/>
      <c r="AEA499" s="75"/>
      <c r="AEB499" s="75"/>
      <c r="AEC499" s="75"/>
      <c r="AED499" s="75"/>
      <c r="AEE499" s="75"/>
      <c r="AEF499" s="75"/>
      <c r="AEG499" s="75"/>
      <c r="AEH499" s="75"/>
      <c r="AEI499" s="75"/>
      <c r="AEJ499" s="75"/>
      <c r="AEK499" s="75"/>
      <c r="AEL499" s="75"/>
      <c r="AEM499" s="75"/>
      <c r="AEN499" s="75"/>
      <c r="AEO499" s="75"/>
      <c r="AEP499" s="75"/>
      <c r="AEQ499" s="75"/>
      <c r="AER499" s="75"/>
      <c r="AES499" s="75"/>
      <c r="AET499" s="75"/>
      <c r="AEU499" s="75"/>
      <c r="AEV499" s="75"/>
      <c r="AEW499" s="75"/>
      <c r="AEX499" s="75"/>
      <c r="AEY499" s="75"/>
      <c r="AEZ499" s="75"/>
      <c r="AFA499" s="75"/>
      <c r="AFB499" s="75"/>
      <c r="AFC499" s="75"/>
      <c r="AFD499" s="75"/>
      <c r="AFE499" s="75"/>
      <c r="AFF499" s="75"/>
      <c r="AFG499" s="75"/>
      <c r="AFH499" s="75"/>
      <c r="AFI499" s="75"/>
      <c r="AFJ499" s="75"/>
      <c r="AFK499" s="75"/>
      <c r="AFL499" s="75"/>
      <c r="AFM499" s="75"/>
      <c r="AFN499" s="75"/>
      <c r="AFO499" s="75"/>
      <c r="AFP499" s="75"/>
      <c r="AFQ499" s="75"/>
      <c r="AFR499" s="75"/>
      <c r="AFS499" s="75"/>
      <c r="AFT499" s="75"/>
      <c r="AFU499" s="75"/>
      <c r="AFV499" s="75"/>
      <c r="AFW499" s="75"/>
      <c r="AFX499" s="75"/>
      <c r="AFY499" s="75"/>
      <c r="AFZ499" s="75"/>
      <c r="AGA499" s="75"/>
      <c r="AGB499" s="75"/>
      <c r="AGC499" s="75"/>
      <c r="AGD499" s="75"/>
      <c r="AGE499" s="75"/>
      <c r="AGF499" s="75"/>
      <c r="AGG499" s="75"/>
      <c r="AGH499" s="75"/>
      <c r="AGI499" s="75"/>
      <c r="AGJ499" s="75"/>
      <c r="AGK499" s="75"/>
      <c r="AGL499" s="75"/>
      <c r="AGM499" s="75"/>
      <c r="AGN499" s="75"/>
      <c r="AGO499" s="75"/>
      <c r="AGP499" s="75"/>
      <c r="AGQ499" s="75"/>
      <c r="AGR499" s="75"/>
      <c r="AGS499" s="75"/>
      <c r="AGT499" s="75"/>
      <c r="AGU499" s="75"/>
      <c r="AGV499" s="75"/>
      <c r="AGW499" s="75"/>
      <c r="AGX499" s="75"/>
      <c r="AGY499" s="75"/>
      <c r="AGZ499" s="75"/>
      <c r="AHA499" s="75"/>
      <c r="AHB499" s="75"/>
      <c r="AHC499" s="75"/>
      <c r="AHD499" s="75"/>
      <c r="AHE499" s="75"/>
      <c r="AHF499" s="75"/>
      <c r="AHG499" s="75"/>
      <c r="AHH499" s="75"/>
      <c r="AHI499" s="75"/>
      <c r="AHJ499" s="75"/>
      <c r="AHK499" s="75"/>
      <c r="AHL499" s="75"/>
      <c r="AHM499" s="75"/>
      <c r="AHN499" s="75"/>
      <c r="AHO499" s="75"/>
      <c r="AHP499" s="75"/>
      <c r="AHQ499" s="75"/>
      <c r="AHR499" s="75"/>
      <c r="AHS499" s="75"/>
      <c r="AHT499" s="75"/>
      <c r="AHU499" s="75"/>
      <c r="AHV499" s="75"/>
      <c r="AHW499" s="75"/>
      <c r="AHX499" s="75"/>
      <c r="AHY499" s="75"/>
      <c r="AHZ499" s="75"/>
      <c r="AIA499" s="75"/>
      <c r="AIB499" s="75"/>
      <c r="AIC499" s="75"/>
      <c r="AID499" s="75"/>
      <c r="AIE499" s="75"/>
      <c r="AIF499" s="75"/>
      <c r="AIG499" s="75"/>
      <c r="AIH499" s="75"/>
      <c r="AII499" s="75"/>
      <c r="AIJ499" s="75"/>
      <c r="AIK499" s="75"/>
      <c r="AIL499" s="75"/>
      <c r="AIM499" s="75"/>
      <c r="AIN499" s="75"/>
      <c r="AIO499" s="75"/>
      <c r="AIP499" s="75"/>
      <c r="AIQ499" s="75"/>
      <c r="AIR499" s="75"/>
      <c r="AIS499" s="75"/>
      <c r="AIT499" s="75"/>
      <c r="AIU499" s="75"/>
      <c r="AIV499" s="75"/>
      <c r="AIW499" s="75"/>
      <c r="AIX499" s="75"/>
      <c r="AIY499" s="75"/>
      <c r="AIZ499" s="75"/>
      <c r="AJA499" s="75"/>
      <c r="AJB499" s="75"/>
      <c r="AJC499" s="75"/>
      <c r="AJD499" s="75"/>
      <c r="AJE499" s="75"/>
      <c r="AJF499" s="75"/>
      <c r="AJG499" s="75"/>
      <c r="AJH499" s="75"/>
      <c r="AJI499" s="75"/>
      <c r="AJJ499" s="75"/>
      <c r="AJK499" s="75"/>
      <c r="AJL499" s="75"/>
      <c r="AJM499" s="75"/>
      <c r="AJN499" s="75"/>
      <c r="AJO499" s="75"/>
      <c r="AJP499" s="75"/>
      <c r="AJQ499" s="75"/>
      <c r="AJR499" s="75"/>
      <c r="AJS499" s="75"/>
      <c r="AJT499" s="75"/>
      <c r="AJU499" s="75"/>
      <c r="AJV499" s="75"/>
      <c r="AJW499" s="75"/>
      <c r="AJX499" s="75"/>
      <c r="AJY499" s="75"/>
      <c r="AJZ499" s="75"/>
      <c r="AKA499" s="75"/>
      <c r="AKB499" s="75"/>
      <c r="AKC499" s="75"/>
      <c r="AKD499" s="75"/>
      <c r="AKE499" s="75"/>
      <c r="AKF499" s="75"/>
      <c r="AKG499" s="75"/>
      <c r="AKH499" s="75"/>
      <c r="AKI499" s="75"/>
      <c r="AKJ499" s="75"/>
      <c r="AKK499" s="75"/>
      <c r="AKL499" s="75"/>
      <c r="AKM499" s="75"/>
      <c r="AKN499" s="75"/>
      <c r="AKO499" s="75"/>
      <c r="AKP499" s="75"/>
      <c r="AKQ499" s="75"/>
      <c r="AKR499" s="75"/>
      <c r="AKS499" s="75"/>
      <c r="AKT499" s="75"/>
      <c r="AKU499" s="75"/>
      <c r="AKV499" s="75"/>
      <c r="AKW499" s="75"/>
      <c r="AKX499" s="75"/>
      <c r="AKY499" s="75"/>
      <c r="AKZ499" s="75"/>
      <c r="ALA499" s="75"/>
      <c r="ALB499" s="75"/>
      <c r="ALC499" s="75"/>
      <c r="ALD499" s="75"/>
      <c r="ALE499" s="75"/>
      <c r="ALF499" s="75"/>
      <c r="ALG499" s="75"/>
      <c r="ALH499" s="75"/>
      <c r="ALI499" s="75"/>
      <c r="ALJ499" s="75"/>
      <c r="ALK499" s="75"/>
      <c r="ALL499" s="75"/>
      <c r="ALM499" s="75"/>
      <c r="ALN499" s="75"/>
      <c r="ALO499" s="75"/>
    </row>
    <row r="500" spans="1:1003" s="235" customFormat="1" ht="14.55" customHeight="1" outlineLevel="1" x14ac:dyDescent="0.25">
      <c r="A500" s="230" t="s">
        <v>1422</v>
      </c>
      <c r="B500" s="343" t="str">
        <f>"13.06"</f>
        <v>13.06</v>
      </c>
      <c r="C500" s="75" t="s">
        <v>2186</v>
      </c>
      <c r="D500" s="127" t="s">
        <v>2187</v>
      </c>
      <c r="E500" s="232"/>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c r="AY500" s="75"/>
      <c r="AZ500" s="75"/>
      <c r="BA500" s="75"/>
      <c r="BB500" s="75"/>
      <c r="BC500" s="75"/>
      <c r="BD500" s="75"/>
      <c r="BE500" s="75"/>
      <c r="BF500" s="75"/>
      <c r="BG500" s="75"/>
      <c r="BH500" s="75"/>
      <c r="BI500" s="75"/>
      <c r="BJ500" s="75"/>
      <c r="BK500" s="75"/>
      <c r="BL500" s="75"/>
      <c r="BM500" s="75"/>
      <c r="BN500" s="75"/>
      <c r="BO500" s="75"/>
      <c r="BP500" s="75"/>
      <c r="BQ500" s="75"/>
      <c r="BR500" s="75"/>
      <c r="BS500" s="75"/>
      <c r="BT500" s="75"/>
      <c r="BU500" s="75"/>
      <c r="BV500" s="75"/>
      <c r="BW500" s="75"/>
      <c r="BX500" s="75"/>
      <c r="BY500" s="75"/>
      <c r="BZ500" s="75"/>
      <c r="CA500" s="75"/>
      <c r="CB500" s="75"/>
      <c r="CC500" s="75"/>
      <c r="CD500" s="75"/>
      <c r="CE500" s="75"/>
      <c r="CF500" s="75"/>
      <c r="CG500" s="75"/>
      <c r="CH500" s="75"/>
      <c r="CI500" s="75"/>
      <c r="CJ500" s="75"/>
      <c r="CK500" s="75"/>
      <c r="CL500" s="75"/>
      <c r="CM500" s="75"/>
      <c r="CN500" s="75"/>
      <c r="CO500" s="75"/>
      <c r="CP500" s="75"/>
      <c r="CQ500" s="75"/>
      <c r="CR500" s="75"/>
      <c r="CS500" s="75"/>
      <c r="CT500" s="75"/>
      <c r="CU500" s="75"/>
      <c r="CV500" s="75"/>
      <c r="CW500" s="75"/>
      <c r="CX500" s="75"/>
      <c r="CY500" s="75"/>
      <c r="CZ500" s="75"/>
      <c r="DA500" s="75"/>
      <c r="DB500" s="75"/>
      <c r="DC500" s="75"/>
      <c r="DD500" s="75"/>
      <c r="DE500" s="75"/>
      <c r="DF500" s="75"/>
      <c r="DG500" s="75"/>
      <c r="DH500" s="75"/>
      <c r="DI500" s="75"/>
      <c r="DJ500" s="75"/>
      <c r="DK500" s="75"/>
      <c r="DL500" s="75"/>
      <c r="DM500" s="75"/>
      <c r="DN500" s="75"/>
      <c r="DO500" s="75"/>
      <c r="DP500" s="75"/>
      <c r="DQ500" s="75"/>
      <c r="DR500" s="75"/>
      <c r="DS500" s="75"/>
      <c r="DT500" s="75"/>
      <c r="DU500" s="75"/>
      <c r="DV500" s="75"/>
      <c r="DW500" s="75"/>
      <c r="DX500" s="75"/>
      <c r="DY500" s="75"/>
      <c r="DZ500" s="75"/>
      <c r="EA500" s="75"/>
      <c r="EB500" s="75"/>
      <c r="EC500" s="75"/>
      <c r="ED500" s="75"/>
      <c r="EE500" s="75"/>
      <c r="EF500" s="75"/>
      <c r="EG500" s="75"/>
      <c r="EH500" s="75"/>
      <c r="EI500" s="75"/>
      <c r="EJ500" s="75"/>
      <c r="EK500" s="75"/>
      <c r="EL500" s="75"/>
      <c r="EM500" s="75"/>
      <c r="EN500" s="75"/>
      <c r="EO500" s="75"/>
      <c r="EP500" s="75"/>
      <c r="EQ500" s="75"/>
      <c r="ER500" s="75"/>
      <c r="ES500" s="75"/>
      <c r="ET500" s="75"/>
      <c r="EU500" s="75"/>
      <c r="EV500" s="75"/>
      <c r="EW500" s="75"/>
      <c r="EX500" s="75"/>
      <c r="EY500" s="75"/>
      <c r="EZ500" s="75"/>
      <c r="FA500" s="75"/>
      <c r="FB500" s="75"/>
      <c r="FC500" s="75"/>
      <c r="FD500" s="75"/>
      <c r="FE500" s="75"/>
      <c r="FF500" s="75"/>
      <c r="FG500" s="75"/>
      <c r="FH500" s="75"/>
      <c r="FI500" s="75"/>
      <c r="FJ500" s="75"/>
      <c r="FK500" s="75"/>
      <c r="FL500" s="75"/>
      <c r="FM500" s="75"/>
      <c r="FN500" s="75"/>
      <c r="FO500" s="75"/>
      <c r="FP500" s="75"/>
      <c r="FQ500" s="75"/>
      <c r="FR500" s="75"/>
      <c r="FS500" s="75"/>
      <c r="FT500" s="75"/>
      <c r="FU500" s="75"/>
      <c r="FV500" s="75"/>
      <c r="FW500" s="75"/>
      <c r="FX500" s="75"/>
      <c r="FY500" s="75"/>
      <c r="FZ500" s="75"/>
      <c r="GA500" s="75"/>
      <c r="GB500" s="75"/>
      <c r="GC500" s="75"/>
      <c r="GD500" s="75"/>
      <c r="GE500" s="75"/>
      <c r="GF500" s="75"/>
      <c r="GG500" s="75"/>
      <c r="GH500" s="75"/>
      <c r="GI500" s="75"/>
      <c r="GJ500" s="75"/>
      <c r="GK500" s="75"/>
      <c r="GL500" s="75"/>
      <c r="GM500" s="75"/>
      <c r="GN500" s="75"/>
      <c r="GO500" s="75"/>
      <c r="GP500" s="75"/>
      <c r="GQ500" s="75"/>
      <c r="GR500" s="75"/>
      <c r="GS500" s="75"/>
      <c r="GT500" s="75"/>
      <c r="GU500" s="75"/>
      <c r="GV500" s="75"/>
      <c r="GW500" s="75"/>
      <c r="GX500" s="75"/>
      <c r="GY500" s="75"/>
      <c r="GZ500" s="75"/>
      <c r="HA500" s="75"/>
      <c r="HB500" s="75"/>
      <c r="HC500" s="75"/>
      <c r="HD500" s="75"/>
      <c r="HE500" s="75"/>
      <c r="HF500" s="75"/>
      <c r="HG500" s="75"/>
      <c r="HH500" s="75"/>
      <c r="HI500" s="75"/>
      <c r="HJ500" s="75"/>
      <c r="HK500" s="75"/>
      <c r="HL500" s="75"/>
      <c r="HM500" s="75"/>
      <c r="HN500" s="75"/>
      <c r="HO500" s="75"/>
      <c r="HP500" s="75"/>
      <c r="HQ500" s="75"/>
      <c r="HR500" s="75"/>
      <c r="HS500" s="75"/>
      <c r="HT500" s="75"/>
      <c r="HU500" s="75"/>
      <c r="HV500" s="75"/>
      <c r="HW500" s="75"/>
      <c r="HX500" s="75"/>
      <c r="HY500" s="75"/>
      <c r="HZ500" s="75"/>
      <c r="IA500" s="75"/>
      <c r="IB500" s="75"/>
      <c r="IC500" s="75"/>
      <c r="ID500" s="75"/>
      <c r="IE500" s="75"/>
      <c r="IF500" s="75"/>
      <c r="IG500" s="75"/>
      <c r="IH500" s="75"/>
      <c r="II500" s="75"/>
      <c r="IJ500" s="75"/>
      <c r="IK500" s="75"/>
      <c r="IL500" s="75"/>
      <c r="IM500" s="75"/>
      <c r="IN500" s="75"/>
      <c r="IO500" s="75"/>
      <c r="IP500" s="75"/>
      <c r="IQ500" s="75"/>
      <c r="IR500" s="75"/>
      <c r="IS500" s="75"/>
      <c r="IT500" s="75"/>
      <c r="IU500" s="75"/>
      <c r="IV500" s="75"/>
      <c r="IW500" s="75"/>
      <c r="IX500" s="75"/>
      <c r="IY500" s="75"/>
      <c r="IZ500" s="75"/>
      <c r="JA500" s="75"/>
      <c r="JB500" s="75"/>
      <c r="JC500" s="75"/>
      <c r="JD500" s="75"/>
      <c r="JE500" s="75"/>
      <c r="JF500" s="75"/>
      <c r="JG500" s="75"/>
      <c r="JH500" s="75"/>
      <c r="JI500" s="75"/>
      <c r="JJ500" s="75"/>
      <c r="JK500" s="75"/>
      <c r="JL500" s="75"/>
      <c r="JM500" s="75"/>
      <c r="JN500" s="75"/>
      <c r="JO500" s="75"/>
      <c r="JP500" s="75"/>
      <c r="JQ500" s="75"/>
      <c r="JR500" s="75"/>
      <c r="JS500" s="75"/>
      <c r="JT500" s="75"/>
      <c r="JU500" s="75"/>
      <c r="JV500" s="75"/>
      <c r="JW500" s="75"/>
      <c r="JX500" s="75"/>
      <c r="JY500" s="75"/>
      <c r="JZ500" s="75"/>
      <c r="KA500" s="75"/>
      <c r="KB500" s="75"/>
      <c r="KC500" s="75"/>
      <c r="KD500" s="75"/>
      <c r="KE500" s="75"/>
      <c r="KF500" s="75"/>
      <c r="KG500" s="75"/>
      <c r="KH500" s="75"/>
      <c r="KI500" s="75"/>
      <c r="KJ500" s="75"/>
      <c r="KK500" s="75"/>
      <c r="KL500" s="75"/>
      <c r="KM500" s="75"/>
      <c r="KN500" s="75"/>
      <c r="KO500" s="75"/>
      <c r="KP500" s="75"/>
      <c r="KQ500" s="75"/>
      <c r="KR500" s="75"/>
      <c r="KS500" s="75"/>
      <c r="KT500" s="75"/>
      <c r="KU500" s="75"/>
      <c r="KV500" s="75"/>
      <c r="KW500" s="75"/>
      <c r="KX500" s="75"/>
      <c r="KY500" s="75"/>
      <c r="KZ500" s="75"/>
      <c r="LA500" s="75"/>
      <c r="LB500" s="75"/>
      <c r="LC500" s="75"/>
      <c r="LD500" s="75"/>
      <c r="LE500" s="75"/>
      <c r="LF500" s="75"/>
      <c r="LG500" s="75"/>
      <c r="LH500" s="75"/>
      <c r="LI500" s="75"/>
      <c r="LJ500" s="75"/>
      <c r="LK500" s="75"/>
      <c r="LL500" s="75"/>
      <c r="LM500" s="75"/>
      <c r="LN500" s="75"/>
      <c r="LO500" s="75"/>
      <c r="LP500" s="75"/>
      <c r="LQ500" s="75"/>
      <c r="LR500" s="75"/>
      <c r="LS500" s="75"/>
      <c r="LT500" s="75"/>
      <c r="LU500" s="75"/>
      <c r="LV500" s="75"/>
      <c r="LW500" s="75"/>
      <c r="LX500" s="75"/>
      <c r="LY500" s="75"/>
      <c r="LZ500" s="75"/>
      <c r="MA500" s="75"/>
      <c r="MB500" s="75"/>
      <c r="MC500" s="75"/>
      <c r="MD500" s="75"/>
      <c r="ME500" s="75"/>
      <c r="MF500" s="75"/>
      <c r="MG500" s="75"/>
      <c r="MH500" s="75"/>
      <c r="MI500" s="75"/>
      <c r="MJ500" s="75"/>
      <c r="MK500" s="75"/>
      <c r="ML500" s="75"/>
      <c r="MM500" s="75"/>
      <c r="MN500" s="75"/>
      <c r="MO500" s="75"/>
      <c r="MP500" s="75"/>
      <c r="MQ500" s="75"/>
      <c r="MR500" s="75"/>
      <c r="MS500" s="75"/>
      <c r="MT500" s="75"/>
      <c r="MU500" s="75"/>
      <c r="MV500" s="75"/>
      <c r="MW500" s="75"/>
      <c r="MX500" s="75"/>
      <c r="MY500" s="75"/>
      <c r="MZ500" s="75"/>
      <c r="NA500" s="75"/>
      <c r="NB500" s="75"/>
      <c r="NC500" s="75"/>
      <c r="ND500" s="75"/>
      <c r="NE500" s="75"/>
      <c r="NF500" s="75"/>
      <c r="NG500" s="75"/>
      <c r="NH500" s="75"/>
      <c r="NI500" s="75"/>
      <c r="NJ500" s="75"/>
      <c r="NK500" s="75"/>
      <c r="NL500" s="75"/>
      <c r="NM500" s="75"/>
      <c r="NN500" s="75"/>
      <c r="NO500" s="75"/>
      <c r="NP500" s="75"/>
      <c r="NQ500" s="75"/>
      <c r="NR500" s="75"/>
      <c r="NS500" s="75"/>
      <c r="NT500" s="75"/>
      <c r="NU500" s="75"/>
      <c r="NV500" s="75"/>
      <c r="NW500" s="75"/>
      <c r="NX500" s="75"/>
      <c r="NY500" s="75"/>
      <c r="NZ500" s="75"/>
      <c r="OA500" s="75"/>
      <c r="OB500" s="75"/>
      <c r="OC500" s="75"/>
      <c r="OD500" s="75"/>
      <c r="OE500" s="75"/>
      <c r="OF500" s="75"/>
      <c r="OG500" s="75"/>
      <c r="OH500" s="75"/>
      <c r="OI500" s="75"/>
      <c r="OJ500" s="75"/>
      <c r="OK500" s="75"/>
      <c r="OL500" s="75"/>
      <c r="OM500" s="75"/>
      <c r="ON500" s="75"/>
      <c r="OO500" s="75"/>
      <c r="OP500" s="75"/>
      <c r="OQ500" s="75"/>
      <c r="OR500" s="75"/>
      <c r="OS500" s="75"/>
      <c r="OT500" s="75"/>
      <c r="OU500" s="75"/>
      <c r="OV500" s="75"/>
      <c r="OW500" s="75"/>
      <c r="OX500" s="75"/>
      <c r="OY500" s="75"/>
      <c r="OZ500" s="75"/>
      <c r="PA500" s="75"/>
      <c r="PB500" s="75"/>
      <c r="PC500" s="75"/>
      <c r="PD500" s="75"/>
      <c r="PE500" s="75"/>
      <c r="PF500" s="75"/>
      <c r="PG500" s="75"/>
      <c r="PH500" s="75"/>
      <c r="PI500" s="75"/>
      <c r="PJ500" s="75"/>
      <c r="PK500" s="75"/>
      <c r="PL500" s="75"/>
      <c r="PM500" s="75"/>
      <c r="PN500" s="75"/>
      <c r="PO500" s="75"/>
      <c r="PP500" s="75"/>
      <c r="PQ500" s="75"/>
      <c r="PR500" s="75"/>
      <c r="PS500" s="75"/>
      <c r="PT500" s="75"/>
      <c r="PU500" s="75"/>
      <c r="PV500" s="75"/>
      <c r="PW500" s="75"/>
      <c r="PX500" s="75"/>
      <c r="PY500" s="75"/>
      <c r="PZ500" s="75"/>
      <c r="QA500" s="75"/>
      <c r="QB500" s="75"/>
      <c r="QC500" s="75"/>
      <c r="QD500" s="75"/>
      <c r="QE500" s="75"/>
      <c r="QF500" s="75"/>
      <c r="QG500" s="75"/>
      <c r="QH500" s="75"/>
      <c r="QI500" s="75"/>
      <c r="QJ500" s="75"/>
      <c r="QK500" s="75"/>
      <c r="QL500" s="75"/>
      <c r="QM500" s="75"/>
      <c r="QN500" s="75"/>
      <c r="QO500" s="75"/>
      <c r="QP500" s="75"/>
      <c r="QQ500" s="75"/>
      <c r="QR500" s="75"/>
      <c r="QS500" s="75"/>
      <c r="QT500" s="75"/>
      <c r="QU500" s="75"/>
      <c r="QV500" s="75"/>
      <c r="QW500" s="75"/>
      <c r="QX500" s="75"/>
      <c r="QY500" s="75"/>
      <c r="QZ500" s="75"/>
      <c r="RA500" s="75"/>
      <c r="RB500" s="75"/>
      <c r="RC500" s="75"/>
      <c r="RD500" s="75"/>
      <c r="RE500" s="75"/>
      <c r="RF500" s="75"/>
      <c r="RG500" s="75"/>
      <c r="RH500" s="75"/>
      <c r="RI500" s="75"/>
      <c r="RJ500" s="75"/>
      <c r="RK500" s="75"/>
      <c r="RL500" s="75"/>
      <c r="RM500" s="75"/>
      <c r="RN500" s="75"/>
      <c r="RO500" s="75"/>
      <c r="RP500" s="75"/>
      <c r="RQ500" s="75"/>
      <c r="RR500" s="75"/>
      <c r="RS500" s="75"/>
      <c r="RT500" s="75"/>
      <c r="RU500" s="75"/>
      <c r="RV500" s="75"/>
      <c r="RW500" s="75"/>
      <c r="RX500" s="75"/>
      <c r="RY500" s="75"/>
      <c r="RZ500" s="75"/>
      <c r="SA500" s="75"/>
      <c r="SB500" s="75"/>
      <c r="SC500" s="75"/>
      <c r="SD500" s="75"/>
      <c r="SE500" s="75"/>
      <c r="SF500" s="75"/>
      <c r="SG500" s="75"/>
      <c r="SH500" s="75"/>
      <c r="SI500" s="75"/>
      <c r="SJ500" s="75"/>
      <c r="SK500" s="75"/>
      <c r="SL500" s="75"/>
      <c r="SM500" s="75"/>
      <c r="SN500" s="75"/>
      <c r="SO500" s="75"/>
      <c r="SP500" s="75"/>
      <c r="SQ500" s="75"/>
      <c r="SR500" s="75"/>
      <c r="SS500" s="75"/>
      <c r="ST500" s="75"/>
      <c r="SU500" s="75"/>
      <c r="SV500" s="75"/>
      <c r="SW500" s="75"/>
      <c r="SX500" s="75"/>
      <c r="SY500" s="75"/>
      <c r="SZ500" s="75"/>
      <c r="TA500" s="75"/>
      <c r="TB500" s="75"/>
      <c r="TC500" s="75"/>
      <c r="TD500" s="75"/>
      <c r="TE500" s="75"/>
      <c r="TF500" s="75"/>
      <c r="TG500" s="75"/>
      <c r="TH500" s="75"/>
      <c r="TI500" s="75"/>
      <c r="TJ500" s="75"/>
      <c r="TK500" s="75"/>
      <c r="TL500" s="75"/>
      <c r="TM500" s="75"/>
      <c r="TN500" s="75"/>
      <c r="TO500" s="75"/>
      <c r="TP500" s="75"/>
      <c r="TQ500" s="75"/>
      <c r="TR500" s="75"/>
      <c r="TS500" s="75"/>
      <c r="TT500" s="75"/>
      <c r="TU500" s="75"/>
      <c r="TV500" s="75"/>
      <c r="TW500" s="75"/>
      <c r="TX500" s="75"/>
      <c r="TY500" s="75"/>
      <c r="TZ500" s="75"/>
      <c r="UA500" s="75"/>
      <c r="UB500" s="75"/>
      <c r="UC500" s="75"/>
      <c r="UD500" s="75"/>
      <c r="UE500" s="75"/>
      <c r="UF500" s="75"/>
      <c r="UG500" s="75"/>
      <c r="UH500" s="75"/>
      <c r="UI500" s="75"/>
      <c r="UJ500" s="75"/>
      <c r="UK500" s="75"/>
      <c r="UL500" s="75"/>
      <c r="UM500" s="75"/>
      <c r="UN500" s="75"/>
      <c r="UO500" s="75"/>
      <c r="UP500" s="75"/>
      <c r="UQ500" s="75"/>
      <c r="UR500" s="75"/>
      <c r="US500" s="75"/>
      <c r="UT500" s="75"/>
      <c r="UU500" s="75"/>
      <c r="UV500" s="75"/>
      <c r="UW500" s="75"/>
      <c r="UX500" s="75"/>
      <c r="UY500" s="75"/>
      <c r="UZ500" s="75"/>
      <c r="VA500" s="75"/>
      <c r="VB500" s="75"/>
      <c r="VC500" s="75"/>
      <c r="VD500" s="75"/>
      <c r="VE500" s="75"/>
      <c r="VF500" s="75"/>
      <c r="VG500" s="75"/>
      <c r="VH500" s="75"/>
      <c r="VI500" s="75"/>
      <c r="VJ500" s="75"/>
      <c r="VK500" s="75"/>
      <c r="VL500" s="75"/>
      <c r="VM500" s="75"/>
      <c r="VN500" s="75"/>
      <c r="VO500" s="75"/>
      <c r="VP500" s="75"/>
      <c r="VQ500" s="75"/>
      <c r="VR500" s="75"/>
      <c r="VS500" s="75"/>
      <c r="VT500" s="75"/>
      <c r="VU500" s="75"/>
      <c r="VV500" s="75"/>
      <c r="VW500" s="75"/>
      <c r="VX500" s="75"/>
      <c r="VY500" s="75"/>
      <c r="VZ500" s="75"/>
      <c r="WA500" s="75"/>
      <c r="WB500" s="75"/>
      <c r="WC500" s="75"/>
      <c r="WD500" s="75"/>
      <c r="WE500" s="75"/>
      <c r="WF500" s="75"/>
      <c r="WG500" s="75"/>
      <c r="WH500" s="75"/>
      <c r="WI500" s="75"/>
      <c r="WJ500" s="75"/>
      <c r="WK500" s="75"/>
      <c r="WL500" s="75"/>
      <c r="WM500" s="75"/>
      <c r="WN500" s="75"/>
      <c r="WO500" s="75"/>
      <c r="WP500" s="75"/>
      <c r="WQ500" s="75"/>
      <c r="WR500" s="75"/>
      <c r="WS500" s="75"/>
      <c r="WT500" s="75"/>
      <c r="WU500" s="75"/>
      <c r="WV500" s="75"/>
      <c r="WW500" s="75"/>
      <c r="WX500" s="75"/>
      <c r="WY500" s="75"/>
      <c r="WZ500" s="75"/>
      <c r="XA500" s="75"/>
      <c r="XB500" s="75"/>
      <c r="XC500" s="75"/>
      <c r="XD500" s="75"/>
      <c r="XE500" s="75"/>
      <c r="XF500" s="75"/>
      <c r="XG500" s="75"/>
      <c r="XH500" s="75"/>
      <c r="XI500" s="75"/>
      <c r="XJ500" s="75"/>
      <c r="XK500" s="75"/>
      <c r="XL500" s="75"/>
      <c r="XM500" s="75"/>
      <c r="XN500" s="75"/>
      <c r="XO500" s="75"/>
      <c r="XP500" s="75"/>
      <c r="XQ500" s="75"/>
      <c r="XR500" s="75"/>
      <c r="XS500" s="75"/>
      <c r="XT500" s="75"/>
      <c r="XU500" s="75"/>
      <c r="XV500" s="75"/>
      <c r="XW500" s="75"/>
      <c r="XX500" s="75"/>
      <c r="XY500" s="75"/>
      <c r="XZ500" s="75"/>
      <c r="YA500" s="75"/>
      <c r="YB500" s="75"/>
      <c r="YC500" s="75"/>
      <c r="YD500" s="75"/>
      <c r="YE500" s="75"/>
      <c r="YF500" s="75"/>
      <c r="YG500" s="75"/>
      <c r="YH500" s="75"/>
      <c r="YI500" s="75"/>
      <c r="YJ500" s="75"/>
      <c r="YK500" s="75"/>
      <c r="YL500" s="75"/>
      <c r="YM500" s="75"/>
      <c r="YN500" s="75"/>
      <c r="YO500" s="75"/>
      <c r="YP500" s="75"/>
      <c r="YQ500" s="75"/>
      <c r="YR500" s="75"/>
      <c r="YS500" s="75"/>
      <c r="YT500" s="75"/>
      <c r="YU500" s="75"/>
      <c r="YV500" s="75"/>
      <c r="YW500" s="75"/>
      <c r="YX500" s="75"/>
      <c r="YY500" s="75"/>
      <c r="YZ500" s="75"/>
      <c r="ZA500" s="75"/>
      <c r="ZB500" s="75"/>
      <c r="ZC500" s="75"/>
      <c r="ZD500" s="75"/>
      <c r="ZE500" s="75"/>
      <c r="ZF500" s="75"/>
      <c r="ZG500" s="75"/>
      <c r="ZH500" s="75"/>
      <c r="ZI500" s="75"/>
      <c r="ZJ500" s="75"/>
      <c r="ZK500" s="75"/>
      <c r="ZL500" s="75"/>
      <c r="ZM500" s="75"/>
      <c r="ZN500" s="75"/>
      <c r="ZO500" s="75"/>
      <c r="ZP500" s="75"/>
      <c r="ZQ500" s="75"/>
      <c r="ZR500" s="75"/>
      <c r="ZS500" s="75"/>
      <c r="ZT500" s="75"/>
      <c r="ZU500" s="75"/>
      <c r="ZV500" s="75"/>
      <c r="ZW500" s="75"/>
      <c r="ZX500" s="75"/>
      <c r="ZY500" s="75"/>
      <c r="ZZ500" s="75"/>
      <c r="AAA500" s="75"/>
      <c r="AAB500" s="75"/>
      <c r="AAC500" s="75"/>
      <c r="AAD500" s="75"/>
      <c r="AAE500" s="75"/>
      <c r="AAF500" s="75"/>
      <c r="AAG500" s="75"/>
      <c r="AAH500" s="75"/>
      <c r="AAI500" s="75"/>
      <c r="AAJ500" s="75"/>
      <c r="AAK500" s="75"/>
      <c r="AAL500" s="75"/>
      <c r="AAM500" s="75"/>
      <c r="AAN500" s="75"/>
      <c r="AAO500" s="75"/>
      <c r="AAP500" s="75"/>
      <c r="AAQ500" s="75"/>
      <c r="AAR500" s="75"/>
      <c r="AAS500" s="75"/>
      <c r="AAT500" s="75"/>
      <c r="AAU500" s="75"/>
      <c r="AAV500" s="75"/>
      <c r="AAW500" s="75"/>
      <c r="AAX500" s="75"/>
      <c r="AAY500" s="75"/>
      <c r="AAZ500" s="75"/>
      <c r="ABA500" s="75"/>
      <c r="ABB500" s="75"/>
      <c r="ABC500" s="75"/>
      <c r="ABD500" s="75"/>
      <c r="ABE500" s="75"/>
      <c r="ABF500" s="75"/>
      <c r="ABG500" s="75"/>
      <c r="ABH500" s="75"/>
      <c r="ABI500" s="75"/>
      <c r="ABJ500" s="75"/>
      <c r="ABK500" s="75"/>
      <c r="ABL500" s="75"/>
      <c r="ABM500" s="75"/>
      <c r="ABN500" s="75"/>
      <c r="ABO500" s="75"/>
      <c r="ABP500" s="75"/>
      <c r="ABQ500" s="75"/>
      <c r="ABR500" s="75"/>
      <c r="ABS500" s="75"/>
      <c r="ABT500" s="75"/>
      <c r="ABU500" s="75"/>
      <c r="ABV500" s="75"/>
      <c r="ABW500" s="75"/>
      <c r="ABX500" s="75"/>
      <c r="ABY500" s="75"/>
      <c r="ABZ500" s="75"/>
      <c r="ACA500" s="75"/>
      <c r="ACB500" s="75"/>
      <c r="ACC500" s="75"/>
      <c r="ACD500" s="75"/>
      <c r="ACE500" s="75"/>
      <c r="ACF500" s="75"/>
      <c r="ACG500" s="75"/>
      <c r="ACH500" s="75"/>
      <c r="ACI500" s="75"/>
      <c r="ACJ500" s="75"/>
      <c r="ACK500" s="75"/>
      <c r="ACL500" s="75"/>
      <c r="ACM500" s="75"/>
      <c r="ACN500" s="75"/>
      <c r="ACO500" s="75"/>
      <c r="ACP500" s="75"/>
      <c r="ACQ500" s="75"/>
      <c r="ACR500" s="75"/>
      <c r="ACS500" s="75"/>
      <c r="ACT500" s="75"/>
      <c r="ACU500" s="75"/>
      <c r="ACV500" s="75"/>
      <c r="ACW500" s="75"/>
      <c r="ACX500" s="75"/>
      <c r="ACY500" s="75"/>
      <c r="ACZ500" s="75"/>
      <c r="ADA500" s="75"/>
      <c r="ADB500" s="75"/>
      <c r="ADC500" s="75"/>
      <c r="ADD500" s="75"/>
      <c r="ADE500" s="75"/>
      <c r="ADF500" s="75"/>
      <c r="ADG500" s="75"/>
      <c r="ADH500" s="75"/>
      <c r="ADI500" s="75"/>
      <c r="ADJ500" s="75"/>
      <c r="ADK500" s="75"/>
      <c r="ADL500" s="75"/>
      <c r="ADM500" s="75"/>
      <c r="ADN500" s="75"/>
      <c r="ADO500" s="75"/>
      <c r="ADP500" s="75"/>
      <c r="ADQ500" s="75"/>
      <c r="ADR500" s="75"/>
      <c r="ADS500" s="75"/>
      <c r="ADT500" s="75"/>
      <c r="ADU500" s="75"/>
      <c r="ADV500" s="75"/>
      <c r="ADW500" s="75"/>
      <c r="ADX500" s="75"/>
      <c r="ADY500" s="75"/>
      <c r="ADZ500" s="75"/>
      <c r="AEA500" s="75"/>
      <c r="AEB500" s="75"/>
      <c r="AEC500" s="75"/>
      <c r="AED500" s="75"/>
      <c r="AEE500" s="75"/>
      <c r="AEF500" s="75"/>
      <c r="AEG500" s="75"/>
      <c r="AEH500" s="75"/>
      <c r="AEI500" s="75"/>
      <c r="AEJ500" s="75"/>
      <c r="AEK500" s="75"/>
      <c r="AEL500" s="75"/>
      <c r="AEM500" s="75"/>
      <c r="AEN500" s="75"/>
      <c r="AEO500" s="75"/>
      <c r="AEP500" s="75"/>
      <c r="AEQ500" s="75"/>
      <c r="AER500" s="75"/>
      <c r="AES500" s="75"/>
      <c r="AET500" s="75"/>
      <c r="AEU500" s="75"/>
      <c r="AEV500" s="75"/>
      <c r="AEW500" s="75"/>
      <c r="AEX500" s="75"/>
      <c r="AEY500" s="75"/>
      <c r="AEZ500" s="75"/>
      <c r="AFA500" s="75"/>
      <c r="AFB500" s="75"/>
      <c r="AFC500" s="75"/>
      <c r="AFD500" s="75"/>
      <c r="AFE500" s="75"/>
      <c r="AFF500" s="75"/>
      <c r="AFG500" s="75"/>
      <c r="AFH500" s="75"/>
      <c r="AFI500" s="75"/>
      <c r="AFJ500" s="75"/>
      <c r="AFK500" s="75"/>
      <c r="AFL500" s="75"/>
      <c r="AFM500" s="75"/>
      <c r="AFN500" s="75"/>
      <c r="AFO500" s="75"/>
      <c r="AFP500" s="75"/>
      <c r="AFQ500" s="75"/>
      <c r="AFR500" s="75"/>
      <c r="AFS500" s="75"/>
      <c r="AFT500" s="75"/>
      <c r="AFU500" s="75"/>
      <c r="AFV500" s="75"/>
      <c r="AFW500" s="75"/>
      <c r="AFX500" s="75"/>
      <c r="AFY500" s="75"/>
      <c r="AFZ500" s="75"/>
      <c r="AGA500" s="75"/>
      <c r="AGB500" s="75"/>
      <c r="AGC500" s="75"/>
      <c r="AGD500" s="75"/>
      <c r="AGE500" s="75"/>
      <c r="AGF500" s="75"/>
      <c r="AGG500" s="75"/>
      <c r="AGH500" s="75"/>
      <c r="AGI500" s="75"/>
      <c r="AGJ500" s="75"/>
      <c r="AGK500" s="75"/>
      <c r="AGL500" s="75"/>
      <c r="AGM500" s="75"/>
      <c r="AGN500" s="75"/>
      <c r="AGO500" s="75"/>
      <c r="AGP500" s="75"/>
      <c r="AGQ500" s="75"/>
      <c r="AGR500" s="75"/>
      <c r="AGS500" s="75"/>
      <c r="AGT500" s="75"/>
      <c r="AGU500" s="75"/>
      <c r="AGV500" s="75"/>
      <c r="AGW500" s="75"/>
      <c r="AGX500" s="75"/>
      <c r="AGY500" s="75"/>
      <c r="AGZ500" s="75"/>
      <c r="AHA500" s="75"/>
      <c r="AHB500" s="75"/>
      <c r="AHC500" s="75"/>
      <c r="AHD500" s="75"/>
      <c r="AHE500" s="75"/>
      <c r="AHF500" s="75"/>
      <c r="AHG500" s="75"/>
      <c r="AHH500" s="75"/>
      <c r="AHI500" s="75"/>
      <c r="AHJ500" s="75"/>
      <c r="AHK500" s="75"/>
      <c r="AHL500" s="75"/>
      <c r="AHM500" s="75"/>
      <c r="AHN500" s="75"/>
      <c r="AHO500" s="75"/>
      <c r="AHP500" s="75"/>
      <c r="AHQ500" s="75"/>
      <c r="AHR500" s="75"/>
      <c r="AHS500" s="75"/>
      <c r="AHT500" s="75"/>
      <c r="AHU500" s="75"/>
      <c r="AHV500" s="75"/>
      <c r="AHW500" s="75"/>
      <c r="AHX500" s="75"/>
      <c r="AHY500" s="75"/>
      <c r="AHZ500" s="75"/>
      <c r="AIA500" s="75"/>
      <c r="AIB500" s="75"/>
      <c r="AIC500" s="75"/>
      <c r="AID500" s="75"/>
      <c r="AIE500" s="75"/>
      <c r="AIF500" s="75"/>
      <c r="AIG500" s="75"/>
      <c r="AIH500" s="75"/>
      <c r="AII500" s="75"/>
      <c r="AIJ500" s="75"/>
      <c r="AIK500" s="75"/>
      <c r="AIL500" s="75"/>
      <c r="AIM500" s="75"/>
      <c r="AIN500" s="75"/>
      <c r="AIO500" s="75"/>
      <c r="AIP500" s="75"/>
      <c r="AIQ500" s="75"/>
      <c r="AIR500" s="75"/>
      <c r="AIS500" s="75"/>
      <c r="AIT500" s="75"/>
      <c r="AIU500" s="75"/>
      <c r="AIV500" s="75"/>
      <c r="AIW500" s="75"/>
      <c r="AIX500" s="75"/>
      <c r="AIY500" s="75"/>
      <c r="AIZ500" s="75"/>
      <c r="AJA500" s="75"/>
      <c r="AJB500" s="75"/>
      <c r="AJC500" s="75"/>
      <c r="AJD500" s="75"/>
      <c r="AJE500" s="75"/>
      <c r="AJF500" s="75"/>
      <c r="AJG500" s="75"/>
      <c r="AJH500" s="75"/>
      <c r="AJI500" s="75"/>
      <c r="AJJ500" s="75"/>
      <c r="AJK500" s="75"/>
      <c r="AJL500" s="75"/>
      <c r="AJM500" s="75"/>
      <c r="AJN500" s="75"/>
      <c r="AJO500" s="75"/>
      <c r="AJP500" s="75"/>
      <c r="AJQ500" s="75"/>
      <c r="AJR500" s="75"/>
      <c r="AJS500" s="75"/>
      <c r="AJT500" s="75"/>
      <c r="AJU500" s="75"/>
      <c r="AJV500" s="75"/>
      <c r="AJW500" s="75"/>
      <c r="AJX500" s="75"/>
      <c r="AJY500" s="75"/>
      <c r="AJZ500" s="75"/>
      <c r="AKA500" s="75"/>
      <c r="AKB500" s="75"/>
      <c r="AKC500" s="75"/>
      <c r="AKD500" s="75"/>
      <c r="AKE500" s="75"/>
      <c r="AKF500" s="75"/>
      <c r="AKG500" s="75"/>
      <c r="AKH500" s="75"/>
      <c r="AKI500" s="75"/>
      <c r="AKJ500" s="75"/>
      <c r="AKK500" s="75"/>
      <c r="AKL500" s="75"/>
      <c r="AKM500" s="75"/>
      <c r="AKN500" s="75"/>
      <c r="AKO500" s="75"/>
      <c r="AKP500" s="75"/>
      <c r="AKQ500" s="75"/>
      <c r="AKR500" s="75"/>
      <c r="AKS500" s="75"/>
      <c r="AKT500" s="75"/>
      <c r="AKU500" s="75"/>
      <c r="AKV500" s="75"/>
      <c r="AKW500" s="75"/>
      <c r="AKX500" s="75"/>
      <c r="AKY500" s="75"/>
      <c r="AKZ500" s="75"/>
      <c r="ALA500" s="75"/>
      <c r="ALB500" s="75"/>
      <c r="ALC500" s="75"/>
      <c r="ALD500" s="75"/>
      <c r="ALE500" s="75"/>
      <c r="ALF500" s="75"/>
      <c r="ALG500" s="75"/>
      <c r="ALH500" s="75"/>
      <c r="ALI500" s="75"/>
      <c r="ALJ500" s="75"/>
      <c r="ALK500" s="75"/>
      <c r="ALL500" s="75"/>
      <c r="ALM500" s="75"/>
      <c r="ALN500" s="75"/>
      <c r="ALO500" s="75"/>
    </row>
    <row r="501" spans="1:1003" s="235" customFormat="1" ht="14.55" customHeight="1" outlineLevel="1" x14ac:dyDescent="0.25">
      <c r="A501" s="230" t="s">
        <v>1422</v>
      </c>
      <c r="B501" s="343" t="str">
        <f>"13.0601"</f>
        <v>13.0601</v>
      </c>
      <c r="C501" s="75" t="s">
        <v>2188</v>
      </c>
      <c r="D501" s="127" t="s">
        <v>2189</v>
      </c>
      <c r="E501" s="232"/>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c r="AY501" s="75"/>
      <c r="AZ501" s="75"/>
      <c r="BA501" s="75"/>
      <c r="BB501" s="75"/>
      <c r="BC501" s="75"/>
      <c r="BD501" s="75"/>
      <c r="BE501" s="75"/>
      <c r="BF501" s="75"/>
      <c r="BG501" s="75"/>
      <c r="BH501" s="75"/>
      <c r="BI501" s="75"/>
      <c r="BJ501" s="75"/>
      <c r="BK501" s="75"/>
      <c r="BL501" s="75"/>
      <c r="BM501" s="75"/>
      <c r="BN501" s="75"/>
      <c r="BO501" s="75"/>
      <c r="BP501" s="75"/>
      <c r="BQ501" s="75"/>
      <c r="BR501" s="75"/>
      <c r="BS501" s="75"/>
      <c r="BT501" s="75"/>
      <c r="BU501" s="75"/>
      <c r="BV501" s="75"/>
      <c r="BW501" s="75"/>
      <c r="BX501" s="75"/>
      <c r="BY501" s="75"/>
      <c r="BZ501" s="75"/>
      <c r="CA501" s="75"/>
      <c r="CB501" s="75"/>
      <c r="CC501" s="75"/>
      <c r="CD501" s="75"/>
      <c r="CE501" s="75"/>
      <c r="CF501" s="75"/>
      <c r="CG501" s="75"/>
      <c r="CH501" s="75"/>
      <c r="CI501" s="75"/>
      <c r="CJ501" s="75"/>
      <c r="CK501" s="75"/>
      <c r="CL501" s="75"/>
      <c r="CM501" s="75"/>
      <c r="CN501" s="75"/>
      <c r="CO501" s="75"/>
      <c r="CP501" s="75"/>
      <c r="CQ501" s="75"/>
      <c r="CR501" s="75"/>
      <c r="CS501" s="75"/>
      <c r="CT501" s="75"/>
      <c r="CU501" s="75"/>
      <c r="CV501" s="75"/>
      <c r="CW501" s="75"/>
      <c r="CX501" s="75"/>
      <c r="CY501" s="75"/>
      <c r="CZ501" s="75"/>
      <c r="DA501" s="75"/>
      <c r="DB501" s="75"/>
      <c r="DC501" s="75"/>
      <c r="DD501" s="75"/>
      <c r="DE501" s="75"/>
      <c r="DF501" s="75"/>
      <c r="DG501" s="75"/>
      <c r="DH501" s="75"/>
      <c r="DI501" s="75"/>
      <c r="DJ501" s="75"/>
      <c r="DK501" s="75"/>
      <c r="DL501" s="75"/>
      <c r="DM501" s="75"/>
      <c r="DN501" s="75"/>
      <c r="DO501" s="75"/>
      <c r="DP501" s="75"/>
      <c r="DQ501" s="75"/>
      <c r="DR501" s="75"/>
      <c r="DS501" s="75"/>
      <c r="DT501" s="75"/>
      <c r="DU501" s="75"/>
      <c r="DV501" s="75"/>
      <c r="DW501" s="75"/>
      <c r="DX501" s="75"/>
      <c r="DY501" s="75"/>
      <c r="DZ501" s="75"/>
      <c r="EA501" s="75"/>
      <c r="EB501" s="75"/>
      <c r="EC501" s="75"/>
      <c r="ED501" s="75"/>
      <c r="EE501" s="75"/>
      <c r="EF501" s="75"/>
      <c r="EG501" s="75"/>
      <c r="EH501" s="75"/>
      <c r="EI501" s="75"/>
      <c r="EJ501" s="75"/>
      <c r="EK501" s="75"/>
      <c r="EL501" s="75"/>
      <c r="EM501" s="75"/>
      <c r="EN501" s="75"/>
      <c r="EO501" s="75"/>
      <c r="EP501" s="75"/>
      <c r="EQ501" s="75"/>
      <c r="ER501" s="75"/>
      <c r="ES501" s="75"/>
      <c r="ET501" s="75"/>
      <c r="EU501" s="75"/>
      <c r="EV501" s="75"/>
      <c r="EW501" s="75"/>
      <c r="EX501" s="75"/>
      <c r="EY501" s="75"/>
      <c r="EZ501" s="75"/>
      <c r="FA501" s="75"/>
      <c r="FB501" s="75"/>
      <c r="FC501" s="75"/>
      <c r="FD501" s="75"/>
      <c r="FE501" s="75"/>
      <c r="FF501" s="75"/>
      <c r="FG501" s="75"/>
      <c r="FH501" s="75"/>
      <c r="FI501" s="75"/>
      <c r="FJ501" s="75"/>
      <c r="FK501" s="75"/>
      <c r="FL501" s="75"/>
      <c r="FM501" s="75"/>
      <c r="FN501" s="75"/>
      <c r="FO501" s="75"/>
      <c r="FP501" s="75"/>
      <c r="FQ501" s="75"/>
      <c r="FR501" s="75"/>
      <c r="FS501" s="75"/>
      <c r="FT501" s="75"/>
      <c r="FU501" s="75"/>
      <c r="FV501" s="75"/>
      <c r="FW501" s="75"/>
      <c r="FX501" s="75"/>
      <c r="FY501" s="75"/>
      <c r="FZ501" s="75"/>
      <c r="GA501" s="75"/>
      <c r="GB501" s="75"/>
      <c r="GC501" s="75"/>
      <c r="GD501" s="75"/>
      <c r="GE501" s="75"/>
      <c r="GF501" s="75"/>
      <c r="GG501" s="75"/>
      <c r="GH501" s="75"/>
      <c r="GI501" s="75"/>
      <c r="GJ501" s="75"/>
      <c r="GK501" s="75"/>
      <c r="GL501" s="75"/>
      <c r="GM501" s="75"/>
      <c r="GN501" s="75"/>
      <c r="GO501" s="75"/>
      <c r="GP501" s="75"/>
      <c r="GQ501" s="75"/>
      <c r="GR501" s="75"/>
      <c r="GS501" s="75"/>
      <c r="GT501" s="75"/>
      <c r="GU501" s="75"/>
      <c r="GV501" s="75"/>
      <c r="GW501" s="75"/>
      <c r="GX501" s="75"/>
      <c r="GY501" s="75"/>
      <c r="GZ501" s="75"/>
      <c r="HA501" s="75"/>
      <c r="HB501" s="75"/>
      <c r="HC501" s="75"/>
      <c r="HD501" s="75"/>
      <c r="HE501" s="75"/>
      <c r="HF501" s="75"/>
      <c r="HG501" s="75"/>
      <c r="HH501" s="75"/>
      <c r="HI501" s="75"/>
      <c r="HJ501" s="75"/>
      <c r="HK501" s="75"/>
      <c r="HL501" s="75"/>
      <c r="HM501" s="75"/>
      <c r="HN501" s="75"/>
      <c r="HO501" s="75"/>
      <c r="HP501" s="75"/>
      <c r="HQ501" s="75"/>
      <c r="HR501" s="75"/>
      <c r="HS501" s="75"/>
      <c r="HT501" s="75"/>
      <c r="HU501" s="75"/>
      <c r="HV501" s="75"/>
      <c r="HW501" s="75"/>
      <c r="HX501" s="75"/>
      <c r="HY501" s="75"/>
      <c r="HZ501" s="75"/>
      <c r="IA501" s="75"/>
      <c r="IB501" s="75"/>
      <c r="IC501" s="75"/>
      <c r="ID501" s="75"/>
      <c r="IE501" s="75"/>
      <c r="IF501" s="75"/>
      <c r="IG501" s="75"/>
      <c r="IH501" s="75"/>
      <c r="II501" s="75"/>
      <c r="IJ501" s="75"/>
      <c r="IK501" s="75"/>
      <c r="IL501" s="75"/>
      <c r="IM501" s="75"/>
      <c r="IN501" s="75"/>
      <c r="IO501" s="75"/>
      <c r="IP501" s="75"/>
      <c r="IQ501" s="75"/>
      <c r="IR501" s="75"/>
      <c r="IS501" s="75"/>
      <c r="IT501" s="75"/>
      <c r="IU501" s="75"/>
      <c r="IV501" s="75"/>
      <c r="IW501" s="75"/>
      <c r="IX501" s="75"/>
      <c r="IY501" s="75"/>
      <c r="IZ501" s="75"/>
      <c r="JA501" s="75"/>
      <c r="JB501" s="75"/>
      <c r="JC501" s="75"/>
      <c r="JD501" s="75"/>
      <c r="JE501" s="75"/>
      <c r="JF501" s="75"/>
      <c r="JG501" s="75"/>
      <c r="JH501" s="75"/>
      <c r="JI501" s="75"/>
      <c r="JJ501" s="75"/>
      <c r="JK501" s="75"/>
      <c r="JL501" s="75"/>
      <c r="JM501" s="75"/>
      <c r="JN501" s="75"/>
      <c r="JO501" s="75"/>
      <c r="JP501" s="75"/>
      <c r="JQ501" s="75"/>
      <c r="JR501" s="75"/>
      <c r="JS501" s="75"/>
      <c r="JT501" s="75"/>
      <c r="JU501" s="75"/>
      <c r="JV501" s="75"/>
      <c r="JW501" s="75"/>
      <c r="JX501" s="75"/>
      <c r="JY501" s="75"/>
      <c r="JZ501" s="75"/>
      <c r="KA501" s="75"/>
      <c r="KB501" s="75"/>
      <c r="KC501" s="75"/>
      <c r="KD501" s="75"/>
      <c r="KE501" s="75"/>
      <c r="KF501" s="75"/>
      <c r="KG501" s="75"/>
      <c r="KH501" s="75"/>
      <c r="KI501" s="75"/>
      <c r="KJ501" s="75"/>
      <c r="KK501" s="75"/>
      <c r="KL501" s="75"/>
      <c r="KM501" s="75"/>
      <c r="KN501" s="75"/>
      <c r="KO501" s="75"/>
      <c r="KP501" s="75"/>
      <c r="KQ501" s="75"/>
      <c r="KR501" s="75"/>
      <c r="KS501" s="75"/>
      <c r="KT501" s="75"/>
      <c r="KU501" s="75"/>
      <c r="KV501" s="75"/>
      <c r="KW501" s="75"/>
      <c r="KX501" s="75"/>
      <c r="KY501" s="75"/>
      <c r="KZ501" s="75"/>
      <c r="LA501" s="75"/>
      <c r="LB501" s="75"/>
      <c r="LC501" s="75"/>
      <c r="LD501" s="75"/>
      <c r="LE501" s="75"/>
      <c r="LF501" s="75"/>
      <c r="LG501" s="75"/>
      <c r="LH501" s="75"/>
      <c r="LI501" s="75"/>
      <c r="LJ501" s="75"/>
      <c r="LK501" s="75"/>
      <c r="LL501" s="75"/>
      <c r="LM501" s="75"/>
      <c r="LN501" s="75"/>
      <c r="LO501" s="75"/>
      <c r="LP501" s="75"/>
      <c r="LQ501" s="75"/>
      <c r="LR501" s="75"/>
      <c r="LS501" s="75"/>
      <c r="LT501" s="75"/>
      <c r="LU501" s="75"/>
      <c r="LV501" s="75"/>
      <c r="LW501" s="75"/>
      <c r="LX501" s="75"/>
      <c r="LY501" s="75"/>
      <c r="LZ501" s="75"/>
      <c r="MA501" s="75"/>
      <c r="MB501" s="75"/>
      <c r="MC501" s="75"/>
      <c r="MD501" s="75"/>
      <c r="ME501" s="75"/>
      <c r="MF501" s="75"/>
      <c r="MG501" s="75"/>
      <c r="MH501" s="75"/>
      <c r="MI501" s="75"/>
      <c r="MJ501" s="75"/>
      <c r="MK501" s="75"/>
      <c r="ML501" s="75"/>
      <c r="MM501" s="75"/>
      <c r="MN501" s="75"/>
      <c r="MO501" s="75"/>
      <c r="MP501" s="75"/>
      <c r="MQ501" s="75"/>
      <c r="MR501" s="75"/>
      <c r="MS501" s="75"/>
      <c r="MT501" s="75"/>
      <c r="MU501" s="75"/>
      <c r="MV501" s="75"/>
      <c r="MW501" s="75"/>
      <c r="MX501" s="75"/>
      <c r="MY501" s="75"/>
      <c r="MZ501" s="75"/>
      <c r="NA501" s="75"/>
      <c r="NB501" s="75"/>
      <c r="NC501" s="75"/>
      <c r="ND501" s="75"/>
      <c r="NE501" s="75"/>
      <c r="NF501" s="75"/>
      <c r="NG501" s="75"/>
      <c r="NH501" s="75"/>
      <c r="NI501" s="75"/>
      <c r="NJ501" s="75"/>
      <c r="NK501" s="75"/>
      <c r="NL501" s="75"/>
      <c r="NM501" s="75"/>
      <c r="NN501" s="75"/>
      <c r="NO501" s="75"/>
      <c r="NP501" s="75"/>
      <c r="NQ501" s="75"/>
      <c r="NR501" s="75"/>
      <c r="NS501" s="75"/>
      <c r="NT501" s="75"/>
      <c r="NU501" s="75"/>
      <c r="NV501" s="75"/>
      <c r="NW501" s="75"/>
      <c r="NX501" s="75"/>
      <c r="NY501" s="75"/>
      <c r="NZ501" s="75"/>
      <c r="OA501" s="75"/>
      <c r="OB501" s="75"/>
      <c r="OC501" s="75"/>
      <c r="OD501" s="75"/>
      <c r="OE501" s="75"/>
      <c r="OF501" s="75"/>
      <c r="OG501" s="75"/>
      <c r="OH501" s="75"/>
      <c r="OI501" s="75"/>
      <c r="OJ501" s="75"/>
      <c r="OK501" s="75"/>
      <c r="OL501" s="75"/>
      <c r="OM501" s="75"/>
      <c r="ON501" s="75"/>
      <c r="OO501" s="75"/>
      <c r="OP501" s="75"/>
      <c r="OQ501" s="75"/>
      <c r="OR501" s="75"/>
      <c r="OS501" s="75"/>
      <c r="OT501" s="75"/>
      <c r="OU501" s="75"/>
      <c r="OV501" s="75"/>
      <c r="OW501" s="75"/>
      <c r="OX501" s="75"/>
      <c r="OY501" s="75"/>
      <c r="OZ501" s="75"/>
      <c r="PA501" s="75"/>
      <c r="PB501" s="75"/>
      <c r="PC501" s="75"/>
      <c r="PD501" s="75"/>
      <c r="PE501" s="75"/>
      <c r="PF501" s="75"/>
      <c r="PG501" s="75"/>
      <c r="PH501" s="75"/>
      <c r="PI501" s="75"/>
      <c r="PJ501" s="75"/>
      <c r="PK501" s="75"/>
      <c r="PL501" s="75"/>
      <c r="PM501" s="75"/>
      <c r="PN501" s="75"/>
      <c r="PO501" s="75"/>
      <c r="PP501" s="75"/>
      <c r="PQ501" s="75"/>
      <c r="PR501" s="75"/>
      <c r="PS501" s="75"/>
      <c r="PT501" s="75"/>
      <c r="PU501" s="75"/>
      <c r="PV501" s="75"/>
      <c r="PW501" s="75"/>
      <c r="PX501" s="75"/>
      <c r="PY501" s="75"/>
      <c r="PZ501" s="75"/>
      <c r="QA501" s="75"/>
      <c r="QB501" s="75"/>
      <c r="QC501" s="75"/>
      <c r="QD501" s="75"/>
      <c r="QE501" s="75"/>
      <c r="QF501" s="75"/>
      <c r="QG501" s="75"/>
      <c r="QH501" s="75"/>
      <c r="QI501" s="75"/>
      <c r="QJ501" s="75"/>
      <c r="QK501" s="75"/>
      <c r="QL501" s="75"/>
      <c r="QM501" s="75"/>
      <c r="QN501" s="75"/>
      <c r="QO501" s="75"/>
      <c r="QP501" s="75"/>
      <c r="QQ501" s="75"/>
      <c r="QR501" s="75"/>
      <c r="QS501" s="75"/>
      <c r="QT501" s="75"/>
      <c r="QU501" s="75"/>
      <c r="QV501" s="75"/>
      <c r="QW501" s="75"/>
      <c r="QX501" s="75"/>
      <c r="QY501" s="75"/>
      <c r="QZ501" s="75"/>
      <c r="RA501" s="75"/>
      <c r="RB501" s="75"/>
      <c r="RC501" s="75"/>
      <c r="RD501" s="75"/>
      <c r="RE501" s="75"/>
      <c r="RF501" s="75"/>
      <c r="RG501" s="75"/>
      <c r="RH501" s="75"/>
      <c r="RI501" s="75"/>
      <c r="RJ501" s="75"/>
      <c r="RK501" s="75"/>
      <c r="RL501" s="75"/>
      <c r="RM501" s="75"/>
      <c r="RN501" s="75"/>
      <c r="RO501" s="75"/>
      <c r="RP501" s="75"/>
      <c r="RQ501" s="75"/>
      <c r="RR501" s="75"/>
      <c r="RS501" s="75"/>
      <c r="RT501" s="75"/>
      <c r="RU501" s="75"/>
      <c r="RV501" s="75"/>
      <c r="RW501" s="75"/>
      <c r="RX501" s="75"/>
      <c r="RY501" s="75"/>
      <c r="RZ501" s="75"/>
      <c r="SA501" s="75"/>
      <c r="SB501" s="75"/>
      <c r="SC501" s="75"/>
      <c r="SD501" s="75"/>
      <c r="SE501" s="75"/>
      <c r="SF501" s="75"/>
      <c r="SG501" s="75"/>
      <c r="SH501" s="75"/>
      <c r="SI501" s="75"/>
      <c r="SJ501" s="75"/>
      <c r="SK501" s="75"/>
      <c r="SL501" s="75"/>
      <c r="SM501" s="75"/>
      <c r="SN501" s="75"/>
      <c r="SO501" s="75"/>
      <c r="SP501" s="75"/>
      <c r="SQ501" s="75"/>
      <c r="SR501" s="75"/>
      <c r="SS501" s="75"/>
      <c r="ST501" s="75"/>
      <c r="SU501" s="75"/>
      <c r="SV501" s="75"/>
      <c r="SW501" s="75"/>
      <c r="SX501" s="75"/>
      <c r="SY501" s="75"/>
      <c r="SZ501" s="75"/>
      <c r="TA501" s="75"/>
      <c r="TB501" s="75"/>
      <c r="TC501" s="75"/>
      <c r="TD501" s="75"/>
      <c r="TE501" s="75"/>
      <c r="TF501" s="75"/>
      <c r="TG501" s="75"/>
      <c r="TH501" s="75"/>
      <c r="TI501" s="75"/>
      <c r="TJ501" s="75"/>
      <c r="TK501" s="75"/>
      <c r="TL501" s="75"/>
      <c r="TM501" s="75"/>
      <c r="TN501" s="75"/>
      <c r="TO501" s="75"/>
      <c r="TP501" s="75"/>
      <c r="TQ501" s="75"/>
      <c r="TR501" s="75"/>
      <c r="TS501" s="75"/>
      <c r="TT501" s="75"/>
      <c r="TU501" s="75"/>
      <c r="TV501" s="75"/>
      <c r="TW501" s="75"/>
      <c r="TX501" s="75"/>
      <c r="TY501" s="75"/>
      <c r="TZ501" s="75"/>
      <c r="UA501" s="75"/>
      <c r="UB501" s="75"/>
      <c r="UC501" s="75"/>
      <c r="UD501" s="75"/>
      <c r="UE501" s="75"/>
      <c r="UF501" s="75"/>
      <c r="UG501" s="75"/>
      <c r="UH501" s="75"/>
      <c r="UI501" s="75"/>
      <c r="UJ501" s="75"/>
      <c r="UK501" s="75"/>
      <c r="UL501" s="75"/>
      <c r="UM501" s="75"/>
      <c r="UN501" s="75"/>
      <c r="UO501" s="75"/>
      <c r="UP501" s="75"/>
      <c r="UQ501" s="75"/>
      <c r="UR501" s="75"/>
      <c r="US501" s="75"/>
      <c r="UT501" s="75"/>
      <c r="UU501" s="75"/>
      <c r="UV501" s="75"/>
      <c r="UW501" s="75"/>
      <c r="UX501" s="75"/>
      <c r="UY501" s="75"/>
      <c r="UZ501" s="75"/>
      <c r="VA501" s="75"/>
      <c r="VB501" s="75"/>
      <c r="VC501" s="75"/>
      <c r="VD501" s="75"/>
      <c r="VE501" s="75"/>
      <c r="VF501" s="75"/>
      <c r="VG501" s="75"/>
      <c r="VH501" s="75"/>
      <c r="VI501" s="75"/>
      <c r="VJ501" s="75"/>
      <c r="VK501" s="75"/>
      <c r="VL501" s="75"/>
      <c r="VM501" s="75"/>
      <c r="VN501" s="75"/>
      <c r="VO501" s="75"/>
      <c r="VP501" s="75"/>
      <c r="VQ501" s="75"/>
      <c r="VR501" s="75"/>
      <c r="VS501" s="75"/>
      <c r="VT501" s="75"/>
      <c r="VU501" s="75"/>
      <c r="VV501" s="75"/>
      <c r="VW501" s="75"/>
      <c r="VX501" s="75"/>
      <c r="VY501" s="75"/>
      <c r="VZ501" s="75"/>
      <c r="WA501" s="75"/>
      <c r="WB501" s="75"/>
      <c r="WC501" s="75"/>
      <c r="WD501" s="75"/>
      <c r="WE501" s="75"/>
      <c r="WF501" s="75"/>
      <c r="WG501" s="75"/>
      <c r="WH501" s="75"/>
      <c r="WI501" s="75"/>
      <c r="WJ501" s="75"/>
      <c r="WK501" s="75"/>
      <c r="WL501" s="75"/>
      <c r="WM501" s="75"/>
      <c r="WN501" s="75"/>
      <c r="WO501" s="75"/>
      <c r="WP501" s="75"/>
      <c r="WQ501" s="75"/>
      <c r="WR501" s="75"/>
      <c r="WS501" s="75"/>
      <c r="WT501" s="75"/>
      <c r="WU501" s="75"/>
      <c r="WV501" s="75"/>
      <c r="WW501" s="75"/>
      <c r="WX501" s="75"/>
      <c r="WY501" s="75"/>
      <c r="WZ501" s="75"/>
      <c r="XA501" s="75"/>
      <c r="XB501" s="75"/>
      <c r="XC501" s="75"/>
      <c r="XD501" s="75"/>
      <c r="XE501" s="75"/>
      <c r="XF501" s="75"/>
      <c r="XG501" s="75"/>
      <c r="XH501" s="75"/>
      <c r="XI501" s="75"/>
      <c r="XJ501" s="75"/>
      <c r="XK501" s="75"/>
      <c r="XL501" s="75"/>
      <c r="XM501" s="75"/>
      <c r="XN501" s="75"/>
      <c r="XO501" s="75"/>
      <c r="XP501" s="75"/>
      <c r="XQ501" s="75"/>
      <c r="XR501" s="75"/>
      <c r="XS501" s="75"/>
      <c r="XT501" s="75"/>
      <c r="XU501" s="75"/>
      <c r="XV501" s="75"/>
      <c r="XW501" s="75"/>
      <c r="XX501" s="75"/>
      <c r="XY501" s="75"/>
      <c r="XZ501" s="75"/>
      <c r="YA501" s="75"/>
      <c r="YB501" s="75"/>
      <c r="YC501" s="75"/>
      <c r="YD501" s="75"/>
      <c r="YE501" s="75"/>
      <c r="YF501" s="75"/>
      <c r="YG501" s="75"/>
      <c r="YH501" s="75"/>
      <c r="YI501" s="75"/>
      <c r="YJ501" s="75"/>
      <c r="YK501" s="75"/>
      <c r="YL501" s="75"/>
      <c r="YM501" s="75"/>
      <c r="YN501" s="75"/>
      <c r="YO501" s="75"/>
      <c r="YP501" s="75"/>
      <c r="YQ501" s="75"/>
      <c r="YR501" s="75"/>
      <c r="YS501" s="75"/>
      <c r="YT501" s="75"/>
      <c r="YU501" s="75"/>
      <c r="YV501" s="75"/>
      <c r="YW501" s="75"/>
      <c r="YX501" s="75"/>
      <c r="YY501" s="75"/>
      <c r="YZ501" s="75"/>
      <c r="ZA501" s="75"/>
      <c r="ZB501" s="75"/>
      <c r="ZC501" s="75"/>
      <c r="ZD501" s="75"/>
      <c r="ZE501" s="75"/>
      <c r="ZF501" s="75"/>
      <c r="ZG501" s="75"/>
      <c r="ZH501" s="75"/>
      <c r="ZI501" s="75"/>
      <c r="ZJ501" s="75"/>
      <c r="ZK501" s="75"/>
      <c r="ZL501" s="75"/>
      <c r="ZM501" s="75"/>
      <c r="ZN501" s="75"/>
      <c r="ZO501" s="75"/>
      <c r="ZP501" s="75"/>
      <c r="ZQ501" s="75"/>
      <c r="ZR501" s="75"/>
      <c r="ZS501" s="75"/>
      <c r="ZT501" s="75"/>
      <c r="ZU501" s="75"/>
      <c r="ZV501" s="75"/>
      <c r="ZW501" s="75"/>
      <c r="ZX501" s="75"/>
      <c r="ZY501" s="75"/>
      <c r="ZZ501" s="75"/>
      <c r="AAA501" s="75"/>
      <c r="AAB501" s="75"/>
      <c r="AAC501" s="75"/>
      <c r="AAD501" s="75"/>
      <c r="AAE501" s="75"/>
      <c r="AAF501" s="75"/>
      <c r="AAG501" s="75"/>
      <c r="AAH501" s="75"/>
      <c r="AAI501" s="75"/>
      <c r="AAJ501" s="75"/>
      <c r="AAK501" s="75"/>
      <c r="AAL501" s="75"/>
      <c r="AAM501" s="75"/>
      <c r="AAN501" s="75"/>
      <c r="AAO501" s="75"/>
      <c r="AAP501" s="75"/>
      <c r="AAQ501" s="75"/>
      <c r="AAR501" s="75"/>
      <c r="AAS501" s="75"/>
      <c r="AAT501" s="75"/>
      <c r="AAU501" s="75"/>
      <c r="AAV501" s="75"/>
      <c r="AAW501" s="75"/>
      <c r="AAX501" s="75"/>
      <c r="AAY501" s="75"/>
      <c r="AAZ501" s="75"/>
      <c r="ABA501" s="75"/>
      <c r="ABB501" s="75"/>
      <c r="ABC501" s="75"/>
      <c r="ABD501" s="75"/>
      <c r="ABE501" s="75"/>
      <c r="ABF501" s="75"/>
      <c r="ABG501" s="75"/>
      <c r="ABH501" s="75"/>
      <c r="ABI501" s="75"/>
      <c r="ABJ501" s="75"/>
      <c r="ABK501" s="75"/>
      <c r="ABL501" s="75"/>
      <c r="ABM501" s="75"/>
      <c r="ABN501" s="75"/>
      <c r="ABO501" s="75"/>
      <c r="ABP501" s="75"/>
      <c r="ABQ501" s="75"/>
      <c r="ABR501" s="75"/>
      <c r="ABS501" s="75"/>
      <c r="ABT501" s="75"/>
      <c r="ABU501" s="75"/>
      <c r="ABV501" s="75"/>
      <c r="ABW501" s="75"/>
      <c r="ABX501" s="75"/>
      <c r="ABY501" s="75"/>
      <c r="ABZ501" s="75"/>
      <c r="ACA501" s="75"/>
      <c r="ACB501" s="75"/>
      <c r="ACC501" s="75"/>
      <c r="ACD501" s="75"/>
      <c r="ACE501" s="75"/>
      <c r="ACF501" s="75"/>
      <c r="ACG501" s="75"/>
      <c r="ACH501" s="75"/>
      <c r="ACI501" s="75"/>
      <c r="ACJ501" s="75"/>
      <c r="ACK501" s="75"/>
      <c r="ACL501" s="75"/>
      <c r="ACM501" s="75"/>
      <c r="ACN501" s="75"/>
      <c r="ACO501" s="75"/>
      <c r="ACP501" s="75"/>
      <c r="ACQ501" s="75"/>
      <c r="ACR501" s="75"/>
      <c r="ACS501" s="75"/>
      <c r="ACT501" s="75"/>
      <c r="ACU501" s="75"/>
      <c r="ACV501" s="75"/>
      <c r="ACW501" s="75"/>
      <c r="ACX501" s="75"/>
      <c r="ACY501" s="75"/>
      <c r="ACZ501" s="75"/>
      <c r="ADA501" s="75"/>
      <c r="ADB501" s="75"/>
      <c r="ADC501" s="75"/>
      <c r="ADD501" s="75"/>
      <c r="ADE501" s="75"/>
      <c r="ADF501" s="75"/>
      <c r="ADG501" s="75"/>
      <c r="ADH501" s="75"/>
      <c r="ADI501" s="75"/>
      <c r="ADJ501" s="75"/>
      <c r="ADK501" s="75"/>
      <c r="ADL501" s="75"/>
      <c r="ADM501" s="75"/>
      <c r="ADN501" s="75"/>
      <c r="ADO501" s="75"/>
      <c r="ADP501" s="75"/>
      <c r="ADQ501" s="75"/>
      <c r="ADR501" s="75"/>
      <c r="ADS501" s="75"/>
      <c r="ADT501" s="75"/>
      <c r="ADU501" s="75"/>
      <c r="ADV501" s="75"/>
      <c r="ADW501" s="75"/>
      <c r="ADX501" s="75"/>
      <c r="ADY501" s="75"/>
      <c r="ADZ501" s="75"/>
      <c r="AEA501" s="75"/>
      <c r="AEB501" s="75"/>
      <c r="AEC501" s="75"/>
      <c r="AED501" s="75"/>
      <c r="AEE501" s="75"/>
      <c r="AEF501" s="75"/>
      <c r="AEG501" s="75"/>
      <c r="AEH501" s="75"/>
      <c r="AEI501" s="75"/>
      <c r="AEJ501" s="75"/>
      <c r="AEK501" s="75"/>
      <c r="AEL501" s="75"/>
      <c r="AEM501" s="75"/>
      <c r="AEN501" s="75"/>
      <c r="AEO501" s="75"/>
      <c r="AEP501" s="75"/>
      <c r="AEQ501" s="75"/>
      <c r="AER501" s="75"/>
      <c r="AES501" s="75"/>
      <c r="AET501" s="75"/>
      <c r="AEU501" s="75"/>
      <c r="AEV501" s="75"/>
      <c r="AEW501" s="75"/>
      <c r="AEX501" s="75"/>
      <c r="AEY501" s="75"/>
      <c r="AEZ501" s="75"/>
      <c r="AFA501" s="75"/>
      <c r="AFB501" s="75"/>
      <c r="AFC501" s="75"/>
      <c r="AFD501" s="75"/>
      <c r="AFE501" s="75"/>
      <c r="AFF501" s="75"/>
      <c r="AFG501" s="75"/>
      <c r="AFH501" s="75"/>
      <c r="AFI501" s="75"/>
      <c r="AFJ501" s="75"/>
      <c r="AFK501" s="75"/>
      <c r="AFL501" s="75"/>
      <c r="AFM501" s="75"/>
      <c r="AFN501" s="75"/>
      <c r="AFO501" s="75"/>
      <c r="AFP501" s="75"/>
      <c r="AFQ501" s="75"/>
      <c r="AFR501" s="75"/>
      <c r="AFS501" s="75"/>
      <c r="AFT501" s="75"/>
      <c r="AFU501" s="75"/>
      <c r="AFV501" s="75"/>
      <c r="AFW501" s="75"/>
      <c r="AFX501" s="75"/>
      <c r="AFY501" s="75"/>
      <c r="AFZ501" s="75"/>
      <c r="AGA501" s="75"/>
      <c r="AGB501" s="75"/>
      <c r="AGC501" s="75"/>
      <c r="AGD501" s="75"/>
      <c r="AGE501" s="75"/>
      <c r="AGF501" s="75"/>
      <c r="AGG501" s="75"/>
      <c r="AGH501" s="75"/>
      <c r="AGI501" s="75"/>
      <c r="AGJ501" s="75"/>
      <c r="AGK501" s="75"/>
      <c r="AGL501" s="75"/>
      <c r="AGM501" s="75"/>
      <c r="AGN501" s="75"/>
      <c r="AGO501" s="75"/>
      <c r="AGP501" s="75"/>
      <c r="AGQ501" s="75"/>
      <c r="AGR501" s="75"/>
      <c r="AGS501" s="75"/>
      <c r="AGT501" s="75"/>
      <c r="AGU501" s="75"/>
      <c r="AGV501" s="75"/>
      <c r="AGW501" s="75"/>
      <c r="AGX501" s="75"/>
      <c r="AGY501" s="75"/>
      <c r="AGZ501" s="75"/>
      <c r="AHA501" s="75"/>
      <c r="AHB501" s="75"/>
      <c r="AHC501" s="75"/>
      <c r="AHD501" s="75"/>
      <c r="AHE501" s="75"/>
      <c r="AHF501" s="75"/>
      <c r="AHG501" s="75"/>
      <c r="AHH501" s="75"/>
      <c r="AHI501" s="75"/>
      <c r="AHJ501" s="75"/>
      <c r="AHK501" s="75"/>
      <c r="AHL501" s="75"/>
      <c r="AHM501" s="75"/>
      <c r="AHN501" s="75"/>
      <c r="AHO501" s="75"/>
      <c r="AHP501" s="75"/>
      <c r="AHQ501" s="75"/>
      <c r="AHR501" s="75"/>
      <c r="AHS501" s="75"/>
      <c r="AHT501" s="75"/>
      <c r="AHU501" s="75"/>
      <c r="AHV501" s="75"/>
      <c r="AHW501" s="75"/>
      <c r="AHX501" s="75"/>
      <c r="AHY501" s="75"/>
      <c r="AHZ501" s="75"/>
      <c r="AIA501" s="75"/>
      <c r="AIB501" s="75"/>
      <c r="AIC501" s="75"/>
      <c r="AID501" s="75"/>
      <c r="AIE501" s="75"/>
      <c r="AIF501" s="75"/>
      <c r="AIG501" s="75"/>
      <c r="AIH501" s="75"/>
      <c r="AII501" s="75"/>
      <c r="AIJ501" s="75"/>
      <c r="AIK501" s="75"/>
      <c r="AIL501" s="75"/>
      <c r="AIM501" s="75"/>
      <c r="AIN501" s="75"/>
      <c r="AIO501" s="75"/>
      <c r="AIP501" s="75"/>
      <c r="AIQ501" s="75"/>
      <c r="AIR501" s="75"/>
      <c r="AIS501" s="75"/>
      <c r="AIT501" s="75"/>
      <c r="AIU501" s="75"/>
      <c r="AIV501" s="75"/>
      <c r="AIW501" s="75"/>
      <c r="AIX501" s="75"/>
      <c r="AIY501" s="75"/>
      <c r="AIZ501" s="75"/>
      <c r="AJA501" s="75"/>
      <c r="AJB501" s="75"/>
      <c r="AJC501" s="75"/>
      <c r="AJD501" s="75"/>
      <c r="AJE501" s="75"/>
      <c r="AJF501" s="75"/>
      <c r="AJG501" s="75"/>
      <c r="AJH501" s="75"/>
      <c r="AJI501" s="75"/>
      <c r="AJJ501" s="75"/>
      <c r="AJK501" s="75"/>
      <c r="AJL501" s="75"/>
      <c r="AJM501" s="75"/>
      <c r="AJN501" s="75"/>
      <c r="AJO501" s="75"/>
      <c r="AJP501" s="75"/>
      <c r="AJQ501" s="75"/>
      <c r="AJR501" s="75"/>
      <c r="AJS501" s="75"/>
      <c r="AJT501" s="75"/>
      <c r="AJU501" s="75"/>
      <c r="AJV501" s="75"/>
      <c r="AJW501" s="75"/>
      <c r="AJX501" s="75"/>
      <c r="AJY501" s="75"/>
      <c r="AJZ501" s="75"/>
      <c r="AKA501" s="75"/>
      <c r="AKB501" s="75"/>
      <c r="AKC501" s="75"/>
      <c r="AKD501" s="75"/>
      <c r="AKE501" s="75"/>
      <c r="AKF501" s="75"/>
      <c r="AKG501" s="75"/>
      <c r="AKH501" s="75"/>
      <c r="AKI501" s="75"/>
      <c r="AKJ501" s="75"/>
      <c r="AKK501" s="75"/>
      <c r="AKL501" s="75"/>
      <c r="AKM501" s="75"/>
      <c r="AKN501" s="75"/>
      <c r="AKO501" s="75"/>
      <c r="AKP501" s="75"/>
      <c r="AKQ501" s="75"/>
      <c r="AKR501" s="75"/>
      <c r="AKS501" s="75"/>
      <c r="AKT501" s="75"/>
      <c r="AKU501" s="75"/>
      <c r="AKV501" s="75"/>
      <c r="AKW501" s="75"/>
      <c r="AKX501" s="75"/>
      <c r="AKY501" s="75"/>
      <c r="AKZ501" s="75"/>
      <c r="ALA501" s="75"/>
      <c r="ALB501" s="75"/>
      <c r="ALC501" s="75"/>
      <c r="ALD501" s="75"/>
      <c r="ALE501" s="75"/>
      <c r="ALF501" s="75"/>
      <c r="ALG501" s="75"/>
      <c r="ALH501" s="75"/>
      <c r="ALI501" s="75"/>
      <c r="ALJ501" s="75"/>
      <c r="ALK501" s="75"/>
      <c r="ALL501" s="75"/>
      <c r="ALM501" s="75"/>
      <c r="ALN501" s="75"/>
      <c r="ALO501" s="75"/>
    </row>
    <row r="502" spans="1:1003" s="235" customFormat="1" ht="14.55" customHeight="1" outlineLevel="1" x14ac:dyDescent="0.25">
      <c r="A502" s="230" t="s">
        <v>1422</v>
      </c>
      <c r="B502" s="343" t="str">
        <f>"13.0603"</f>
        <v>13.0603</v>
      </c>
      <c r="C502" s="75" t="s">
        <v>2190</v>
      </c>
      <c r="D502" s="127" t="s">
        <v>2191</v>
      </c>
      <c r="E502" s="232"/>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c r="AY502" s="75"/>
      <c r="AZ502" s="75"/>
      <c r="BA502" s="75"/>
      <c r="BB502" s="75"/>
      <c r="BC502" s="75"/>
      <c r="BD502" s="75"/>
      <c r="BE502" s="75"/>
      <c r="BF502" s="75"/>
      <c r="BG502" s="75"/>
      <c r="BH502" s="75"/>
      <c r="BI502" s="75"/>
      <c r="BJ502" s="75"/>
      <c r="BK502" s="75"/>
      <c r="BL502" s="75"/>
      <c r="BM502" s="75"/>
      <c r="BN502" s="75"/>
      <c r="BO502" s="75"/>
      <c r="BP502" s="75"/>
      <c r="BQ502" s="75"/>
      <c r="BR502" s="75"/>
      <c r="BS502" s="75"/>
      <c r="BT502" s="75"/>
      <c r="BU502" s="75"/>
      <c r="BV502" s="75"/>
      <c r="BW502" s="75"/>
      <c r="BX502" s="75"/>
      <c r="BY502" s="75"/>
      <c r="BZ502" s="75"/>
      <c r="CA502" s="75"/>
      <c r="CB502" s="75"/>
      <c r="CC502" s="75"/>
      <c r="CD502" s="75"/>
      <c r="CE502" s="75"/>
      <c r="CF502" s="75"/>
      <c r="CG502" s="75"/>
      <c r="CH502" s="75"/>
      <c r="CI502" s="75"/>
      <c r="CJ502" s="75"/>
      <c r="CK502" s="75"/>
      <c r="CL502" s="75"/>
      <c r="CM502" s="75"/>
      <c r="CN502" s="75"/>
      <c r="CO502" s="75"/>
      <c r="CP502" s="75"/>
      <c r="CQ502" s="75"/>
      <c r="CR502" s="75"/>
      <c r="CS502" s="75"/>
      <c r="CT502" s="75"/>
      <c r="CU502" s="75"/>
      <c r="CV502" s="75"/>
      <c r="CW502" s="75"/>
      <c r="CX502" s="75"/>
      <c r="CY502" s="75"/>
      <c r="CZ502" s="75"/>
      <c r="DA502" s="75"/>
      <c r="DB502" s="75"/>
      <c r="DC502" s="75"/>
      <c r="DD502" s="75"/>
      <c r="DE502" s="75"/>
      <c r="DF502" s="75"/>
      <c r="DG502" s="75"/>
      <c r="DH502" s="75"/>
      <c r="DI502" s="75"/>
      <c r="DJ502" s="75"/>
      <c r="DK502" s="75"/>
      <c r="DL502" s="75"/>
      <c r="DM502" s="75"/>
      <c r="DN502" s="75"/>
      <c r="DO502" s="75"/>
      <c r="DP502" s="75"/>
      <c r="DQ502" s="75"/>
      <c r="DR502" s="75"/>
      <c r="DS502" s="75"/>
      <c r="DT502" s="75"/>
      <c r="DU502" s="75"/>
      <c r="DV502" s="75"/>
      <c r="DW502" s="75"/>
      <c r="DX502" s="75"/>
      <c r="DY502" s="75"/>
      <c r="DZ502" s="75"/>
      <c r="EA502" s="75"/>
      <c r="EB502" s="75"/>
      <c r="EC502" s="75"/>
      <c r="ED502" s="75"/>
      <c r="EE502" s="75"/>
      <c r="EF502" s="75"/>
      <c r="EG502" s="75"/>
      <c r="EH502" s="75"/>
      <c r="EI502" s="75"/>
      <c r="EJ502" s="75"/>
      <c r="EK502" s="75"/>
      <c r="EL502" s="75"/>
      <c r="EM502" s="75"/>
      <c r="EN502" s="75"/>
      <c r="EO502" s="75"/>
      <c r="EP502" s="75"/>
      <c r="EQ502" s="75"/>
      <c r="ER502" s="75"/>
      <c r="ES502" s="75"/>
      <c r="ET502" s="75"/>
      <c r="EU502" s="75"/>
      <c r="EV502" s="75"/>
      <c r="EW502" s="75"/>
      <c r="EX502" s="75"/>
      <c r="EY502" s="75"/>
      <c r="EZ502" s="75"/>
      <c r="FA502" s="75"/>
      <c r="FB502" s="75"/>
      <c r="FC502" s="75"/>
      <c r="FD502" s="75"/>
      <c r="FE502" s="75"/>
      <c r="FF502" s="75"/>
      <c r="FG502" s="75"/>
      <c r="FH502" s="75"/>
      <c r="FI502" s="75"/>
      <c r="FJ502" s="75"/>
      <c r="FK502" s="75"/>
      <c r="FL502" s="75"/>
      <c r="FM502" s="75"/>
      <c r="FN502" s="75"/>
      <c r="FO502" s="75"/>
      <c r="FP502" s="75"/>
      <c r="FQ502" s="75"/>
      <c r="FR502" s="75"/>
      <c r="FS502" s="75"/>
      <c r="FT502" s="75"/>
      <c r="FU502" s="75"/>
      <c r="FV502" s="75"/>
      <c r="FW502" s="75"/>
      <c r="FX502" s="75"/>
      <c r="FY502" s="75"/>
      <c r="FZ502" s="75"/>
      <c r="GA502" s="75"/>
      <c r="GB502" s="75"/>
      <c r="GC502" s="75"/>
      <c r="GD502" s="75"/>
      <c r="GE502" s="75"/>
      <c r="GF502" s="75"/>
      <c r="GG502" s="75"/>
      <c r="GH502" s="75"/>
      <c r="GI502" s="75"/>
      <c r="GJ502" s="75"/>
      <c r="GK502" s="75"/>
      <c r="GL502" s="75"/>
      <c r="GM502" s="75"/>
      <c r="GN502" s="75"/>
      <c r="GO502" s="75"/>
      <c r="GP502" s="75"/>
      <c r="GQ502" s="75"/>
      <c r="GR502" s="75"/>
      <c r="GS502" s="75"/>
      <c r="GT502" s="75"/>
      <c r="GU502" s="75"/>
      <c r="GV502" s="75"/>
      <c r="GW502" s="75"/>
      <c r="GX502" s="75"/>
      <c r="GY502" s="75"/>
      <c r="GZ502" s="75"/>
      <c r="HA502" s="75"/>
      <c r="HB502" s="75"/>
      <c r="HC502" s="75"/>
      <c r="HD502" s="75"/>
      <c r="HE502" s="75"/>
      <c r="HF502" s="75"/>
      <c r="HG502" s="75"/>
      <c r="HH502" s="75"/>
      <c r="HI502" s="75"/>
      <c r="HJ502" s="75"/>
      <c r="HK502" s="75"/>
      <c r="HL502" s="75"/>
      <c r="HM502" s="75"/>
      <c r="HN502" s="75"/>
      <c r="HO502" s="75"/>
      <c r="HP502" s="75"/>
      <c r="HQ502" s="75"/>
      <c r="HR502" s="75"/>
      <c r="HS502" s="75"/>
      <c r="HT502" s="75"/>
      <c r="HU502" s="75"/>
      <c r="HV502" s="75"/>
      <c r="HW502" s="75"/>
      <c r="HX502" s="75"/>
      <c r="HY502" s="75"/>
      <c r="HZ502" s="75"/>
      <c r="IA502" s="75"/>
      <c r="IB502" s="75"/>
      <c r="IC502" s="75"/>
      <c r="ID502" s="75"/>
      <c r="IE502" s="75"/>
      <c r="IF502" s="75"/>
      <c r="IG502" s="75"/>
      <c r="IH502" s="75"/>
      <c r="II502" s="75"/>
      <c r="IJ502" s="75"/>
      <c r="IK502" s="75"/>
      <c r="IL502" s="75"/>
      <c r="IM502" s="75"/>
      <c r="IN502" s="75"/>
      <c r="IO502" s="75"/>
      <c r="IP502" s="75"/>
      <c r="IQ502" s="75"/>
      <c r="IR502" s="75"/>
      <c r="IS502" s="75"/>
      <c r="IT502" s="75"/>
      <c r="IU502" s="75"/>
      <c r="IV502" s="75"/>
      <c r="IW502" s="75"/>
      <c r="IX502" s="75"/>
      <c r="IY502" s="75"/>
      <c r="IZ502" s="75"/>
      <c r="JA502" s="75"/>
      <c r="JB502" s="75"/>
      <c r="JC502" s="75"/>
      <c r="JD502" s="75"/>
      <c r="JE502" s="75"/>
      <c r="JF502" s="75"/>
      <c r="JG502" s="75"/>
      <c r="JH502" s="75"/>
      <c r="JI502" s="75"/>
      <c r="JJ502" s="75"/>
      <c r="JK502" s="75"/>
      <c r="JL502" s="75"/>
      <c r="JM502" s="75"/>
      <c r="JN502" s="75"/>
      <c r="JO502" s="75"/>
      <c r="JP502" s="75"/>
      <c r="JQ502" s="75"/>
      <c r="JR502" s="75"/>
      <c r="JS502" s="75"/>
      <c r="JT502" s="75"/>
      <c r="JU502" s="75"/>
      <c r="JV502" s="75"/>
      <c r="JW502" s="75"/>
      <c r="JX502" s="75"/>
      <c r="JY502" s="75"/>
      <c r="JZ502" s="75"/>
      <c r="KA502" s="75"/>
      <c r="KB502" s="75"/>
      <c r="KC502" s="75"/>
      <c r="KD502" s="75"/>
      <c r="KE502" s="75"/>
      <c r="KF502" s="75"/>
      <c r="KG502" s="75"/>
      <c r="KH502" s="75"/>
      <c r="KI502" s="75"/>
      <c r="KJ502" s="75"/>
      <c r="KK502" s="75"/>
      <c r="KL502" s="75"/>
      <c r="KM502" s="75"/>
      <c r="KN502" s="75"/>
      <c r="KO502" s="75"/>
      <c r="KP502" s="75"/>
      <c r="KQ502" s="75"/>
      <c r="KR502" s="75"/>
      <c r="KS502" s="75"/>
      <c r="KT502" s="75"/>
      <c r="KU502" s="75"/>
      <c r="KV502" s="75"/>
      <c r="KW502" s="75"/>
      <c r="KX502" s="75"/>
      <c r="KY502" s="75"/>
      <c r="KZ502" s="75"/>
      <c r="LA502" s="75"/>
      <c r="LB502" s="75"/>
      <c r="LC502" s="75"/>
      <c r="LD502" s="75"/>
      <c r="LE502" s="75"/>
      <c r="LF502" s="75"/>
      <c r="LG502" s="75"/>
      <c r="LH502" s="75"/>
      <c r="LI502" s="75"/>
      <c r="LJ502" s="75"/>
      <c r="LK502" s="75"/>
      <c r="LL502" s="75"/>
      <c r="LM502" s="75"/>
      <c r="LN502" s="75"/>
      <c r="LO502" s="75"/>
      <c r="LP502" s="75"/>
      <c r="LQ502" s="75"/>
      <c r="LR502" s="75"/>
      <c r="LS502" s="75"/>
      <c r="LT502" s="75"/>
      <c r="LU502" s="75"/>
      <c r="LV502" s="75"/>
      <c r="LW502" s="75"/>
      <c r="LX502" s="75"/>
      <c r="LY502" s="75"/>
      <c r="LZ502" s="75"/>
      <c r="MA502" s="75"/>
      <c r="MB502" s="75"/>
      <c r="MC502" s="75"/>
      <c r="MD502" s="75"/>
      <c r="ME502" s="75"/>
      <c r="MF502" s="75"/>
      <c r="MG502" s="75"/>
      <c r="MH502" s="75"/>
      <c r="MI502" s="75"/>
      <c r="MJ502" s="75"/>
      <c r="MK502" s="75"/>
      <c r="ML502" s="75"/>
      <c r="MM502" s="75"/>
      <c r="MN502" s="75"/>
      <c r="MO502" s="75"/>
      <c r="MP502" s="75"/>
      <c r="MQ502" s="75"/>
      <c r="MR502" s="75"/>
      <c r="MS502" s="75"/>
      <c r="MT502" s="75"/>
      <c r="MU502" s="75"/>
      <c r="MV502" s="75"/>
      <c r="MW502" s="75"/>
      <c r="MX502" s="75"/>
      <c r="MY502" s="75"/>
      <c r="MZ502" s="75"/>
      <c r="NA502" s="75"/>
      <c r="NB502" s="75"/>
      <c r="NC502" s="75"/>
      <c r="ND502" s="75"/>
      <c r="NE502" s="75"/>
      <c r="NF502" s="75"/>
      <c r="NG502" s="75"/>
      <c r="NH502" s="75"/>
      <c r="NI502" s="75"/>
      <c r="NJ502" s="75"/>
      <c r="NK502" s="75"/>
      <c r="NL502" s="75"/>
      <c r="NM502" s="75"/>
      <c r="NN502" s="75"/>
      <c r="NO502" s="75"/>
      <c r="NP502" s="75"/>
      <c r="NQ502" s="75"/>
      <c r="NR502" s="75"/>
      <c r="NS502" s="75"/>
      <c r="NT502" s="75"/>
      <c r="NU502" s="75"/>
      <c r="NV502" s="75"/>
      <c r="NW502" s="75"/>
      <c r="NX502" s="75"/>
      <c r="NY502" s="75"/>
      <c r="NZ502" s="75"/>
      <c r="OA502" s="75"/>
      <c r="OB502" s="75"/>
      <c r="OC502" s="75"/>
      <c r="OD502" s="75"/>
      <c r="OE502" s="75"/>
      <c r="OF502" s="75"/>
      <c r="OG502" s="75"/>
      <c r="OH502" s="75"/>
      <c r="OI502" s="75"/>
      <c r="OJ502" s="75"/>
      <c r="OK502" s="75"/>
      <c r="OL502" s="75"/>
      <c r="OM502" s="75"/>
      <c r="ON502" s="75"/>
      <c r="OO502" s="75"/>
      <c r="OP502" s="75"/>
      <c r="OQ502" s="75"/>
      <c r="OR502" s="75"/>
      <c r="OS502" s="75"/>
      <c r="OT502" s="75"/>
      <c r="OU502" s="75"/>
      <c r="OV502" s="75"/>
      <c r="OW502" s="75"/>
      <c r="OX502" s="75"/>
      <c r="OY502" s="75"/>
      <c r="OZ502" s="75"/>
      <c r="PA502" s="75"/>
      <c r="PB502" s="75"/>
      <c r="PC502" s="75"/>
      <c r="PD502" s="75"/>
      <c r="PE502" s="75"/>
      <c r="PF502" s="75"/>
      <c r="PG502" s="75"/>
      <c r="PH502" s="75"/>
      <c r="PI502" s="75"/>
      <c r="PJ502" s="75"/>
      <c r="PK502" s="75"/>
      <c r="PL502" s="75"/>
      <c r="PM502" s="75"/>
      <c r="PN502" s="75"/>
      <c r="PO502" s="75"/>
      <c r="PP502" s="75"/>
      <c r="PQ502" s="75"/>
      <c r="PR502" s="75"/>
      <c r="PS502" s="75"/>
      <c r="PT502" s="75"/>
      <c r="PU502" s="75"/>
      <c r="PV502" s="75"/>
      <c r="PW502" s="75"/>
      <c r="PX502" s="75"/>
      <c r="PY502" s="75"/>
      <c r="PZ502" s="75"/>
      <c r="QA502" s="75"/>
      <c r="QB502" s="75"/>
      <c r="QC502" s="75"/>
      <c r="QD502" s="75"/>
      <c r="QE502" s="75"/>
      <c r="QF502" s="75"/>
      <c r="QG502" s="75"/>
      <c r="QH502" s="75"/>
      <c r="QI502" s="75"/>
      <c r="QJ502" s="75"/>
      <c r="QK502" s="75"/>
      <c r="QL502" s="75"/>
      <c r="QM502" s="75"/>
      <c r="QN502" s="75"/>
      <c r="QO502" s="75"/>
      <c r="QP502" s="75"/>
      <c r="QQ502" s="75"/>
      <c r="QR502" s="75"/>
      <c r="QS502" s="75"/>
      <c r="QT502" s="75"/>
      <c r="QU502" s="75"/>
      <c r="QV502" s="75"/>
      <c r="QW502" s="75"/>
      <c r="QX502" s="75"/>
      <c r="QY502" s="75"/>
      <c r="QZ502" s="75"/>
      <c r="RA502" s="75"/>
      <c r="RB502" s="75"/>
      <c r="RC502" s="75"/>
      <c r="RD502" s="75"/>
      <c r="RE502" s="75"/>
      <c r="RF502" s="75"/>
      <c r="RG502" s="75"/>
      <c r="RH502" s="75"/>
      <c r="RI502" s="75"/>
      <c r="RJ502" s="75"/>
      <c r="RK502" s="75"/>
      <c r="RL502" s="75"/>
      <c r="RM502" s="75"/>
      <c r="RN502" s="75"/>
      <c r="RO502" s="75"/>
      <c r="RP502" s="75"/>
      <c r="RQ502" s="75"/>
      <c r="RR502" s="75"/>
      <c r="RS502" s="75"/>
      <c r="RT502" s="75"/>
      <c r="RU502" s="75"/>
      <c r="RV502" s="75"/>
      <c r="RW502" s="75"/>
      <c r="RX502" s="75"/>
      <c r="RY502" s="75"/>
      <c r="RZ502" s="75"/>
      <c r="SA502" s="75"/>
      <c r="SB502" s="75"/>
      <c r="SC502" s="75"/>
      <c r="SD502" s="75"/>
      <c r="SE502" s="75"/>
      <c r="SF502" s="75"/>
      <c r="SG502" s="75"/>
      <c r="SH502" s="75"/>
      <c r="SI502" s="75"/>
      <c r="SJ502" s="75"/>
      <c r="SK502" s="75"/>
      <c r="SL502" s="75"/>
      <c r="SM502" s="75"/>
      <c r="SN502" s="75"/>
      <c r="SO502" s="75"/>
      <c r="SP502" s="75"/>
      <c r="SQ502" s="75"/>
      <c r="SR502" s="75"/>
      <c r="SS502" s="75"/>
      <c r="ST502" s="75"/>
      <c r="SU502" s="75"/>
      <c r="SV502" s="75"/>
      <c r="SW502" s="75"/>
      <c r="SX502" s="75"/>
      <c r="SY502" s="75"/>
      <c r="SZ502" s="75"/>
      <c r="TA502" s="75"/>
      <c r="TB502" s="75"/>
      <c r="TC502" s="75"/>
      <c r="TD502" s="75"/>
      <c r="TE502" s="75"/>
      <c r="TF502" s="75"/>
      <c r="TG502" s="75"/>
      <c r="TH502" s="75"/>
      <c r="TI502" s="75"/>
      <c r="TJ502" s="75"/>
      <c r="TK502" s="75"/>
      <c r="TL502" s="75"/>
      <c r="TM502" s="75"/>
      <c r="TN502" s="75"/>
      <c r="TO502" s="75"/>
      <c r="TP502" s="75"/>
      <c r="TQ502" s="75"/>
      <c r="TR502" s="75"/>
      <c r="TS502" s="75"/>
      <c r="TT502" s="75"/>
      <c r="TU502" s="75"/>
      <c r="TV502" s="75"/>
      <c r="TW502" s="75"/>
      <c r="TX502" s="75"/>
      <c r="TY502" s="75"/>
      <c r="TZ502" s="75"/>
      <c r="UA502" s="75"/>
      <c r="UB502" s="75"/>
      <c r="UC502" s="75"/>
      <c r="UD502" s="75"/>
      <c r="UE502" s="75"/>
      <c r="UF502" s="75"/>
      <c r="UG502" s="75"/>
      <c r="UH502" s="75"/>
      <c r="UI502" s="75"/>
      <c r="UJ502" s="75"/>
      <c r="UK502" s="75"/>
      <c r="UL502" s="75"/>
      <c r="UM502" s="75"/>
      <c r="UN502" s="75"/>
      <c r="UO502" s="75"/>
      <c r="UP502" s="75"/>
      <c r="UQ502" s="75"/>
      <c r="UR502" s="75"/>
      <c r="US502" s="75"/>
      <c r="UT502" s="75"/>
      <c r="UU502" s="75"/>
      <c r="UV502" s="75"/>
      <c r="UW502" s="75"/>
      <c r="UX502" s="75"/>
      <c r="UY502" s="75"/>
      <c r="UZ502" s="75"/>
      <c r="VA502" s="75"/>
      <c r="VB502" s="75"/>
      <c r="VC502" s="75"/>
      <c r="VD502" s="75"/>
      <c r="VE502" s="75"/>
      <c r="VF502" s="75"/>
      <c r="VG502" s="75"/>
      <c r="VH502" s="75"/>
      <c r="VI502" s="75"/>
      <c r="VJ502" s="75"/>
      <c r="VK502" s="75"/>
      <c r="VL502" s="75"/>
      <c r="VM502" s="75"/>
      <c r="VN502" s="75"/>
      <c r="VO502" s="75"/>
      <c r="VP502" s="75"/>
      <c r="VQ502" s="75"/>
      <c r="VR502" s="75"/>
      <c r="VS502" s="75"/>
      <c r="VT502" s="75"/>
      <c r="VU502" s="75"/>
      <c r="VV502" s="75"/>
      <c r="VW502" s="75"/>
      <c r="VX502" s="75"/>
      <c r="VY502" s="75"/>
      <c r="VZ502" s="75"/>
      <c r="WA502" s="75"/>
      <c r="WB502" s="75"/>
      <c r="WC502" s="75"/>
      <c r="WD502" s="75"/>
      <c r="WE502" s="75"/>
      <c r="WF502" s="75"/>
      <c r="WG502" s="75"/>
      <c r="WH502" s="75"/>
      <c r="WI502" s="75"/>
      <c r="WJ502" s="75"/>
      <c r="WK502" s="75"/>
      <c r="WL502" s="75"/>
      <c r="WM502" s="75"/>
      <c r="WN502" s="75"/>
      <c r="WO502" s="75"/>
      <c r="WP502" s="75"/>
      <c r="WQ502" s="75"/>
      <c r="WR502" s="75"/>
      <c r="WS502" s="75"/>
      <c r="WT502" s="75"/>
      <c r="WU502" s="75"/>
      <c r="WV502" s="75"/>
      <c r="WW502" s="75"/>
      <c r="WX502" s="75"/>
      <c r="WY502" s="75"/>
      <c r="WZ502" s="75"/>
      <c r="XA502" s="75"/>
      <c r="XB502" s="75"/>
      <c r="XC502" s="75"/>
      <c r="XD502" s="75"/>
      <c r="XE502" s="75"/>
      <c r="XF502" s="75"/>
      <c r="XG502" s="75"/>
      <c r="XH502" s="75"/>
      <c r="XI502" s="75"/>
      <c r="XJ502" s="75"/>
      <c r="XK502" s="75"/>
      <c r="XL502" s="75"/>
      <c r="XM502" s="75"/>
      <c r="XN502" s="75"/>
      <c r="XO502" s="75"/>
      <c r="XP502" s="75"/>
      <c r="XQ502" s="75"/>
      <c r="XR502" s="75"/>
      <c r="XS502" s="75"/>
      <c r="XT502" s="75"/>
      <c r="XU502" s="75"/>
      <c r="XV502" s="75"/>
      <c r="XW502" s="75"/>
      <c r="XX502" s="75"/>
      <c r="XY502" s="75"/>
      <c r="XZ502" s="75"/>
      <c r="YA502" s="75"/>
      <c r="YB502" s="75"/>
      <c r="YC502" s="75"/>
      <c r="YD502" s="75"/>
      <c r="YE502" s="75"/>
      <c r="YF502" s="75"/>
      <c r="YG502" s="75"/>
      <c r="YH502" s="75"/>
      <c r="YI502" s="75"/>
      <c r="YJ502" s="75"/>
      <c r="YK502" s="75"/>
      <c r="YL502" s="75"/>
      <c r="YM502" s="75"/>
      <c r="YN502" s="75"/>
      <c r="YO502" s="75"/>
      <c r="YP502" s="75"/>
      <c r="YQ502" s="75"/>
      <c r="YR502" s="75"/>
      <c r="YS502" s="75"/>
      <c r="YT502" s="75"/>
      <c r="YU502" s="75"/>
      <c r="YV502" s="75"/>
      <c r="YW502" s="75"/>
      <c r="YX502" s="75"/>
      <c r="YY502" s="75"/>
      <c r="YZ502" s="75"/>
      <c r="ZA502" s="75"/>
      <c r="ZB502" s="75"/>
      <c r="ZC502" s="75"/>
      <c r="ZD502" s="75"/>
      <c r="ZE502" s="75"/>
      <c r="ZF502" s="75"/>
      <c r="ZG502" s="75"/>
      <c r="ZH502" s="75"/>
      <c r="ZI502" s="75"/>
      <c r="ZJ502" s="75"/>
      <c r="ZK502" s="75"/>
      <c r="ZL502" s="75"/>
      <c r="ZM502" s="75"/>
      <c r="ZN502" s="75"/>
      <c r="ZO502" s="75"/>
      <c r="ZP502" s="75"/>
      <c r="ZQ502" s="75"/>
      <c r="ZR502" s="75"/>
      <c r="ZS502" s="75"/>
      <c r="ZT502" s="75"/>
      <c r="ZU502" s="75"/>
      <c r="ZV502" s="75"/>
      <c r="ZW502" s="75"/>
      <c r="ZX502" s="75"/>
      <c r="ZY502" s="75"/>
      <c r="ZZ502" s="75"/>
      <c r="AAA502" s="75"/>
      <c r="AAB502" s="75"/>
      <c r="AAC502" s="75"/>
      <c r="AAD502" s="75"/>
      <c r="AAE502" s="75"/>
      <c r="AAF502" s="75"/>
      <c r="AAG502" s="75"/>
      <c r="AAH502" s="75"/>
      <c r="AAI502" s="75"/>
      <c r="AAJ502" s="75"/>
      <c r="AAK502" s="75"/>
      <c r="AAL502" s="75"/>
      <c r="AAM502" s="75"/>
      <c r="AAN502" s="75"/>
      <c r="AAO502" s="75"/>
      <c r="AAP502" s="75"/>
      <c r="AAQ502" s="75"/>
      <c r="AAR502" s="75"/>
      <c r="AAS502" s="75"/>
      <c r="AAT502" s="75"/>
      <c r="AAU502" s="75"/>
      <c r="AAV502" s="75"/>
      <c r="AAW502" s="75"/>
      <c r="AAX502" s="75"/>
      <c r="AAY502" s="75"/>
      <c r="AAZ502" s="75"/>
      <c r="ABA502" s="75"/>
      <c r="ABB502" s="75"/>
      <c r="ABC502" s="75"/>
      <c r="ABD502" s="75"/>
      <c r="ABE502" s="75"/>
      <c r="ABF502" s="75"/>
      <c r="ABG502" s="75"/>
      <c r="ABH502" s="75"/>
      <c r="ABI502" s="75"/>
      <c r="ABJ502" s="75"/>
      <c r="ABK502" s="75"/>
      <c r="ABL502" s="75"/>
      <c r="ABM502" s="75"/>
      <c r="ABN502" s="75"/>
      <c r="ABO502" s="75"/>
      <c r="ABP502" s="75"/>
      <c r="ABQ502" s="75"/>
      <c r="ABR502" s="75"/>
      <c r="ABS502" s="75"/>
      <c r="ABT502" s="75"/>
      <c r="ABU502" s="75"/>
      <c r="ABV502" s="75"/>
      <c r="ABW502" s="75"/>
      <c r="ABX502" s="75"/>
      <c r="ABY502" s="75"/>
      <c r="ABZ502" s="75"/>
      <c r="ACA502" s="75"/>
      <c r="ACB502" s="75"/>
      <c r="ACC502" s="75"/>
      <c r="ACD502" s="75"/>
      <c r="ACE502" s="75"/>
      <c r="ACF502" s="75"/>
      <c r="ACG502" s="75"/>
      <c r="ACH502" s="75"/>
      <c r="ACI502" s="75"/>
      <c r="ACJ502" s="75"/>
      <c r="ACK502" s="75"/>
      <c r="ACL502" s="75"/>
      <c r="ACM502" s="75"/>
      <c r="ACN502" s="75"/>
      <c r="ACO502" s="75"/>
      <c r="ACP502" s="75"/>
      <c r="ACQ502" s="75"/>
      <c r="ACR502" s="75"/>
      <c r="ACS502" s="75"/>
      <c r="ACT502" s="75"/>
      <c r="ACU502" s="75"/>
      <c r="ACV502" s="75"/>
      <c r="ACW502" s="75"/>
      <c r="ACX502" s="75"/>
      <c r="ACY502" s="75"/>
      <c r="ACZ502" s="75"/>
      <c r="ADA502" s="75"/>
      <c r="ADB502" s="75"/>
      <c r="ADC502" s="75"/>
      <c r="ADD502" s="75"/>
      <c r="ADE502" s="75"/>
      <c r="ADF502" s="75"/>
      <c r="ADG502" s="75"/>
      <c r="ADH502" s="75"/>
      <c r="ADI502" s="75"/>
      <c r="ADJ502" s="75"/>
      <c r="ADK502" s="75"/>
      <c r="ADL502" s="75"/>
      <c r="ADM502" s="75"/>
      <c r="ADN502" s="75"/>
      <c r="ADO502" s="75"/>
      <c r="ADP502" s="75"/>
      <c r="ADQ502" s="75"/>
      <c r="ADR502" s="75"/>
      <c r="ADS502" s="75"/>
      <c r="ADT502" s="75"/>
      <c r="ADU502" s="75"/>
      <c r="ADV502" s="75"/>
      <c r="ADW502" s="75"/>
      <c r="ADX502" s="75"/>
      <c r="ADY502" s="75"/>
      <c r="ADZ502" s="75"/>
      <c r="AEA502" s="75"/>
      <c r="AEB502" s="75"/>
      <c r="AEC502" s="75"/>
      <c r="AED502" s="75"/>
      <c r="AEE502" s="75"/>
      <c r="AEF502" s="75"/>
      <c r="AEG502" s="75"/>
      <c r="AEH502" s="75"/>
      <c r="AEI502" s="75"/>
      <c r="AEJ502" s="75"/>
      <c r="AEK502" s="75"/>
      <c r="AEL502" s="75"/>
      <c r="AEM502" s="75"/>
      <c r="AEN502" s="75"/>
      <c r="AEO502" s="75"/>
      <c r="AEP502" s="75"/>
      <c r="AEQ502" s="75"/>
      <c r="AER502" s="75"/>
      <c r="AES502" s="75"/>
      <c r="AET502" s="75"/>
      <c r="AEU502" s="75"/>
      <c r="AEV502" s="75"/>
      <c r="AEW502" s="75"/>
      <c r="AEX502" s="75"/>
      <c r="AEY502" s="75"/>
      <c r="AEZ502" s="75"/>
      <c r="AFA502" s="75"/>
      <c r="AFB502" s="75"/>
      <c r="AFC502" s="75"/>
      <c r="AFD502" s="75"/>
      <c r="AFE502" s="75"/>
      <c r="AFF502" s="75"/>
      <c r="AFG502" s="75"/>
      <c r="AFH502" s="75"/>
      <c r="AFI502" s="75"/>
      <c r="AFJ502" s="75"/>
      <c r="AFK502" s="75"/>
      <c r="AFL502" s="75"/>
      <c r="AFM502" s="75"/>
      <c r="AFN502" s="75"/>
      <c r="AFO502" s="75"/>
      <c r="AFP502" s="75"/>
      <c r="AFQ502" s="75"/>
      <c r="AFR502" s="75"/>
      <c r="AFS502" s="75"/>
      <c r="AFT502" s="75"/>
      <c r="AFU502" s="75"/>
      <c r="AFV502" s="75"/>
      <c r="AFW502" s="75"/>
      <c r="AFX502" s="75"/>
      <c r="AFY502" s="75"/>
      <c r="AFZ502" s="75"/>
      <c r="AGA502" s="75"/>
      <c r="AGB502" s="75"/>
      <c r="AGC502" s="75"/>
      <c r="AGD502" s="75"/>
      <c r="AGE502" s="75"/>
      <c r="AGF502" s="75"/>
      <c r="AGG502" s="75"/>
      <c r="AGH502" s="75"/>
      <c r="AGI502" s="75"/>
      <c r="AGJ502" s="75"/>
      <c r="AGK502" s="75"/>
      <c r="AGL502" s="75"/>
      <c r="AGM502" s="75"/>
      <c r="AGN502" s="75"/>
      <c r="AGO502" s="75"/>
      <c r="AGP502" s="75"/>
      <c r="AGQ502" s="75"/>
      <c r="AGR502" s="75"/>
      <c r="AGS502" s="75"/>
      <c r="AGT502" s="75"/>
      <c r="AGU502" s="75"/>
      <c r="AGV502" s="75"/>
      <c r="AGW502" s="75"/>
      <c r="AGX502" s="75"/>
      <c r="AGY502" s="75"/>
      <c r="AGZ502" s="75"/>
      <c r="AHA502" s="75"/>
      <c r="AHB502" s="75"/>
      <c r="AHC502" s="75"/>
      <c r="AHD502" s="75"/>
      <c r="AHE502" s="75"/>
      <c r="AHF502" s="75"/>
      <c r="AHG502" s="75"/>
      <c r="AHH502" s="75"/>
      <c r="AHI502" s="75"/>
      <c r="AHJ502" s="75"/>
      <c r="AHK502" s="75"/>
      <c r="AHL502" s="75"/>
      <c r="AHM502" s="75"/>
      <c r="AHN502" s="75"/>
      <c r="AHO502" s="75"/>
      <c r="AHP502" s="75"/>
      <c r="AHQ502" s="75"/>
      <c r="AHR502" s="75"/>
      <c r="AHS502" s="75"/>
      <c r="AHT502" s="75"/>
      <c r="AHU502" s="75"/>
      <c r="AHV502" s="75"/>
      <c r="AHW502" s="75"/>
      <c r="AHX502" s="75"/>
      <c r="AHY502" s="75"/>
      <c r="AHZ502" s="75"/>
      <c r="AIA502" s="75"/>
      <c r="AIB502" s="75"/>
      <c r="AIC502" s="75"/>
      <c r="AID502" s="75"/>
      <c r="AIE502" s="75"/>
      <c r="AIF502" s="75"/>
      <c r="AIG502" s="75"/>
      <c r="AIH502" s="75"/>
      <c r="AII502" s="75"/>
      <c r="AIJ502" s="75"/>
      <c r="AIK502" s="75"/>
      <c r="AIL502" s="75"/>
      <c r="AIM502" s="75"/>
      <c r="AIN502" s="75"/>
      <c r="AIO502" s="75"/>
      <c r="AIP502" s="75"/>
      <c r="AIQ502" s="75"/>
      <c r="AIR502" s="75"/>
      <c r="AIS502" s="75"/>
      <c r="AIT502" s="75"/>
      <c r="AIU502" s="75"/>
      <c r="AIV502" s="75"/>
      <c r="AIW502" s="75"/>
      <c r="AIX502" s="75"/>
      <c r="AIY502" s="75"/>
      <c r="AIZ502" s="75"/>
      <c r="AJA502" s="75"/>
      <c r="AJB502" s="75"/>
      <c r="AJC502" s="75"/>
      <c r="AJD502" s="75"/>
      <c r="AJE502" s="75"/>
      <c r="AJF502" s="75"/>
      <c r="AJG502" s="75"/>
      <c r="AJH502" s="75"/>
      <c r="AJI502" s="75"/>
      <c r="AJJ502" s="75"/>
      <c r="AJK502" s="75"/>
      <c r="AJL502" s="75"/>
      <c r="AJM502" s="75"/>
      <c r="AJN502" s="75"/>
      <c r="AJO502" s="75"/>
      <c r="AJP502" s="75"/>
      <c r="AJQ502" s="75"/>
      <c r="AJR502" s="75"/>
      <c r="AJS502" s="75"/>
      <c r="AJT502" s="75"/>
      <c r="AJU502" s="75"/>
      <c r="AJV502" s="75"/>
      <c r="AJW502" s="75"/>
      <c r="AJX502" s="75"/>
      <c r="AJY502" s="75"/>
      <c r="AJZ502" s="75"/>
      <c r="AKA502" s="75"/>
      <c r="AKB502" s="75"/>
      <c r="AKC502" s="75"/>
      <c r="AKD502" s="75"/>
      <c r="AKE502" s="75"/>
      <c r="AKF502" s="75"/>
      <c r="AKG502" s="75"/>
      <c r="AKH502" s="75"/>
      <c r="AKI502" s="75"/>
      <c r="AKJ502" s="75"/>
      <c r="AKK502" s="75"/>
      <c r="AKL502" s="75"/>
      <c r="AKM502" s="75"/>
      <c r="AKN502" s="75"/>
      <c r="AKO502" s="75"/>
      <c r="AKP502" s="75"/>
      <c r="AKQ502" s="75"/>
      <c r="AKR502" s="75"/>
      <c r="AKS502" s="75"/>
      <c r="AKT502" s="75"/>
      <c r="AKU502" s="75"/>
      <c r="AKV502" s="75"/>
      <c r="AKW502" s="75"/>
      <c r="AKX502" s="75"/>
      <c r="AKY502" s="75"/>
      <c r="AKZ502" s="75"/>
      <c r="ALA502" s="75"/>
      <c r="ALB502" s="75"/>
      <c r="ALC502" s="75"/>
      <c r="ALD502" s="75"/>
      <c r="ALE502" s="75"/>
      <c r="ALF502" s="75"/>
      <c r="ALG502" s="75"/>
      <c r="ALH502" s="75"/>
      <c r="ALI502" s="75"/>
      <c r="ALJ502" s="75"/>
      <c r="ALK502" s="75"/>
      <c r="ALL502" s="75"/>
      <c r="ALM502" s="75"/>
      <c r="ALN502" s="75"/>
      <c r="ALO502" s="75"/>
    </row>
    <row r="503" spans="1:1003" s="235" customFormat="1" ht="14.55" customHeight="1" outlineLevel="1" x14ac:dyDescent="0.25">
      <c r="A503" s="230" t="s">
        <v>1422</v>
      </c>
      <c r="B503" s="343" t="str">
        <f>"13.0604"</f>
        <v>13.0604</v>
      </c>
      <c r="C503" s="75" t="s">
        <v>2192</v>
      </c>
      <c r="D503" s="127" t="s">
        <v>2193</v>
      </c>
      <c r="E503" s="232"/>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c r="AY503" s="75"/>
      <c r="AZ503" s="75"/>
      <c r="BA503" s="75"/>
      <c r="BB503" s="75"/>
      <c r="BC503" s="75"/>
      <c r="BD503" s="75"/>
      <c r="BE503" s="75"/>
      <c r="BF503" s="75"/>
      <c r="BG503" s="75"/>
      <c r="BH503" s="75"/>
      <c r="BI503" s="75"/>
      <c r="BJ503" s="75"/>
      <c r="BK503" s="75"/>
      <c r="BL503" s="75"/>
      <c r="BM503" s="75"/>
      <c r="BN503" s="75"/>
      <c r="BO503" s="75"/>
      <c r="BP503" s="75"/>
      <c r="BQ503" s="75"/>
      <c r="BR503" s="75"/>
      <c r="BS503" s="75"/>
      <c r="BT503" s="75"/>
      <c r="BU503" s="75"/>
      <c r="BV503" s="75"/>
      <c r="BW503" s="75"/>
      <c r="BX503" s="75"/>
      <c r="BY503" s="75"/>
      <c r="BZ503" s="75"/>
      <c r="CA503" s="75"/>
      <c r="CB503" s="75"/>
      <c r="CC503" s="75"/>
      <c r="CD503" s="75"/>
      <c r="CE503" s="75"/>
      <c r="CF503" s="75"/>
      <c r="CG503" s="75"/>
      <c r="CH503" s="75"/>
      <c r="CI503" s="75"/>
      <c r="CJ503" s="75"/>
      <c r="CK503" s="75"/>
      <c r="CL503" s="75"/>
      <c r="CM503" s="75"/>
      <c r="CN503" s="75"/>
      <c r="CO503" s="75"/>
      <c r="CP503" s="75"/>
      <c r="CQ503" s="75"/>
      <c r="CR503" s="75"/>
      <c r="CS503" s="75"/>
      <c r="CT503" s="75"/>
      <c r="CU503" s="75"/>
      <c r="CV503" s="75"/>
      <c r="CW503" s="75"/>
      <c r="CX503" s="75"/>
      <c r="CY503" s="75"/>
      <c r="CZ503" s="75"/>
      <c r="DA503" s="75"/>
      <c r="DB503" s="75"/>
      <c r="DC503" s="75"/>
      <c r="DD503" s="75"/>
      <c r="DE503" s="75"/>
      <c r="DF503" s="75"/>
      <c r="DG503" s="75"/>
      <c r="DH503" s="75"/>
      <c r="DI503" s="75"/>
      <c r="DJ503" s="75"/>
      <c r="DK503" s="75"/>
      <c r="DL503" s="75"/>
      <c r="DM503" s="75"/>
      <c r="DN503" s="75"/>
      <c r="DO503" s="75"/>
      <c r="DP503" s="75"/>
      <c r="DQ503" s="75"/>
      <c r="DR503" s="75"/>
      <c r="DS503" s="75"/>
      <c r="DT503" s="75"/>
      <c r="DU503" s="75"/>
      <c r="DV503" s="75"/>
      <c r="DW503" s="75"/>
      <c r="DX503" s="75"/>
      <c r="DY503" s="75"/>
      <c r="DZ503" s="75"/>
      <c r="EA503" s="75"/>
      <c r="EB503" s="75"/>
      <c r="EC503" s="75"/>
      <c r="ED503" s="75"/>
      <c r="EE503" s="75"/>
      <c r="EF503" s="75"/>
      <c r="EG503" s="75"/>
      <c r="EH503" s="75"/>
      <c r="EI503" s="75"/>
      <c r="EJ503" s="75"/>
      <c r="EK503" s="75"/>
      <c r="EL503" s="75"/>
      <c r="EM503" s="75"/>
      <c r="EN503" s="75"/>
      <c r="EO503" s="75"/>
      <c r="EP503" s="75"/>
      <c r="EQ503" s="75"/>
      <c r="ER503" s="75"/>
      <c r="ES503" s="75"/>
      <c r="ET503" s="75"/>
      <c r="EU503" s="75"/>
      <c r="EV503" s="75"/>
      <c r="EW503" s="75"/>
      <c r="EX503" s="75"/>
      <c r="EY503" s="75"/>
      <c r="EZ503" s="75"/>
      <c r="FA503" s="75"/>
      <c r="FB503" s="75"/>
      <c r="FC503" s="75"/>
      <c r="FD503" s="75"/>
      <c r="FE503" s="75"/>
      <c r="FF503" s="75"/>
      <c r="FG503" s="75"/>
      <c r="FH503" s="75"/>
      <c r="FI503" s="75"/>
      <c r="FJ503" s="75"/>
      <c r="FK503" s="75"/>
      <c r="FL503" s="75"/>
      <c r="FM503" s="75"/>
      <c r="FN503" s="75"/>
      <c r="FO503" s="75"/>
      <c r="FP503" s="75"/>
      <c r="FQ503" s="75"/>
      <c r="FR503" s="75"/>
      <c r="FS503" s="75"/>
      <c r="FT503" s="75"/>
      <c r="FU503" s="75"/>
      <c r="FV503" s="75"/>
      <c r="FW503" s="75"/>
      <c r="FX503" s="75"/>
      <c r="FY503" s="75"/>
      <c r="FZ503" s="75"/>
      <c r="GA503" s="75"/>
      <c r="GB503" s="75"/>
      <c r="GC503" s="75"/>
      <c r="GD503" s="75"/>
      <c r="GE503" s="75"/>
      <c r="GF503" s="75"/>
      <c r="GG503" s="75"/>
      <c r="GH503" s="75"/>
      <c r="GI503" s="75"/>
      <c r="GJ503" s="75"/>
      <c r="GK503" s="75"/>
      <c r="GL503" s="75"/>
      <c r="GM503" s="75"/>
      <c r="GN503" s="75"/>
      <c r="GO503" s="75"/>
      <c r="GP503" s="75"/>
      <c r="GQ503" s="75"/>
      <c r="GR503" s="75"/>
      <c r="GS503" s="75"/>
      <c r="GT503" s="75"/>
      <c r="GU503" s="75"/>
      <c r="GV503" s="75"/>
      <c r="GW503" s="75"/>
      <c r="GX503" s="75"/>
      <c r="GY503" s="75"/>
      <c r="GZ503" s="75"/>
      <c r="HA503" s="75"/>
      <c r="HB503" s="75"/>
      <c r="HC503" s="75"/>
      <c r="HD503" s="75"/>
      <c r="HE503" s="75"/>
      <c r="HF503" s="75"/>
      <c r="HG503" s="75"/>
      <c r="HH503" s="75"/>
      <c r="HI503" s="75"/>
      <c r="HJ503" s="75"/>
      <c r="HK503" s="75"/>
      <c r="HL503" s="75"/>
      <c r="HM503" s="75"/>
      <c r="HN503" s="75"/>
      <c r="HO503" s="75"/>
      <c r="HP503" s="75"/>
      <c r="HQ503" s="75"/>
      <c r="HR503" s="75"/>
      <c r="HS503" s="75"/>
      <c r="HT503" s="75"/>
      <c r="HU503" s="75"/>
      <c r="HV503" s="75"/>
      <c r="HW503" s="75"/>
      <c r="HX503" s="75"/>
      <c r="HY503" s="75"/>
      <c r="HZ503" s="75"/>
      <c r="IA503" s="75"/>
      <c r="IB503" s="75"/>
      <c r="IC503" s="75"/>
      <c r="ID503" s="75"/>
      <c r="IE503" s="75"/>
      <c r="IF503" s="75"/>
      <c r="IG503" s="75"/>
      <c r="IH503" s="75"/>
      <c r="II503" s="75"/>
      <c r="IJ503" s="75"/>
      <c r="IK503" s="75"/>
      <c r="IL503" s="75"/>
      <c r="IM503" s="75"/>
      <c r="IN503" s="75"/>
      <c r="IO503" s="75"/>
      <c r="IP503" s="75"/>
      <c r="IQ503" s="75"/>
      <c r="IR503" s="75"/>
      <c r="IS503" s="75"/>
      <c r="IT503" s="75"/>
      <c r="IU503" s="75"/>
      <c r="IV503" s="75"/>
      <c r="IW503" s="75"/>
      <c r="IX503" s="75"/>
      <c r="IY503" s="75"/>
      <c r="IZ503" s="75"/>
      <c r="JA503" s="75"/>
      <c r="JB503" s="75"/>
      <c r="JC503" s="75"/>
      <c r="JD503" s="75"/>
      <c r="JE503" s="75"/>
      <c r="JF503" s="75"/>
      <c r="JG503" s="75"/>
      <c r="JH503" s="75"/>
      <c r="JI503" s="75"/>
      <c r="JJ503" s="75"/>
      <c r="JK503" s="75"/>
      <c r="JL503" s="75"/>
      <c r="JM503" s="75"/>
      <c r="JN503" s="75"/>
      <c r="JO503" s="75"/>
      <c r="JP503" s="75"/>
      <c r="JQ503" s="75"/>
      <c r="JR503" s="75"/>
      <c r="JS503" s="75"/>
      <c r="JT503" s="75"/>
      <c r="JU503" s="75"/>
      <c r="JV503" s="75"/>
      <c r="JW503" s="75"/>
      <c r="JX503" s="75"/>
      <c r="JY503" s="75"/>
      <c r="JZ503" s="75"/>
      <c r="KA503" s="75"/>
      <c r="KB503" s="75"/>
      <c r="KC503" s="75"/>
      <c r="KD503" s="75"/>
      <c r="KE503" s="75"/>
      <c r="KF503" s="75"/>
      <c r="KG503" s="75"/>
      <c r="KH503" s="75"/>
      <c r="KI503" s="75"/>
      <c r="KJ503" s="75"/>
      <c r="KK503" s="75"/>
      <c r="KL503" s="75"/>
      <c r="KM503" s="75"/>
      <c r="KN503" s="75"/>
      <c r="KO503" s="75"/>
      <c r="KP503" s="75"/>
      <c r="KQ503" s="75"/>
      <c r="KR503" s="75"/>
      <c r="KS503" s="75"/>
      <c r="KT503" s="75"/>
      <c r="KU503" s="75"/>
      <c r="KV503" s="75"/>
      <c r="KW503" s="75"/>
      <c r="KX503" s="75"/>
      <c r="KY503" s="75"/>
      <c r="KZ503" s="75"/>
      <c r="LA503" s="75"/>
      <c r="LB503" s="75"/>
      <c r="LC503" s="75"/>
      <c r="LD503" s="75"/>
      <c r="LE503" s="75"/>
      <c r="LF503" s="75"/>
      <c r="LG503" s="75"/>
      <c r="LH503" s="75"/>
      <c r="LI503" s="75"/>
      <c r="LJ503" s="75"/>
      <c r="LK503" s="75"/>
      <c r="LL503" s="75"/>
      <c r="LM503" s="75"/>
      <c r="LN503" s="75"/>
      <c r="LO503" s="75"/>
      <c r="LP503" s="75"/>
      <c r="LQ503" s="75"/>
      <c r="LR503" s="75"/>
      <c r="LS503" s="75"/>
      <c r="LT503" s="75"/>
      <c r="LU503" s="75"/>
      <c r="LV503" s="75"/>
      <c r="LW503" s="75"/>
      <c r="LX503" s="75"/>
      <c r="LY503" s="75"/>
      <c r="LZ503" s="75"/>
      <c r="MA503" s="75"/>
      <c r="MB503" s="75"/>
      <c r="MC503" s="75"/>
      <c r="MD503" s="75"/>
      <c r="ME503" s="75"/>
      <c r="MF503" s="75"/>
      <c r="MG503" s="75"/>
      <c r="MH503" s="75"/>
      <c r="MI503" s="75"/>
      <c r="MJ503" s="75"/>
      <c r="MK503" s="75"/>
      <c r="ML503" s="75"/>
      <c r="MM503" s="75"/>
      <c r="MN503" s="75"/>
      <c r="MO503" s="75"/>
      <c r="MP503" s="75"/>
      <c r="MQ503" s="75"/>
      <c r="MR503" s="75"/>
      <c r="MS503" s="75"/>
      <c r="MT503" s="75"/>
      <c r="MU503" s="75"/>
      <c r="MV503" s="75"/>
      <c r="MW503" s="75"/>
      <c r="MX503" s="75"/>
      <c r="MY503" s="75"/>
      <c r="MZ503" s="75"/>
      <c r="NA503" s="75"/>
      <c r="NB503" s="75"/>
      <c r="NC503" s="75"/>
      <c r="ND503" s="75"/>
      <c r="NE503" s="75"/>
      <c r="NF503" s="75"/>
      <c r="NG503" s="75"/>
      <c r="NH503" s="75"/>
      <c r="NI503" s="75"/>
      <c r="NJ503" s="75"/>
      <c r="NK503" s="75"/>
      <c r="NL503" s="75"/>
      <c r="NM503" s="75"/>
      <c r="NN503" s="75"/>
      <c r="NO503" s="75"/>
      <c r="NP503" s="75"/>
      <c r="NQ503" s="75"/>
      <c r="NR503" s="75"/>
      <c r="NS503" s="75"/>
      <c r="NT503" s="75"/>
      <c r="NU503" s="75"/>
      <c r="NV503" s="75"/>
      <c r="NW503" s="75"/>
      <c r="NX503" s="75"/>
      <c r="NY503" s="75"/>
      <c r="NZ503" s="75"/>
      <c r="OA503" s="75"/>
      <c r="OB503" s="75"/>
      <c r="OC503" s="75"/>
      <c r="OD503" s="75"/>
      <c r="OE503" s="75"/>
      <c r="OF503" s="75"/>
      <c r="OG503" s="75"/>
      <c r="OH503" s="75"/>
      <c r="OI503" s="75"/>
      <c r="OJ503" s="75"/>
      <c r="OK503" s="75"/>
      <c r="OL503" s="75"/>
      <c r="OM503" s="75"/>
      <c r="ON503" s="75"/>
      <c r="OO503" s="75"/>
      <c r="OP503" s="75"/>
      <c r="OQ503" s="75"/>
      <c r="OR503" s="75"/>
      <c r="OS503" s="75"/>
      <c r="OT503" s="75"/>
      <c r="OU503" s="75"/>
      <c r="OV503" s="75"/>
      <c r="OW503" s="75"/>
      <c r="OX503" s="75"/>
      <c r="OY503" s="75"/>
      <c r="OZ503" s="75"/>
      <c r="PA503" s="75"/>
      <c r="PB503" s="75"/>
      <c r="PC503" s="75"/>
      <c r="PD503" s="75"/>
      <c r="PE503" s="75"/>
      <c r="PF503" s="75"/>
      <c r="PG503" s="75"/>
      <c r="PH503" s="75"/>
      <c r="PI503" s="75"/>
      <c r="PJ503" s="75"/>
      <c r="PK503" s="75"/>
      <c r="PL503" s="75"/>
      <c r="PM503" s="75"/>
      <c r="PN503" s="75"/>
      <c r="PO503" s="75"/>
      <c r="PP503" s="75"/>
      <c r="PQ503" s="75"/>
      <c r="PR503" s="75"/>
      <c r="PS503" s="75"/>
      <c r="PT503" s="75"/>
      <c r="PU503" s="75"/>
      <c r="PV503" s="75"/>
      <c r="PW503" s="75"/>
      <c r="PX503" s="75"/>
      <c r="PY503" s="75"/>
      <c r="PZ503" s="75"/>
      <c r="QA503" s="75"/>
      <c r="QB503" s="75"/>
      <c r="QC503" s="75"/>
      <c r="QD503" s="75"/>
      <c r="QE503" s="75"/>
      <c r="QF503" s="75"/>
      <c r="QG503" s="75"/>
      <c r="QH503" s="75"/>
      <c r="QI503" s="75"/>
      <c r="QJ503" s="75"/>
      <c r="QK503" s="75"/>
      <c r="QL503" s="75"/>
      <c r="QM503" s="75"/>
      <c r="QN503" s="75"/>
      <c r="QO503" s="75"/>
      <c r="QP503" s="75"/>
      <c r="QQ503" s="75"/>
      <c r="QR503" s="75"/>
      <c r="QS503" s="75"/>
      <c r="QT503" s="75"/>
      <c r="QU503" s="75"/>
      <c r="QV503" s="75"/>
      <c r="QW503" s="75"/>
      <c r="QX503" s="75"/>
      <c r="QY503" s="75"/>
      <c r="QZ503" s="75"/>
      <c r="RA503" s="75"/>
      <c r="RB503" s="75"/>
      <c r="RC503" s="75"/>
      <c r="RD503" s="75"/>
      <c r="RE503" s="75"/>
      <c r="RF503" s="75"/>
      <c r="RG503" s="75"/>
      <c r="RH503" s="75"/>
      <c r="RI503" s="75"/>
      <c r="RJ503" s="75"/>
      <c r="RK503" s="75"/>
      <c r="RL503" s="75"/>
      <c r="RM503" s="75"/>
      <c r="RN503" s="75"/>
      <c r="RO503" s="75"/>
      <c r="RP503" s="75"/>
      <c r="RQ503" s="75"/>
      <c r="RR503" s="75"/>
      <c r="RS503" s="75"/>
      <c r="RT503" s="75"/>
      <c r="RU503" s="75"/>
      <c r="RV503" s="75"/>
      <c r="RW503" s="75"/>
      <c r="RX503" s="75"/>
      <c r="RY503" s="75"/>
      <c r="RZ503" s="75"/>
      <c r="SA503" s="75"/>
      <c r="SB503" s="75"/>
      <c r="SC503" s="75"/>
      <c r="SD503" s="75"/>
      <c r="SE503" s="75"/>
      <c r="SF503" s="75"/>
      <c r="SG503" s="75"/>
      <c r="SH503" s="75"/>
      <c r="SI503" s="75"/>
      <c r="SJ503" s="75"/>
      <c r="SK503" s="75"/>
      <c r="SL503" s="75"/>
      <c r="SM503" s="75"/>
      <c r="SN503" s="75"/>
      <c r="SO503" s="75"/>
      <c r="SP503" s="75"/>
      <c r="SQ503" s="75"/>
      <c r="SR503" s="75"/>
      <c r="SS503" s="75"/>
      <c r="ST503" s="75"/>
      <c r="SU503" s="75"/>
      <c r="SV503" s="75"/>
      <c r="SW503" s="75"/>
      <c r="SX503" s="75"/>
      <c r="SY503" s="75"/>
      <c r="SZ503" s="75"/>
      <c r="TA503" s="75"/>
      <c r="TB503" s="75"/>
      <c r="TC503" s="75"/>
      <c r="TD503" s="75"/>
      <c r="TE503" s="75"/>
      <c r="TF503" s="75"/>
      <c r="TG503" s="75"/>
      <c r="TH503" s="75"/>
      <c r="TI503" s="75"/>
      <c r="TJ503" s="75"/>
      <c r="TK503" s="75"/>
      <c r="TL503" s="75"/>
      <c r="TM503" s="75"/>
      <c r="TN503" s="75"/>
      <c r="TO503" s="75"/>
      <c r="TP503" s="75"/>
      <c r="TQ503" s="75"/>
      <c r="TR503" s="75"/>
      <c r="TS503" s="75"/>
      <c r="TT503" s="75"/>
      <c r="TU503" s="75"/>
      <c r="TV503" s="75"/>
      <c r="TW503" s="75"/>
      <c r="TX503" s="75"/>
      <c r="TY503" s="75"/>
      <c r="TZ503" s="75"/>
      <c r="UA503" s="75"/>
      <c r="UB503" s="75"/>
      <c r="UC503" s="75"/>
      <c r="UD503" s="75"/>
      <c r="UE503" s="75"/>
      <c r="UF503" s="75"/>
      <c r="UG503" s="75"/>
      <c r="UH503" s="75"/>
      <c r="UI503" s="75"/>
      <c r="UJ503" s="75"/>
      <c r="UK503" s="75"/>
      <c r="UL503" s="75"/>
      <c r="UM503" s="75"/>
      <c r="UN503" s="75"/>
      <c r="UO503" s="75"/>
      <c r="UP503" s="75"/>
      <c r="UQ503" s="75"/>
      <c r="UR503" s="75"/>
      <c r="US503" s="75"/>
      <c r="UT503" s="75"/>
      <c r="UU503" s="75"/>
      <c r="UV503" s="75"/>
      <c r="UW503" s="75"/>
      <c r="UX503" s="75"/>
      <c r="UY503" s="75"/>
      <c r="UZ503" s="75"/>
      <c r="VA503" s="75"/>
      <c r="VB503" s="75"/>
      <c r="VC503" s="75"/>
      <c r="VD503" s="75"/>
      <c r="VE503" s="75"/>
      <c r="VF503" s="75"/>
      <c r="VG503" s="75"/>
      <c r="VH503" s="75"/>
      <c r="VI503" s="75"/>
      <c r="VJ503" s="75"/>
      <c r="VK503" s="75"/>
      <c r="VL503" s="75"/>
      <c r="VM503" s="75"/>
      <c r="VN503" s="75"/>
      <c r="VO503" s="75"/>
      <c r="VP503" s="75"/>
      <c r="VQ503" s="75"/>
      <c r="VR503" s="75"/>
      <c r="VS503" s="75"/>
      <c r="VT503" s="75"/>
      <c r="VU503" s="75"/>
      <c r="VV503" s="75"/>
      <c r="VW503" s="75"/>
      <c r="VX503" s="75"/>
      <c r="VY503" s="75"/>
      <c r="VZ503" s="75"/>
      <c r="WA503" s="75"/>
      <c r="WB503" s="75"/>
      <c r="WC503" s="75"/>
      <c r="WD503" s="75"/>
      <c r="WE503" s="75"/>
      <c r="WF503" s="75"/>
      <c r="WG503" s="75"/>
      <c r="WH503" s="75"/>
      <c r="WI503" s="75"/>
      <c r="WJ503" s="75"/>
      <c r="WK503" s="75"/>
      <c r="WL503" s="75"/>
      <c r="WM503" s="75"/>
      <c r="WN503" s="75"/>
      <c r="WO503" s="75"/>
      <c r="WP503" s="75"/>
      <c r="WQ503" s="75"/>
      <c r="WR503" s="75"/>
      <c r="WS503" s="75"/>
      <c r="WT503" s="75"/>
      <c r="WU503" s="75"/>
      <c r="WV503" s="75"/>
      <c r="WW503" s="75"/>
      <c r="WX503" s="75"/>
      <c r="WY503" s="75"/>
      <c r="WZ503" s="75"/>
      <c r="XA503" s="75"/>
      <c r="XB503" s="75"/>
      <c r="XC503" s="75"/>
      <c r="XD503" s="75"/>
      <c r="XE503" s="75"/>
      <c r="XF503" s="75"/>
      <c r="XG503" s="75"/>
      <c r="XH503" s="75"/>
      <c r="XI503" s="75"/>
      <c r="XJ503" s="75"/>
      <c r="XK503" s="75"/>
      <c r="XL503" s="75"/>
      <c r="XM503" s="75"/>
      <c r="XN503" s="75"/>
      <c r="XO503" s="75"/>
      <c r="XP503" s="75"/>
      <c r="XQ503" s="75"/>
      <c r="XR503" s="75"/>
      <c r="XS503" s="75"/>
      <c r="XT503" s="75"/>
      <c r="XU503" s="75"/>
      <c r="XV503" s="75"/>
      <c r="XW503" s="75"/>
      <c r="XX503" s="75"/>
      <c r="XY503" s="75"/>
      <c r="XZ503" s="75"/>
      <c r="YA503" s="75"/>
      <c r="YB503" s="75"/>
      <c r="YC503" s="75"/>
      <c r="YD503" s="75"/>
      <c r="YE503" s="75"/>
      <c r="YF503" s="75"/>
      <c r="YG503" s="75"/>
      <c r="YH503" s="75"/>
      <c r="YI503" s="75"/>
      <c r="YJ503" s="75"/>
      <c r="YK503" s="75"/>
      <c r="YL503" s="75"/>
      <c r="YM503" s="75"/>
      <c r="YN503" s="75"/>
      <c r="YO503" s="75"/>
      <c r="YP503" s="75"/>
      <c r="YQ503" s="75"/>
      <c r="YR503" s="75"/>
      <c r="YS503" s="75"/>
      <c r="YT503" s="75"/>
      <c r="YU503" s="75"/>
      <c r="YV503" s="75"/>
      <c r="YW503" s="75"/>
      <c r="YX503" s="75"/>
      <c r="YY503" s="75"/>
      <c r="YZ503" s="75"/>
      <c r="ZA503" s="75"/>
      <c r="ZB503" s="75"/>
      <c r="ZC503" s="75"/>
      <c r="ZD503" s="75"/>
      <c r="ZE503" s="75"/>
      <c r="ZF503" s="75"/>
      <c r="ZG503" s="75"/>
      <c r="ZH503" s="75"/>
      <c r="ZI503" s="75"/>
      <c r="ZJ503" s="75"/>
      <c r="ZK503" s="75"/>
      <c r="ZL503" s="75"/>
      <c r="ZM503" s="75"/>
      <c r="ZN503" s="75"/>
      <c r="ZO503" s="75"/>
      <c r="ZP503" s="75"/>
      <c r="ZQ503" s="75"/>
      <c r="ZR503" s="75"/>
      <c r="ZS503" s="75"/>
      <c r="ZT503" s="75"/>
      <c r="ZU503" s="75"/>
      <c r="ZV503" s="75"/>
      <c r="ZW503" s="75"/>
      <c r="ZX503" s="75"/>
      <c r="ZY503" s="75"/>
      <c r="ZZ503" s="75"/>
      <c r="AAA503" s="75"/>
      <c r="AAB503" s="75"/>
      <c r="AAC503" s="75"/>
      <c r="AAD503" s="75"/>
      <c r="AAE503" s="75"/>
      <c r="AAF503" s="75"/>
      <c r="AAG503" s="75"/>
      <c r="AAH503" s="75"/>
      <c r="AAI503" s="75"/>
      <c r="AAJ503" s="75"/>
      <c r="AAK503" s="75"/>
      <c r="AAL503" s="75"/>
      <c r="AAM503" s="75"/>
      <c r="AAN503" s="75"/>
      <c r="AAO503" s="75"/>
      <c r="AAP503" s="75"/>
      <c r="AAQ503" s="75"/>
      <c r="AAR503" s="75"/>
      <c r="AAS503" s="75"/>
      <c r="AAT503" s="75"/>
      <c r="AAU503" s="75"/>
      <c r="AAV503" s="75"/>
      <c r="AAW503" s="75"/>
      <c r="AAX503" s="75"/>
      <c r="AAY503" s="75"/>
      <c r="AAZ503" s="75"/>
      <c r="ABA503" s="75"/>
      <c r="ABB503" s="75"/>
      <c r="ABC503" s="75"/>
      <c r="ABD503" s="75"/>
      <c r="ABE503" s="75"/>
      <c r="ABF503" s="75"/>
      <c r="ABG503" s="75"/>
      <c r="ABH503" s="75"/>
      <c r="ABI503" s="75"/>
      <c r="ABJ503" s="75"/>
      <c r="ABK503" s="75"/>
      <c r="ABL503" s="75"/>
      <c r="ABM503" s="75"/>
      <c r="ABN503" s="75"/>
      <c r="ABO503" s="75"/>
      <c r="ABP503" s="75"/>
      <c r="ABQ503" s="75"/>
      <c r="ABR503" s="75"/>
      <c r="ABS503" s="75"/>
      <c r="ABT503" s="75"/>
      <c r="ABU503" s="75"/>
      <c r="ABV503" s="75"/>
      <c r="ABW503" s="75"/>
      <c r="ABX503" s="75"/>
      <c r="ABY503" s="75"/>
      <c r="ABZ503" s="75"/>
      <c r="ACA503" s="75"/>
      <c r="ACB503" s="75"/>
      <c r="ACC503" s="75"/>
      <c r="ACD503" s="75"/>
      <c r="ACE503" s="75"/>
      <c r="ACF503" s="75"/>
      <c r="ACG503" s="75"/>
      <c r="ACH503" s="75"/>
      <c r="ACI503" s="75"/>
      <c r="ACJ503" s="75"/>
      <c r="ACK503" s="75"/>
      <c r="ACL503" s="75"/>
      <c r="ACM503" s="75"/>
      <c r="ACN503" s="75"/>
      <c r="ACO503" s="75"/>
      <c r="ACP503" s="75"/>
      <c r="ACQ503" s="75"/>
      <c r="ACR503" s="75"/>
      <c r="ACS503" s="75"/>
      <c r="ACT503" s="75"/>
      <c r="ACU503" s="75"/>
      <c r="ACV503" s="75"/>
      <c r="ACW503" s="75"/>
      <c r="ACX503" s="75"/>
      <c r="ACY503" s="75"/>
      <c r="ACZ503" s="75"/>
      <c r="ADA503" s="75"/>
      <c r="ADB503" s="75"/>
      <c r="ADC503" s="75"/>
      <c r="ADD503" s="75"/>
      <c r="ADE503" s="75"/>
      <c r="ADF503" s="75"/>
      <c r="ADG503" s="75"/>
      <c r="ADH503" s="75"/>
      <c r="ADI503" s="75"/>
      <c r="ADJ503" s="75"/>
      <c r="ADK503" s="75"/>
      <c r="ADL503" s="75"/>
      <c r="ADM503" s="75"/>
      <c r="ADN503" s="75"/>
      <c r="ADO503" s="75"/>
      <c r="ADP503" s="75"/>
      <c r="ADQ503" s="75"/>
      <c r="ADR503" s="75"/>
      <c r="ADS503" s="75"/>
      <c r="ADT503" s="75"/>
      <c r="ADU503" s="75"/>
      <c r="ADV503" s="75"/>
      <c r="ADW503" s="75"/>
      <c r="ADX503" s="75"/>
      <c r="ADY503" s="75"/>
      <c r="ADZ503" s="75"/>
      <c r="AEA503" s="75"/>
      <c r="AEB503" s="75"/>
      <c r="AEC503" s="75"/>
      <c r="AED503" s="75"/>
      <c r="AEE503" s="75"/>
      <c r="AEF503" s="75"/>
      <c r="AEG503" s="75"/>
      <c r="AEH503" s="75"/>
      <c r="AEI503" s="75"/>
      <c r="AEJ503" s="75"/>
      <c r="AEK503" s="75"/>
      <c r="AEL503" s="75"/>
      <c r="AEM503" s="75"/>
      <c r="AEN503" s="75"/>
      <c r="AEO503" s="75"/>
      <c r="AEP503" s="75"/>
      <c r="AEQ503" s="75"/>
      <c r="AER503" s="75"/>
      <c r="AES503" s="75"/>
      <c r="AET503" s="75"/>
      <c r="AEU503" s="75"/>
      <c r="AEV503" s="75"/>
      <c r="AEW503" s="75"/>
      <c r="AEX503" s="75"/>
      <c r="AEY503" s="75"/>
      <c r="AEZ503" s="75"/>
      <c r="AFA503" s="75"/>
      <c r="AFB503" s="75"/>
      <c r="AFC503" s="75"/>
      <c r="AFD503" s="75"/>
      <c r="AFE503" s="75"/>
      <c r="AFF503" s="75"/>
      <c r="AFG503" s="75"/>
      <c r="AFH503" s="75"/>
      <c r="AFI503" s="75"/>
      <c r="AFJ503" s="75"/>
      <c r="AFK503" s="75"/>
      <c r="AFL503" s="75"/>
      <c r="AFM503" s="75"/>
      <c r="AFN503" s="75"/>
      <c r="AFO503" s="75"/>
      <c r="AFP503" s="75"/>
      <c r="AFQ503" s="75"/>
      <c r="AFR503" s="75"/>
      <c r="AFS503" s="75"/>
      <c r="AFT503" s="75"/>
      <c r="AFU503" s="75"/>
      <c r="AFV503" s="75"/>
      <c r="AFW503" s="75"/>
      <c r="AFX503" s="75"/>
      <c r="AFY503" s="75"/>
      <c r="AFZ503" s="75"/>
      <c r="AGA503" s="75"/>
      <c r="AGB503" s="75"/>
      <c r="AGC503" s="75"/>
      <c r="AGD503" s="75"/>
      <c r="AGE503" s="75"/>
      <c r="AGF503" s="75"/>
      <c r="AGG503" s="75"/>
      <c r="AGH503" s="75"/>
      <c r="AGI503" s="75"/>
      <c r="AGJ503" s="75"/>
      <c r="AGK503" s="75"/>
      <c r="AGL503" s="75"/>
      <c r="AGM503" s="75"/>
      <c r="AGN503" s="75"/>
      <c r="AGO503" s="75"/>
      <c r="AGP503" s="75"/>
      <c r="AGQ503" s="75"/>
      <c r="AGR503" s="75"/>
      <c r="AGS503" s="75"/>
      <c r="AGT503" s="75"/>
      <c r="AGU503" s="75"/>
      <c r="AGV503" s="75"/>
      <c r="AGW503" s="75"/>
      <c r="AGX503" s="75"/>
      <c r="AGY503" s="75"/>
      <c r="AGZ503" s="75"/>
      <c r="AHA503" s="75"/>
      <c r="AHB503" s="75"/>
      <c r="AHC503" s="75"/>
      <c r="AHD503" s="75"/>
      <c r="AHE503" s="75"/>
      <c r="AHF503" s="75"/>
      <c r="AHG503" s="75"/>
      <c r="AHH503" s="75"/>
      <c r="AHI503" s="75"/>
      <c r="AHJ503" s="75"/>
      <c r="AHK503" s="75"/>
      <c r="AHL503" s="75"/>
      <c r="AHM503" s="75"/>
      <c r="AHN503" s="75"/>
      <c r="AHO503" s="75"/>
      <c r="AHP503" s="75"/>
      <c r="AHQ503" s="75"/>
      <c r="AHR503" s="75"/>
      <c r="AHS503" s="75"/>
      <c r="AHT503" s="75"/>
      <c r="AHU503" s="75"/>
      <c r="AHV503" s="75"/>
      <c r="AHW503" s="75"/>
      <c r="AHX503" s="75"/>
      <c r="AHY503" s="75"/>
      <c r="AHZ503" s="75"/>
      <c r="AIA503" s="75"/>
      <c r="AIB503" s="75"/>
      <c r="AIC503" s="75"/>
      <c r="AID503" s="75"/>
      <c r="AIE503" s="75"/>
      <c r="AIF503" s="75"/>
      <c r="AIG503" s="75"/>
      <c r="AIH503" s="75"/>
      <c r="AII503" s="75"/>
      <c r="AIJ503" s="75"/>
      <c r="AIK503" s="75"/>
      <c r="AIL503" s="75"/>
      <c r="AIM503" s="75"/>
      <c r="AIN503" s="75"/>
      <c r="AIO503" s="75"/>
      <c r="AIP503" s="75"/>
      <c r="AIQ503" s="75"/>
      <c r="AIR503" s="75"/>
      <c r="AIS503" s="75"/>
      <c r="AIT503" s="75"/>
      <c r="AIU503" s="75"/>
      <c r="AIV503" s="75"/>
      <c r="AIW503" s="75"/>
      <c r="AIX503" s="75"/>
      <c r="AIY503" s="75"/>
      <c r="AIZ503" s="75"/>
      <c r="AJA503" s="75"/>
      <c r="AJB503" s="75"/>
      <c r="AJC503" s="75"/>
      <c r="AJD503" s="75"/>
      <c r="AJE503" s="75"/>
      <c r="AJF503" s="75"/>
      <c r="AJG503" s="75"/>
      <c r="AJH503" s="75"/>
      <c r="AJI503" s="75"/>
      <c r="AJJ503" s="75"/>
      <c r="AJK503" s="75"/>
      <c r="AJL503" s="75"/>
      <c r="AJM503" s="75"/>
      <c r="AJN503" s="75"/>
      <c r="AJO503" s="75"/>
      <c r="AJP503" s="75"/>
      <c r="AJQ503" s="75"/>
      <c r="AJR503" s="75"/>
      <c r="AJS503" s="75"/>
      <c r="AJT503" s="75"/>
      <c r="AJU503" s="75"/>
      <c r="AJV503" s="75"/>
      <c r="AJW503" s="75"/>
      <c r="AJX503" s="75"/>
      <c r="AJY503" s="75"/>
      <c r="AJZ503" s="75"/>
      <c r="AKA503" s="75"/>
      <c r="AKB503" s="75"/>
      <c r="AKC503" s="75"/>
      <c r="AKD503" s="75"/>
      <c r="AKE503" s="75"/>
      <c r="AKF503" s="75"/>
      <c r="AKG503" s="75"/>
      <c r="AKH503" s="75"/>
      <c r="AKI503" s="75"/>
      <c r="AKJ503" s="75"/>
      <c r="AKK503" s="75"/>
      <c r="AKL503" s="75"/>
      <c r="AKM503" s="75"/>
      <c r="AKN503" s="75"/>
      <c r="AKO503" s="75"/>
      <c r="AKP503" s="75"/>
      <c r="AKQ503" s="75"/>
      <c r="AKR503" s="75"/>
      <c r="AKS503" s="75"/>
      <c r="AKT503" s="75"/>
      <c r="AKU503" s="75"/>
      <c r="AKV503" s="75"/>
      <c r="AKW503" s="75"/>
      <c r="AKX503" s="75"/>
      <c r="AKY503" s="75"/>
      <c r="AKZ503" s="75"/>
      <c r="ALA503" s="75"/>
      <c r="ALB503" s="75"/>
      <c r="ALC503" s="75"/>
      <c r="ALD503" s="75"/>
      <c r="ALE503" s="75"/>
      <c r="ALF503" s="75"/>
      <c r="ALG503" s="75"/>
      <c r="ALH503" s="75"/>
      <c r="ALI503" s="75"/>
      <c r="ALJ503" s="75"/>
      <c r="ALK503" s="75"/>
      <c r="ALL503" s="75"/>
      <c r="ALM503" s="75"/>
      <c r="ALN503" s="75"/>
      <c r="ALO503" s="75"/>
    </row>
    <row r="504" spans="1:1003" s="235" customFormat="1" ht="14.55" customHeight="1" outlineLevel="1" x14ac:dyDescent="0.25">
      <c r="A504" s="230" t="s">
        <v>1422</v>
      </c>
      <c r="B504" s="343" t="str">
        <f>"13.0607"</f>
        <v>13.0607</v>
      </c>
      <c r="C504" s="75" t="s">
        <v>2194</v>
      </c>
      <c r="D504" s="127" t="s">
        <v>2195</v>
      </c>
      <c r="E504" s="232"/>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c r="AY504" s="75"/>
      <c r="AZ504" s="75"/>
      <c r="BA504" s="75"/>
      <c r="BB504" s="75"/>
      <c r="BC504" s="75"/>
      <c r="BD504" s="75"/>
      <c r="BE504" s="75"/>
      <c r="BF504" s="75"/>
      <c r="BG504" s="75"/>
      <c r="BH504" s="75"/>
      <c r="BI504" s="75"/>
      <c r="BJ504" s="75"/>
      <c r="BK504" s="75"/>
      <c r="BL504" s="75"/>
      <c r="BM504" s="75"/>
      <c r="BN504" s="75"/>
      <c r="BO504" s="75"/>
      <c r="BP504" s="75"/>
      <c r="BQ504" s="75"/>
      <c r="BR504" s="75"/>
      <c r="BS504" s="75"/>
      <c r="BT504" s="75"/>
      <c r="BU504" s="75"/>
      <c r="BV504" s="75"/>
      <c r="BW504" s="75"/>
      <c r="BX504" s="75"/>
      <c r="BY504" s="75"/>
      <c r="BZ504" s="75"/>
      <c r="CA504" s="75"/>
      <c r="CB504" s="75"/>
      <c r="CC504" s="75"/>
      <c r="CD504" s="75"/>
      <c r="CE504" s="75"/>
      <c r="CF504" s="75"/>
      <c r="CG504" s="75"/>
      <c r="CH504" s="75"/>
      <c r="CI504" s="75"/>
      <c r="CJ504" s="75"/>
      <c r="CK504" s="75"/>
      <c r="CL504" s="75"/>
      <c r="CM504" s="75"/>
      <c r="CN504" s="75"/>
      <c r="CO504" s="75"/>
      <c r="CP504" s="75"/>
      <c r="CQ504" s="75"/>
      <c r="CR504" s="75"/>
      <c r="CS504" s="75"/>
      <c r="CT504" s="75"/>
      <c r="CU504" s="75"/>
      <c r="CV504" s="75"/>
      <c r="CW504" s="75"/>
      <c r="CX504" s="75"/>
      <c r="CY504" s="75"/>
      <c r="CZ504" s="75"/>
      <c r="DA504" s="75"/>
      <c r="DB504" s="75"/>
      <c r="DC504" s="75"/>
      <c r="DD504" s="75"/>
      <c r="DE504" s="75"/>
      <c r="DF504" s="75"/>
      <c r="DG504" s="75"/>
      <c r="DH504" s="75"/>
      <c r="DI504" s="75"/>
      <c r="DJ504" s="75"/>
      <c r="DK504" s="75"/>
      <c r="DL504" s="75"/>
      <c r="DM504" s="75"/>
      <c r="DN504" s="75"/>
      <c r="DO504" s="75"/>
      <c r="DP504" s="75"/>
      <c r="DQ504" s="75"/>
      <c r="DR504" s="75"/>
      <c r="DS504" s="75"/>
      <c r="DT504" s="75"/>
      <c r="DU504" s="75"/>
      <c r="DV504" s="75"/>
      <c r="DW504" s="75"/>
      <c r="DX504" s="75"/>
      <c r="DY504" s="75"/>
      <c r="DZ504" s="75"/>
      <c r="EA504" s="75"/>
      <c r="EB504" s="75"/>
      <c r="EC504" s="75"/>
      <c r="ED504" s="75"/>
      <c r="EE504" s="75"/>
      <c r="EF504" s="75"/>
      <c r="EG504" s="75"/>
      <c r="EH504" s="75"/>
      <c r="EI504" s="75"/>
      <c r="EJ504" s="75"/>
      <c r="EK504" s="75"/>
      <c r="EL504" s="75"/>
      <c r="EM504" s="75"/>
      <c r="EN504" s="75"/>
      <c r="EO504" s="75"/>
      <c r="EP504" s="75"/>
      <c r="EQ504" s="75"/>
      <c r="ER504" s="75"/>
      <c r="ES504" s="75"/>
      <c r="ET504" s="75"/>
      <c r="EU504" s="75"/>
      <c r="EV504" s="75"/>
      <c r="EW504" s="75"/>
      <c r="EX504" s="75"/>
      <c r="EY504" s="75"/>
      <c r="EZ504" s="75"/>
      <c r="FA504" s="75"/>
      <c r="FB504" s="75"/>
      <c r="FC504" s="75"/>
      <c r="FD504" s="75"/>
      <c r="FE504" s="75"/>
      <c r="FF504" s="75"/>
      <c r="FG504" s="75"/>
      <c r="FH504" s="75"/>
      <c r="FI504" s="75"/>
      <c r="FJ504" s="75"/>
      <c r="FK504" s="75"/>
      <c r="FL504" s="75"/>
      <c r="FM504" s="75"/>
      <c r="FN504" s="75"/>
      <c r="FO504" s="75"/>
      <c r="FP504" s="75"/>
      <c r="FQ504" s="75"/>
      <c r="FR504" s="75"/>
      <c r="FS504" s="75"/>
      <c r="FT504" s="75"/>
      <c r="FU504" s="75"/>
      <c r="FV504" s="75"/>
      <c r="FW504" s="75"/>
      <c r="FX504" s="75"/>
      <c r="FY504" s="75"/>
      <c r="FZ504" s="75"/>
      <c r="GA504" s="75"/>
      <c r="GB504" s="75"/>
      <c r="GC504" s="75"/>
      <c r="GD504" s="75"/>
      <c r="GE504" s="75"/>
      <c r="GF504" s="75"/>
      <c r="GG504" s="75"/>
      <c r="GH504" s="75"/>
      <c r="GI504" s="75"/>
      <c r="GJ504" s="75"/>
      <c r="GK504" s="75"/>
      <c r="GL504" s="75"/>
      <c r="GM504" s="75"/>
      <c r="GN504" s="75"/>
      <c r="GO504" s="75"/>
      <c r="GP504" s="75"/>
      <c r="GQ504" s="75"/>
      <c r="GR504" s="75"/>
      <c r="GS504" s="75"/>
      <c r="GT504" s="75"/>
      <c r="GU504" s="75"/>
      <c r="GV504" s="75"/>
      <c r="GW504" s="75"/>
      <c r="GX504" s="75"/>
      <c r="GY504" s="75"/>
      <c r="GZ504" s="75"/>
      <c r="HA504" s="75"/>
      <c r="HB504" s="75"/>
      <c r="HC504" s="75"/>
      <c r="HD504" s="75"/>
      <c r="HE504" s="75"/>
      <c r="HF504" s="75"/>
      <c r="HG504" s="75"/>
      <c r="HH504" s="75"/>
      <c r="HI504" s="75"/>
      <c r="HJ504" s="75"/>
      <c r="HK504" s="75"/>
      <c r="HL504" s="75"/>
      <c r="HM504" s="75"/>
      <c r="HN504" s="75"/>
      <c r="HO504" s="75"/>
      <c r="HP504" s="75"/>
      <c r="HQ504" s="75"/>
      <c r="HR504" s="75"/>
      <c r="HS504" s="75"/>
      <c r="HT504" s="75"/>
      <c r="HU504" s="75"/>
      <c r="HV504" s="75"/>
      <c r="HW504" s="75"/>
      <c r="HX504" s="75"/>
      <c r="HY504" s="75"/>
      <c r="HZ504" s="75"/>
      <c r="IA504" s="75"/>
      <c r="IB504" s="75"/>
      <c r="IC504" s="75"/>
      <c r="ID504" s="75"/>
      <c r="IE504" s="75"/>
      <c r="IF504" s="75"/>
      <c r="IG504" s="75"/>
      <c r="IH504" s="75"/>
      <c r="II504" s="75"/>
      <c r="IJ504" s="75"/>
      <c r="IK504" s="75"/>
      <c r="IL504" s="75"/>
      <c r="IM504" s="75"/>
      <c r="IN504" s="75"/>
      <c r="IO504" s="75"/>
      <c r="IP504" s="75"/>
      <c r="IQ504" s="75"/>
      <c r="IR504" s="75"/>
      <c r="IS504" s="75"/>
      <c r="IT504" s="75"/>
      <c r="IU504" s="75"/>
      <c r="IV504" s="75"/>
      <c r="IW504" s="75"/>
      <c r="IX504" s="75"/>
      <c r="IY504" s="75"/>
      <c r="IZ504" s="75"/>
      <c r="JA504" s="75"/>
      <c r="JB504" s="75"/>
      <c r="JC504" s="75"/>
      <c r="JD504" s="75"/>
      <c r="JE504" s="75"/>
      <c r="JF504" s="75"/>
      <c r="JG504" s="75"/>
      <c r="JH504" s="75"/>
      <c r="JI504" s="75"/>
      <c r="JJ504" s="75"/>
      <c r="JK504" s="75"/>
      <c r="JL504" s="75"/>
      <c r="JM504" s="75"/>
      <c r="JN504" s="75"/>
      <c r="JO504" s="75"/>
      <c r="JP504" s="75"/>
      <c r="JQ504" s="75"/>
      <c r="JR504" s="75"/>
      <c r="JS504" s="75"/>
      <c r="JT504" s="75"/>
      <c r="JU504" s="75"/>
      <c r="JV504" s="75"/>
      <c r="JW504" s="75"/>
      <c r="JX504" s="75"/>
      <c r="JY504" s="75"/>
      <c r="JZ504" s="75"/>
      <c r="KA504" s="75"/>
      <c r="KB504" s="75"/>
      <c r="KC504" s="75"/>
      <c r="KD504" s="75"/>
      <c r="KE504" s="75"/>
      <c r="KF504" s="75"/>
      <c r="KG504" s="75"/>
      <c r="KH504" s="75"/>
      <c r="KI504" s="75"/>
      <c r="KJ504" s="75"/>
      <c r="KK504" s="75"/>
      <c r="KL504" s="75"/>
      <c r="KM504" s="75"/>
      <c r="KN504" s="75"/>
      <c r="KO504" s="75"/>
      <c r="KP504" s="75"/>
      <c r="KQ504" s="75"/>
      <c r="KR504" s="75"/>
      <c r="KS504" s="75"/>
      <c r="KT504" s="75"/>
      <c r="KU504" s="75"/>
      <c r="KV504" s="75"/>
      <c r="KW504" s="75"/>
      <c r="KX504" s="75"/>
      <c r="KY504" s="75"/>
      <c r="KZ504" s="75"/>
      <c r="LA504" s="75"/>
      <c r="LB504" s="75"/>
      <c r="LC504" s="75"/>
      <c r="LD504" s="75"/>
      <c r="LE504" s="75"/>
      <c r="LF504" s="75"/>
      <c r="LG504" s="75"/>
      <c r="LH504" s="75"/>
      <c r="LI504" s="75"/>
      <c r="LJ504" s="75"/>
      <c r="LK504" s="75"/>
      <c r="LL504" s="75"/>
      <c r="LM504" s="75"/>
      <c r="LN504" s="75"/>
      <c r="LO504" s="75"/>
      <c r="LP504" s="75"/>
      <c r="LQ504" s="75"/>
      <c r="LR504" s="75"/>
      <c r="LS504" s="75"/>
      <c r="LT504" s="75"/>
      <c r="LU504" s="75"/>
      <c r="LV504" s="75"/>
      <c r="LW504" s="75"/>
      <c r="LX504" s="75"/>
      <c r="LY504" s="75"/>
      <c r="LZ504" s="75"/>
      <c r="MA504" s="75"/>
      <c r="MB504" s="75"/>
      <c r="MC504" s="75"/>
      <c r="MD504" s="75"/>
      <c r="ME504" s="75"/>
      <c r="MF504" s="75"/>
      <c r="MG504" s="75"/>
      <c r="MH504" s="75"/>
      <c r="MI504" s="75"/>
      <c r="MJ504" s="75"/>
      <c r="MK504" s="75"/>
      <c r="ML504" s="75"/>
      <c r="MM504" s="75"/>
      <c r="MN504" s="75"/>
      <c r="MO504" s="75"/>
      <c r="MP504" s="75"/>
      <c r="MQ504" s="75"/>
      <c r="MR504" s="75"/>
      <c r="MS504" s="75"/>
      <c r="MT504" s="75"/>
      <c r="MU504" s="75"/>
      <c r="MV504" s="75"/>
      <c r="MW504" s="75"/>
      <c r="MX504" s="75"/>
      <c r="MY504" s="75"/>
      <c r="MZ504" s="75"/>
      <c r="NA504" s="75"/>
      <c r="NB504" s="75"/>
      <c r="NC504" s="75"/>
      <c r="ND504" s="75"/>
      <c r="NE504" s="75"/>
      <c r="NF504" s="75"/>
      <c r="NG504" s="75"/>
      <c r="NH504" s="75"/>
      <c r="NI504" s="75"/>
      <c r="NJ504" s="75"/>
      <c r="NK504" s="75"/>
      <c r="NL504" s="75"/>
      <c r="NM504" s="75"/>
      <c r="NN504" s="75"/>
      <c r="NO504" s="75"/>
      <c r="NP504" s="75"/>
      <c r="NQ504" s="75"/>
      <c r="NR504" s="75"/>
      <c r="NS504" s="75"/>
      <c r="NT504" s="75"/>
      <c r="NU504" s="75"/>
      <c r="NV504" s="75"/>
      <c r="NW504" s="75"/>
      <c r="NX504" s="75"/>
      <c r="NY504" s="75"/>
      <c r="NZ504" s="75"/>
      <c r="OA504" s="75"/>
      <c r="OB504" s="75"/>
      <c r="OC504" s="75"/>
      <c r="OD504" s="75"/>
      <c r="OE504" s="75"/>
      <c r="OF504" s="75"/>
      <c r="OG504" s="75"/>
      <c r="OH504" s="75"/>
      <c r="OI504" s="75"/>
      <c r="OJ504" s="75"/>
      <c r="OK504" s="75"/>
      <c r="OL504" s="75"/>
      <c r="OM504" s="75"/>
      <c r="ON504" s="75"/>
      <c r="OO504" s="75"/>
      <c r="OP504" s="75"/>
      <c r="OQ504" s="75"/>
      <c r="OR504" s="75"/>
      <c r="OS504" s="75"/>
      <c r="OT504" s="75"/>
      <c r="OU504" s="75"/>
      <c r="OV504" s="75"/>
      <c r="OW504" s="75"/>
      <c r="OX504" s="75"/>
      <c r="OY504" s="75"/>
      <c r="OZ504" s="75"/>
      <c r="PA504" s="75"/>
      <c r="PB504" s="75"/>
      <c r="PC504" s="75"/>
      <c r="PD504" s="75"/>
      <c r="PE504" s="75"/>
      <c r="PF504" s="75"/>
      <c r="PG504" s="75"/>
      <c r="PH504" s="75"/>
      <c r="PI504" s="75"/>
      <c r="PJ504" s="75"/>
      <c r="PK504" s="75"/>
      <c r="PL504" s="75"/>
      <c r="PM504" s="75"/>
      <c r="PN504" s="75"/>
      <c r="PO504" s="75"/>
      <c r="PP504" s="75"/>
      <c r="PQ504" s="75"/>
      <c r="PR504" s="75"/>
      <c r="PS504" s="75"/>
      <c r="PT504" s="75"/>
      <c r="PU504" s="75"/>
      <c r="PV504" s="75"/>
      <c r="PW504" s="75"/>
      <c r="PX504" s="75"/>
      <c r="PY504" s="75"/>
      <c r="PZ504" s="75"/>
      <c r="QA504" s="75"/>
      <c r="QB504" s="75"/>
      <c r="QC504" s="75"/>
      <c r="QD504" s="75"/>
      <c r="QE504" s="75"/>
      <c r="QF504" s="75"/>
      <c r="QG504" s="75"/>
      <c r="QH504" s="75"/>
      <c r="QI504" s="75"/>
      <c r="QJ504" s="75"/>
      <c r="QK504" s="75"/>
      <c r="QL504" s="75"/>
      <c r="QM504" s="75"/>
      <c r="QN504" s="75"/>
      <c r="QO504" s="75"/>
      <c r="QP504" s="75"/>
      <c r="QQ504" s="75"/>
      <c r="QR504" s="75"/>
      <c r="QS504" s="75"/>
      <c r="QT504" s="75"/>
      <c r="QU504" s="75"/>
      <c r="QV504" s="75"/>
      <c r="QW504" s="75"/>
      <c r="QX504" s="75"/>
      <c r="QY504" s="75"/>
      <c r="QZ504" s="75"/>
      <c r="RA504" s="75"/>
      <c r="RB504" s="75"/>
      <c r="RC504" s="75"/>
      <c r="RD504" s="75"/>
      <c r="RE504" s="75"/>
      <c r="RF504" s="75"/>
      <c r="RG504" s="75"/>
      <c r="RH504" s="75"/>
      <c r="RI504" s="75"/>
      <c r="RJ504" s="75"/>
      <c r="RK504" s="75"/>
      <c r="RL504" s="75"/>
      <c r="RM504" s="75"/>
      <c r="RN504" s="75"/>
      <c r="RO504" s="75"/>
      <c r="RP504" s="75"/>
      <c r="RQ504" s="75"/>
      <c r="RR504" s="75"/>
      <c r="RS504" s="75"/>
      <c r="RT504" s="75"/>
      <c r="RU504" s="75"/>
      <c r="RV504" s="75"/>
      <c r="RW504" s="75"/>
      <c r="RX504" s="75"/>
      <c r="RY504" s="75"/>
      <c r="RZ504" s="75"/>
      <c r="SA504" s="75"/>
      <c r="SB504" s="75"/>
      <c r="SC504" s="75"/>
      <c r="SD504" s="75"/>
      <c r="SE504" s="75"/>
      <c r="SF504" s="75"/>
      <c r="SG504" s="75"/>
      <c r="SH504" s="75"/>
      <c r="SI504" s="75"/>
      <c r="SJ504" s="75"/>
      <c r="SK504" s="75"/>
      <c r="SL504" s="75"/>
      <c r="SM504" s="75"/>
      <c r="SN504" s="75"/>
      <c r="SO504" s="75"/>
      <c r="SP504" s="75"/>
      <c r="SQ504" s="75"/>
      <c r="SR504" s="75"/>
      <c r="SS504" s="75"/>
      <c r="ST504" s="75"/>
      <c r="SU504" s="75"/>
      <c r="SV504" s="75"/>
      <c r="SW504" s="75"/>
      <c r="SX504" s="75"/>
      <c r="SY504" s="75"/>
      <c r="SZ504" s="75"/>
      <c r="TA504" s="75"/>
      <c r="TB504" s="75"/>
      <c r="TC504" s="75"/>
      <c r="TD504" s="75"/>
      <c r="TE504" s="75"/>
      <c r="TF504" s="75"/>
      <c r="TG504" s="75"/>
      <c r="TH504" s="75"/>
      <c r="TI504" s="75"/>
      <c r="TJ504" s="75"/>
      <c r="TK504" s="75"/>
      <c r="TL504" s="75"/>
      <c r="TM504" s="75"/>
      <c r="TN504" s="75"/>
      <c r="TO504" s="75"/>
      <c r="TP504" s="75"/>
      <c r="TQ504" s="75"/>
      <c r="TR504" s="75"/>
      <c r="TS504" s="75"/>
      <c r="TT504" s="75"/>
      <c r="TU504" s="75"/>
      <c r="TV504" s="75"/>
      <c r="TW504" s="75"/>
      <c r="TX504" s="75"/>
      <c r="TY504" s="75"/>
      <c r="TZ504" s="75"/>
      <c r="UA504" s="75"/>
      <c r="UB504" s="75"/>
      <c r="UC504" s="75"/>
      <c r="UD504" s="75"/>
      <c r="UE504" s="75"/>
      <c r="UF504" s="75"/>
      <c r="UG504" s="75"/>
      <c r="UH504" s="75"/>
      <c r="UI504" s="75"/>
      <c r="UJ504" s="75"/>
      <c r="UK504" s="75"/>
      <c r="UL504" s="75"/>
      <c r="UM504" s="75"/>
      <c r="UN504" s="75"/>
      <c r="UO504" s="75"/>
      <c r="UP504" s="75"/>
      <c r="UQ504" s="75"/>
      <c r="UR504" s="75"/>
      <c r="US504" s="75"/>
      <c r="UT504" s="75"/>
      <c r="UU504" s="75"/>
      <c r="UV504" s="75"/>
      <c r="UW504" s="75"/>
      <c r="UX504" s="75"/>
      <c r="UY504" s="75"/>
      <c r="UZ504" s="75"/>
      <c r="VA504" s="75"/>
      <c r="VB504" s="75"/>
      <c r="VC504" s="75"/>
      <c r="VD504" s="75"/>
      <c r="VE504" s="75"/>
      <c r="VF504" s="75"/>
      <c r="VG504" s="75"/>
      <c r="VH504" s="75"/>
      <c r="VI504" s="75"/>
      <c r="VJ504" s="75"/>
      <c r="VK504" s="75"/>
      <c r="VL504" s="75"/>
      <c r="VM504" s="75"/>
      <c r="VN504" s="75"/>
      <c r="VO504" s="75"/>
      <c r="VP504" s="75"/>
      <c r="VQ504" s="75"/>
      <c r="VR504" s="75"/>
      <c r="VS504" s="75"/>
      <c r="VT504" s="75"/>
      <c r="VU504" s="75"/>
      <c r="VV504" s="75"/>
      <c r="VW504" s="75"/>
      <c r="VX504" s="75"/>
      <c r="VY504" s="75"/>
      <c r="VZ504" s="75"/>
      <c r="WA504" s="75"/>
      <c r="WB504" s="75"/>
      <c r="WC504" s="75"/>
      <c r="WD504" s="75"/>
      <c r="WE504" s="75"/>
      <c r="WF504" s="75"/>
      <c r="WG504" s="75"/>
      <c r="WH504" s="75"/>
      <c r="WI504" s="75"/>
      <c r="WJ504" s="75"/>
      <c r="WK504" s="75"/>
      <c r="WL504" s="75"/>
      <c r="WM504" s="75"/>
      <c r="WN504" s="75"/>
      <c r="WO504" s="75"/>
      <c r="WP504" s="75"/>
      <c r="WQ504" s="75"/>
      <c r="WR504" s="75"/>
      <c r="WS504" s="75"/>
      <c r="WT504" s="75"/>
      <c r="WU504" s="75"/>
      <c r="WV504" s="75"/>
      <c r="WW504" s="75"/>
      <c r="WX504" s="75"/>
      <c r="WY504" s="75"/>
      <c r="WZ504" s="75"/>
      <c r="XA504" s="75"/>
      <c r="XB504" s="75"/>
      <c r="XC504" s="75"/>
      <c r="XD504" s="75"/>
      <c r="XE504" s="75"/>
      <c r="XF504" s="75"/>
      <c r="XG504" s="75"/>
      <c r="XH504" s="75"/>
      <c r="XI504" s="75"/>
      <c r="XJ504" s="75"/>
      <c r="XK504" s="75"/>
      <c r="XL504" s="75"/>
      <c r="XM504" s="75"/>
      <c r="XN504" s="75"/>
      <c r="XO504" s="75"/>
      <c r="XP504" s="75"/>
      <c r="XQ504" s="75"/>
      <c r="XR504" s="75"/>
      <c r="XS504" s="75"/>
      <c r="XT504" s="75"/>
      <c r="XU504" s="75"/>
      <c r="XV504" s="75"/>
      <c r="XW504" s="75"/>
      <c r="XX504" s="75"/>
      <c r="XY504" s="75"/>
      <c r="XZ504" s="75"/>
      <c r="YA504" s="75"/>
      <c r="YB504" s="75"/>
      <c r="YC504" s="75"/>
      <c r="YD504" s="75"/>
      <c r="YE504" s="75"/>
      <c r="YF504" s="75"/>
      <c r="YG504" s="75"/>
      <c r="YH504" s="75"/>
      <c r="YI504" s="75"/>
      <c r="YJ504" s="75"/>
      <c r="YK504" s="75"/>
      <c r="YL504" s="75"/>
      <c r="YM504" s="75"/>
      <c r="YN504" s="75"/>
      <c r="YO504" s="75"/>
      <c r="YP504" s="75"/>
      <c r="YQ504" s="75"/>
      <c r="YR504" s="75"/>
      <c r="YS504" s="75"/>
      <c r="YT504" s="75"/>
      <c r="YU504" s="75"/>
      <c r="YV504" s="75"/>
      <c r="YW504" s="75"/>
      <c r="YX504" s="75"/>
      <c r="YY504" s="75"/>
      <c r="YZ504" s="75"/>
      <c r="ZA504" s="75"/>
      <c r="ZB504" s="75"/>
      <c r="ZC504" s="75"/>
      <c r="ZD504" s="75"/>
      <c r="ZE504" s="75"/>
      <c r="ZF504" s="75"/>
      <c r="ZG504" s="75"/>
      <c r="ZH504" s="75"/>
      <c r="ZI504" s="75"/>
      <c r="ZJ504" s="75"/>
      <c r="ZK504" s="75"/>
      <c r="ZL504" s="75"/>
      <c r="ZM504" s="75"/>
      <c r="ZN504" s="75"/>
      <c r="ZO504" s="75"/>
      <c r="ZP504" s="75"/>
      <c r="ZQ504" s="75"/>
      <c r="ZR504" s="75"/>
      <c r="ZS504" s="75"/>
      <c r="ZT504" s="75"/>
      <c r="ZU504" s="75"/>
      <c r="ZV504" s="75"/>
      <c r="ZW504" s="75"/>
      <c r="ZX504" s="75"/>
      <c r="ZY504" s="75"/>
      <c r="ZZ504" s="75"/>
      <c r="AAA504" s="75"/>
      <c r="AAB504" s="75"/>
      <c r="AAC504" s="75"/>
      <c r="AAD504" s="75"/>
      <c r="AAE504" s="75"/>
      <c r="AAF504" s="75"/>
      <c r="AAG504" s="75"/>
      <c r="AAH504" s="75"/>
      <c r="AAI504" s="75"/>
      <c r="AAJ504" s="75"/>
      <c r="AAK504" s="75"/>
      <c r="AAL504" s="75"/>
      <c r="AAM504" s="75"/>
      <c r="AAN504" s="75"/>
      <c r="AAO504" s="75"/>
      <c r="AAP504" s="75"/>
      <c r="AAQ504" s="75"/>
      <c r="AAR504" s="75"/>
      <c r="AAS504" s="75"/>
      <c r="AAT504" s="75"/>
      <c r="AAU504" s="75"/>
      <c r="AAV504" s="75"/>
      <c r="AAW504" s="75"/>
      <c r="AAX504" s="75"/>
      <c r="AAY504" s="75"/>
      <c r="AAZ504" s="75"/>
      <c r="ABA504" s="75"/>
      <c r="ABB504" s="75"/>
      <c r="ABC504" s="75"/>
      <c r="ABD504" s="75"/>
      <c r="ABE504" s="75"/>
      <c r="ABF504" s="75"/>
      <c r="ABG504" s="75"/>
      <c r="ABH504" s="75"/>
      <c r="ABI504" s="75"/>
      <c r="ABJ504" s="75"/>
      <c r="ABK504" s="75"/>
      <c r="ABL504" s="75"/>
      <c r="ABM504" s="75"/>
      <c r="ABN504" s="75"/>
      <c r="ABO504" s="75"/>
      <c r="ABP504" s="75"/>
      <c r="ABQ504" s="75"/>
      <c r="ABR504" s="75"/>
      <c r="ABS504" s="75"/>
      <c r="ABT504" s="75"/>
      <c r="ABU504" s="75"/>
      <c r="ABV504" s="75"/>
      <c r="ABW504" s="75"/>
      <c r="ABX504" s="75"/>
      <c r="ABY504" s="75"/>
      <c r="ABZ504" s="75"/>
      <c r="ACA504" s="75"/>
      <c r="ACB504" s="75"/>
      <c r="ACC504" s="75"/>
      <c r="ACD504" s="75"/>
      <c r="ACE504" s="75"/>
      <c r="ACF504" s="75"/>
      <c r="ACG504" s="75"/>
      <c r="ACH504" s="75"/>
      <c r="ACI504" s="75"/>
      <c r="ACJ504" s="75"/>
      <c r="ACK504" s="75"/>
      <c r="ACL504" s="75"/>
      <c r="ACM504" s="75"/>
      <c r="ACN504" s="75"/>
      <c r="ACO504" s="75"/>
      <c r="ACP504" s="75"/>
      <c r="ACQ504" s="75"/>
      <c r="ACR504" s="75"/>
      <c r="ACS504" s="75"/>
      <c r="ACT504" s="75"/>
      <c r="ACU504" s="75"/>
      <c r="ACV504" s="75"/>
      <c r="ACW504" s="75"/>
      <c r="ACX504" s="75"/>
      <c r="ACY504" s="75"/>
      <c r="ACZ504" s="75"/>
      <c r="ADA504" s="75"/>
      <c r="ADB504" s="75"/>
      <c r="ADC504" s="75"/>
      <c r="ADD504" s="75"/>
      <c r="ADE504" s="75"/>
      <c r="ADF504" s="75"/>
      <c r="ADG504" s="75"/>
      <c r="ADH504" s="75"/>
      <c r="ADI504" s="75"/>
      <c r="ADJ504" s="75"/>
      <c r="ADK504" s="75"/>
      <c r="ADL504" s="75"/>
      <c r="ADM504" s="75"/>
      <c r="ADN504" s="75"/>
      <c r="ADO504" s="75"/>
      <c r="ADP504" s="75"/>
      <c r="ADQ504" s="75"/>
      <c r="ADR504" s="75"/>
      <c r="ADS504" s="75"/>
      <c r="ADT504" s="75"/>
      <c r="ADU504" s="75"/>
      <c r="ADV504" s="75"/>
      <c r="ADW504" s="75"/>
      <c r="ADX504" s="75"/>
      <c r="ADY504" s="75"/>
      <c r="ADZ504" s="75"/>
      <c r="AEA504" s="75"/>
      <c r="AEB504" s="75"/>
      <c r="AEC504" s="75"/>
      <c r="AED504" s="75"/>
      <c r="AEE504" s="75"/>
      <c r="AEF504" s="75"/>
      <c r="AEG504" s="75"/>
      <c r="AEH504" s="75"/>
      <c r="AEI504" s="75"/>
      <c r="AEJ504" s="75"/>
      <c r="AEK504" s="75"/>
      <c r="AEL504" s="75"/>
      <c r="AEM504" s="75"/>
      <c r="AEN504" s="75"/>
      <c r="AEO504" s="75"/>
      <c r="AEP504" s="75"/>
      <c r="AEQ504" s="75"/>
      <c r="AER504" s="75"/>
      <c r="AES504" s="75"/>
      <c r="AET504" s="75"/>
      <c r="AEU504" s="75"/>
      <c r="AEV504" s="75"/>
      <c r="AEW504" s="75"/>
      <c r="AEX504" s="75"/>
      <c r="AEY504" s="75"/>
      <c r="AEZ504" s="75"/>
      <c r="AFA504" s="75"/>
      <c r="AFB504" s="75"/>
      <c r="AFC504" s="75"/>
      <c r="AFD504" s="75"/>
      <c r="AFE504" s="75"/>
      <c r="AFF504" s="75"/>
      <c r="AFG504" s="75"/>
      <c r="AFH504" s="75"/>
      <c r="AFI504" s="75"/>
      <c r="AFJ504" s="75"/>
      <c r="AFK504" s="75"/>
      <c r="AFL504" s="75"/>
      <c r="AFM504" s="75"/>
      <c r="AFN504" s="75"/>
      <c r="AFO504" s="75"/>
      <c r="AFP504" s="75"/>
      <c r="AFQ504" s="75"/>
      <c r="AFR504" s="75"/>
      <c r="AFS504" s="75"/>
      <c r="AFT504" s="75"/>
      <c r="AFU504" s="75"/>
      <c r="AFV504" s="75"/>
      <c r="AFW504" s="75"/>
      <c r="AFX504" s="75"/>
      <c r="AFY504" s="75"/>
      <c r="AFZ504" s="75"/>
      <c r="AGA504" s="75"/>
      <c r="AGB504" s="75"/>
      <c r="AGC504" s="75"/>
      <c r="AGD504" s="75"/>
      <c r="AGE504" s="75"/>
      <c r="AGF504" s="75"/>
      <c r="AGG504" s="75"/>
      <c r="AGH504" s="75"/>
      <c r="AGI504" s="75"/>
      <c r="AGJ504" s="75"/>
      <c r="AGK504" s="75"/>
      <c r="AGL504" s="75"/>
      <c r="AGM504" s="75"/>
      <c r="AGN504" s="75"/>
      <c r="AGO504" s="75"/>
      <c r="AGP504" s="75"/>
      <c r="AGQ504" s="75"/>
      <c r="AGR504" s="75"/>
      <c r="AGS504" s="75"/>
      <c r="AGT504" s="75"/>
      <c r="AGU504" s="75"/>
      <c r="AGV504" s="75"/>
      <c r="AGW504" s="75"/>
      <c r="AGX504" s="75"/>
      <c r="AGY504" s="75"/>
      <c r="AGZ504" s="75"/>
      <c r="AHA504" s="75"/>
      <c r="AHB504" s="75"/>
      <c r="AHC504" s="75"/>
      <c r="AHD504" s="75"/>
      <c r="AHE504" s="75"/>
      <c r="AHF504" s="75"/>
      <c r="AHG504" s="75"/>
      <c r="AHH504" s="75"/>
      <c r="AHI504" s="75"/>
      <c r="AHJ504" s="75"/>
      <c r="AHK504" s="75"/>
      <c r="AHL504" s="75"/>
      <c r="AHM504" s="75"/>
      <c r="AHN504" s="75"/>
      <c r="AHO504" s="75"/>
      <c r="AHP504" s="75"/>
      <c r="AHQ504" s="75"/>
      <c r="AHR504" s="75"/>
      <c r="AHS504" s="75"/>
      <c r="AHT504" s="75"/>
      <c r="AHU504" s="75"/>
      <c r="AHV504" s="75"/>
      <c r="AHW504" s="75"/>
      <c r="AHX504" s="75"/>
      <c r="AHY504" s="75"/>
      <c r="AHZ504" s="75"/>
      <c r="AIA504" s="75"/>
      <c r="AIB504" s="75"/>
      <c r="AIC504" s="75"/>
      <c r="AID504" s="75"/>
      <c r="AIE504" s="75"/>
      <c r="AIF504" s="75"/>
      <c r="AIG504" s="75"/>
      <c r="AIH504" s="75"/>
      <c r="AII504" s="75"/>
      <c r="AIJ504" s="75"/>
      <c r="AIK504" s="75"/>
      <c r="AIL504" s="75"/>
      <c r="AIM504" s="75"/>
      <c r="AIN504" s="75"/>
      <c r="AIO504" s="75"/>
      <c r="AIP504" s="75"/>
      <c r="AIQ504" s="75"/>
      <c r="AIR504" s="75"/>
      <c r="AIS504" s="75"/>
      <c r="AIT504" s="75"/>
      <c r="AIU504" s="75"/>
      <c r="AIV504" s="75"/>
      <c r="AIW504" s="75"/>
      <c r="AIX504" s="75"/>
      <c r="AIY504" s="75"/>
      <c r="AIZ504" s="75"/>
      <c r="AJA504" s="75"/>
      <c r="AJB504" s="75"/>
      <c r="AJC504" s="75"/>
      <c r="AJD504" s="75"/>
      <c r="AJE504" s="75"/>
      <c r="AJF504" s="75"/>
      <c r="AJG504" s="75"/>
      <c r="AJH504" s="75"/>
      <c r="AJI504" s="75"/>
      <c r="AJJ504" s="75"/>
      <c r="AJK504" s="75"/>
      <c r="AJL504" s="75"/>
      <c r="AJM504" s="75"/>
      <c r="AJN504" s="75"/>
      <c r="AJO504" s="75"/>
      <c r="AJP504" s="75"/>
      <c r="AJQ504" s="75"/>
      <c r="AJR504" s="75"/>
      <c r="AJS504" s="75"/>
      <c r="AJT504" s="75"/>
      <c r="AJU504" s="75"/>
      <c r="AJV504" s="75"/>
      <c r="AJW504" s="75"/>
      <c r="AJX504" s="75"/>
      <c r="AJY504" s="75"/>
      <c r="AJZ504" s="75"/>
      <c r="AKA504" s="75"/>
      <c r="AKB504" s="75"/>
      <c r="AKC504" s="75"/>
      <c r="AKD504" s="75"/>
      <c r="AKE504" s="75"/>
      <c r="AKF504" s="75"/>
      <c r="AKG504" s="75"/>
      <c r="AKH504" s="75"/>
      <c r="AKI504" s="75"/>
      <c r="AKJ504" s="75"/>
      <c r="AKK504" s="75"/>
      <c r="AKL504" s="75"/>
      <c r="AKM504" s="75"/>
      <c r="AKN504" s="75"/>
      <c r="AKO504" s="75"/>
      <c r="AKP504" s="75"/>
      <c r="AKQ504" s="75"/>
      <c r="AKR504" s="75"/>
      <c r="AKS504" s="75"/>
      <c r="AKT504" s="75"/>
      <c r="AKU504" s="75"/>
      <c r="AKV504" s="75"/>
      <c r="AKW504" s="75"/>
      <c r="AKX504" s="75"/>
      <c r="AKY504" s="75"/>
      <c r="AKZ504" s="75"/>
      <c r="ALA504" s="75"/>
      <c r="ALB504" s="75"/>
      <c r="ALC504" s="75"/>
      <c r="ALD504" s="75"/>
      <c r="ALE504" s="75"/>
      <c r="ALF504" s="75"/>
      <c r="ALG504" s="75"/>
      <c r="ALH504" s="75"/>
      <c r="ALI504" s="75"/>
      <c r="ALJ504" s="75"/>
      <c r="ALK504" s="75"/>
      <c r="ALL504" s="75"/>
      <c r="ALM504" s="75"/>
      <c r="ALN504" s="75"/>
      <c r="ALO504" s="75"/>
    </row>
    <row r="505" spans="1:1003" s="235" customFormat="1" ht="14.55" customHeight="1" outlineLevel="1" x14ac:dyDescent="0.25">
      <c r="A505" s="230" t="s">
        <v>1422</v>
      </c>
      <c r="B505" s="343" t="str">
        <f>"13.0608"</f>
        <v>13.0608</v>
      </c>
      <c r="C505" s="75" t="s">
        <v>2196</v>
      </c>
      <c r="D505" s="127" t="s">
        <v>2197</v>
      </c>
      <c r="E505" s="232"/>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c r="AY505" s="75"/>
      <c r="AZ505" s="75"/>
      <c r="BA505" s="75"/>
      <c r="BB505" s="75"/>
      <c r="BC505" s="75"/>
      <c r="BD505" s="75"/>
      <c r="BE505" s="75"/>
      <c r="BF505" s="75"/>
      <c r="BG505" s="75"/>
      <c r="BH505" s="75"/>
      <c r="BI505" s="75"/>
      <c r="BJ505" s="75"/>
      <c r="BK505" s="75"/>
      <c r="BL505" s="75"/>
      <c r="BM505" s="75"/>
      <c r="BN505" s="75"/>
      <c r="BO505" s="75"/>
      <c r="BP505" s="75"/>
      <c r="BQ505" s="75"/>
      <c r="BR505" s="75"/>
      <c r="BS505" s="75"/>
      <c r="BT505" s="75"/>
      <c r="BU505" s="75"/>
      <c r="BV505" s="75"/>
      <c r="BW505" s="75"/>
      <c r="BX505" s="75"/>
      <c r="BY505" s="75"/>
      <c r="BZ505" s="75"/>
      <c r="CA505" s="75"/>
      <c r="CB505" s="75"/>
      <c r="CC505" s="75"/>
      <c r="CD505" s="75"/>
      <c r="CE505" s="75"/>
      <c r="CF505" s="75"/>
      <c r="CG505" s="75"/>
      <c r="CH505" s="75"/>
      <c r="CI505" s="75"/>
      <c r="CJ505" s="75"/>
      <c r="CK505" s="75"/>
      <c r="CL505" s="75"/>
      <c r="CM505" s="75"/>
      <c r="CN505" s="75"/>
      <c r="CO505" s="75"/>
      <c r="CP505" s="75"/>
      <c r="CQ505" s="75"/>
      <c r="CR505" s="75"/>
      <c r="CS505" s="75"/>
      <c r="CT505" s="75"/>
      <c r="CU505" s="75"/>
      <c r="CV505" s="75"/>
      <c r="CW505" s="75"/>
      <c r="CX505" s="75"/>
      <c r="CY505" s="75"/>
      <c r="CZ505" s="75"/>
      <c r="DA505" s="75"/>
      <c r="DB505" s="75"/>
      <c r="DC505" s="75"/>
      <c r="DD505" s="75"/>
      <c r="DE505" s="75"/>
      <c r="DF505" s="75"/>
      <c r="DG505" s="75"/>
      <c r="DH505" s="75"/>
      <c r="DI505" s="75"/>
      <c r="DJ505" s="75"/>
      <c r="DK505" s="75"/>
      <c r="DL505" s="75"/>
      <c r="DM505" s="75"/>
      <c r="DN505" s="75"/>
      <c r="DO505" s="75"/>
      <c r="DP505" s="75"/>
      <c r="DQ505" s="75"/>
      <c r="DR505" s="75"/>
      <c r="DS505" s="75"/>
      <c r="DT505" s="75"/>
      <c r="DU505" s="75"/>
      <c r="DV505" s="75"/>
      <c r="DW505" s="75"/>
      <c r="DX505" s="75"/>
      <c r="DY505" s="75"/>
      <c r="DZ505" s="75"/>
      <c r="EA505" s="75"/>
      <c r="EB505" s="75"/>
      <c r="EC505" s="75"/>
      <c r="ED505" s="75"/>
      <c r="EE505" s="75"/>
      <c r="EF505" s="75"/>
      <c r="EG505" s="75"/>
      <c r="EH505" s="75"/>
      <c r="EI505" s="75"/>
      <c r="EJ505" s="75"/>
      <c r="EK505" s="75"/>
      <c r="EL505" s="75"/>
      <c r="EM505" s="75"/>
      <c r="EN505" s="75"/>
      <c r="EO505" s="75"/>
      <c r="EP505" s="75"/>
      <c r="EQ505" s="75"/>
      <c r="ER505" s="75"/>
      <c r="ES505" s="75"/>
      <c r="ET505" s="75"/>
      <c r="EU505" s="75"/>
      <c r="EV505" s="75"/>
      <c r="EW505" s="75"/>
      <c r="EX505" s="75"/>
      <c r="EY505" s="75"/>
      <c r="EZ505" s="75"/>
      <c r="FA505" s="75"/>
      <c r="FB505" s="75"/>
      <c r="FC505" s="75"/>
      <c r="FD505" s="75"/>
      <c r="FE505" s="75"/>
      <c r="FF505" s="75"/>
      <c r="FG505" s="75"/>
      <c r="FH505" s="75"/>
      <c r="FI505" s="75"/>
      <c r="FJ505" s="75"/>
      <c r="FK505" s="75"/>
      <c r="FL505" s="75"/>
      <c r="FM505" s="75"/>
      <c r="FN505" s="75"/>
      <c r="FO505" s="75"/>
      <c r="FP505" s="75"/>
      <c r="FQ505" s="75"/>
      <c r="FR505" s="75"/>
      <c r="FS505" s="75"/>
      <c r="FT505" s="75"/>
      <c r="FU505" s="75"/>
      <c r="FV505" s="75"/>
      <c r="FW505" s="75"/>
      <c r="FX505" s="75"/>
      <c r="FY505" s="75"/>
      <c r="FZ505" s="75"/>
      <c r="GA505" s="75"/>
      <c r="GB505" s="75"/>
      <c r="GC505" s="75"/>
      <c r="GD505" s="75"/>
      <c r="GE505" s="75"/>
      <c r="GF505" s="75"/>
      <c r="GG505" s="75"/>
      <c r="GH505" s="75"/>
      <c r="GI505" s="75"/>
      <c r="GJ505" s="75"/>
      <c r="GK505" s="75"/>
      <c r="GL505" s="75"/>
      <c r="GM505" s="75"/>
      <c r="GN505" s="75"/>
      <c r="GO505" s="75"/>
      <c r="GP505" s="75"/>
      <c r="GQ505" s="75"/>
      <c r="GR505" s="75"/>
      <c r="GS505" s="75"/>
      <c r="GT505" s="75"/>
      <c r="GU505" s="75"/>
      <c r="GV505" s="75"/>
      <c r="GW505" s="75"/>
      <c r="GX505" s="75"/>
      <c r="GY505" s="75"/>
      <c r="GZ505" s="75"/>
      <c r="HA505" s="75"/>
      <c r="HB505" s="75"/>
      <c r="HC505" s="75"/>
      <c r="HD505" s="75"/>
      <c r="HE505" s="75"/>
      <c r="HF505" s="75"/>
      <c r="HG505" s="75"/>
      <c r="HH505" s="75"/>
      <c r="HI505" s="75"/>
      <c r="HJ505" s="75"/>
      <c r="HK505" s="75"/>
      <c r="HL505" s="75"/>
      <c r="HM505" s="75"/>
      <c r="HN505" s="75"/>
      <c r="HO505" s="75"/>
      <c r="HP505" s="75"/>
      <c r="HQ505" s="75"/>
      <c r="HR505" s="75"/>
      <c r="HS505" s="75"/>
      <c r="HT505" s="75"/>
      <c r="HU505" s="75"/>
      <c r="HV505" s="75"/>
      <c r="HW505" s="75"/>
      <c r="HX505" s="75"/>
      <c r="HY505" s="75"/>
      <c r="HZ505" s="75"/>
      <c r="IA505" s="75"/>
      <c r="IB505" s="75"/>
      <c r="IC505" s="75"/>
      <c r="ID505" s="75"/>
      <c r="IE505" s="75"/>
      <c r="IF505" s="75"/>
      <c r="IG505" s="75"/>
      <c r="IH505" s="75"/>
      <c r="II505" s="75"/>
      <c r="IJ505" s="75"/>
      <c r="IK505" s="75"/>
      <c r="IL505" s="75"/>
      <c r="IM505" s="75"/>
      <c r="IN505" s="75"/>
      <c r="IO505" s="75"/>
      <c r="IP505" s="75"/>
      <c r="IQ505" s="75"/>
      <c r="IR505" s="75"/>
      <c r="IS505" s="75"/>
      <c r="IT505" s="75"/>
      <c r="IU505" s="75"/>
      <c r="IV505" s="75"/>
      <c r="IW505" s="75"/>
      <c r="IX505" s="75"/>
      <c r="IY505" s="75"/>
      <c r="IZ505" s="75"/>
      <c r="JA505" s="75"/>
      <c r="JB505" s="75"/>
      <c r="JC505" s="75"/>
      <c r="JD505" s="75"/>
      <c r="JE505" s="75"/>
      <c r="JF505" s="75"/>
      <c r="JG505" s="75"/>
      <c r="JH505" s="75"/>
      <c r="JI505" s="75"/>
      <c r="JJ505" s="75"/>
      <c r="JK505" s="75"/>
      <c r="JL505" s="75"/>
      <c r="JM505" s="75"/>
      <c r="JN505" s="75"/>
      <c r="JO505" s="75"/>
      <c r="JP505" s="75"/>
      <c r="JQ505" s="75"/>
      <c r="JR505" s="75"/>
      <c r="JS505" s="75"/>
      <c r="JT505" s="75"/>
      <c r="JU505" s="75"/>
      <c r="JV505" s="75"/>
      <c r="JW505" s="75"/>
      <c r="JX505" s="75"/>
      <c r="JY505" s="75"/>
      <c r="JZ505" s="75"/>
      <c r="KA505" s="75"/>
      <c r="KB505" s="75"/>
      <c r="KC505" s="75"/>
      <c r="KD505" s="75"/>
      <c r="KE505" s="75"/>
      <c r="KF505" s="75"/>
      <c r="KG505" s="75"/>
      <c r="KH505" s="75"/>
      <c r="KI505" s="75"/>
      <c r="KJ505" s="75"/>
      <c r="KK505" s="75"/>
      <c r="KL505" s="75"/>
      <c r="KM505" s="75"/>
      <c r="KN505" s="75"/>
      <c r="KO505" s="75"/>
      <c r="KP505" s="75"/>
      <c r="KQ505" s="75"/>
      <c r="KR505" s="75"/>
      <c r="KS505" s="75"/>
      <c r="KT505" s="75"/>
      <c r="KU505" s="75"/>
      <c r="KV505" s="75"/>
      <c r="KW505" s="75"/>
      <c r="KX505" s="75"/>
      <c r="KY505" s="75"/>
      <c r="KZ505" s="75"/>
      <c r="LA505" s="75"/>
      <c r="LB505" s="75"/>
      <c r="LC505" s="75"/>
      <c r="LD505" s="75"/>
      <c r="LE505" s="75"/>
      <c r="LF505" s="75"/>
      <c r="LG505" s="75"/>
      <c r="LH505" s="75"/>
      <c r="LI505" s="75"/>
      <c r="LJ505" s="75"/>
      <c r="LK505" s="75"/>
      <c r="LL505" s="75"/>
      <c r="LM505" s="75"/>
      <c r="LN505" s="75"/>
      <c r="LO505" s="75"/>
      <c r="LP505" s="75"/>
      <c r="LQ505" s="75"/>
      <c r="LR505" s="75"/>
      <c r="LS505" s="75"/>
      <c r="LT505" s="75"/>
      <c r="LU505" s="75"/>
      <c r="LV505" s="75"/>
      <c r="LW505" s="75"/>
      <c r="LX505" s="75"/>
      <c r="LY505" s="75"/>
      <c r="LZ505" s="75"/>
      <c r="MA505" s="75"/>
      <c r="MB505" s="75"/>
      <c r="MC505" s="75"/>
      <c r="MD505" s="75"/>
      <c r="ME505" s="75"/>
      <c r="MF505" s="75"/>
      <c r="MG505" s="75"/>
      <c r="MH505" s="75"/>
      <c r="MI505" s="75"/>
      <c r="MJ505" s="75"/>
      <c r="MK505" s="75"/>
      <c r="ML505" s="75"/>
      <c r="MM505" s="75"/>
      <c r="MN505" s="75"/>
      <c r="MO505" s="75"/>
      <c r="MP505" s="75"/>
      <c r="MQ505" s="75"/>
      <c r="MR505" s="75"/>
      <c r="MS505" s="75"/>
      <c r="MT505" s="75"/>
      <c r="MU505" s="75"/>
      <c r="MV505" s="75"/>
      <c r="MW505" s="75"/>
      <c r="MX505" s="75"/>
      <c r="MY505" s="75"/>
      <c r="MZ505" s="75"/>
      <c r="NA505" s="75"/>
      <c r="NB505" s="75"/>
      <c r="NC505" s="75"/>
      <c r="ND505" s="75"/>
      <c r="NE505" s="75"/>
      <c r="NF505" s="75"/>
      <c r="NG505" s="75"/>
      <c r="NH505" s="75"/>
      <c r="NI505" s="75"/>
      <c r="NJ505" s="75"/>
      <c r="NK505" s="75"/>
      <c r="NL505" s="75"/>
      <c r="NM505" s="75"/>
      <c r="NN505" s="75"/>
      <c r="NO505" s="75"/>
      <c r="NP505" s="75"/>
      <c r="NQ505" s="75"/>
      <c r="NR505" s="75"/>
      <c r="NS505" s="75"/>
      <c r="NT505" s="75"/>
      <c r="NU505" s="75"/>
      <c r="NV505" s="75"/>
      <c r="NW505" s="75"/>
      <c r="NX505" s="75"/>
      <c r="NY505" s="75"/>
      <c r="NZ505" s="75"/>
      <c r="OA505" s="75"/>
      <c r="OB505" s="75"/>
      <c r="OC505" s="75"/>
      <c r="OD505" s="75"/>
      <c r="OE505" s="75"/>
      <c r="OF505" s="75"/>
      <c r="OG505" s="75"/>
      <c r="OH505" s="75"/>
      <c r="OI505" s="75"/>
      <c r="OJ505" s="75"/>
      <c r="OK505" s="75"/>
      <c r="OL505" s="75"/>
      <c r="OM505" s="75"/>
      <c r="ON505" s="75"/>
      <c r="OO505" s="75"/>
      <c r="OP505" s="75"/>
      <c r="OQ505" s="75"/>
      <c r="OR505" s="75"/>
      <c r="OS505" s="75"/>
      <c r="OT505" s="75"/>
      <c r="OU505" s="75"/>
      <c r="OV505" s="75"/>
      <c r="OW505" s="75"/>
      <c r="OX505" s="75"/>
      <c r="OY505" s="75"/>
      <c r="OZ505" s="75"/>
      <c r="PA505" s="75"/>
      <c r="PB505" s="75"/>
      <c r="PC505" s="75"/>
      <c r="PD505" s="75"/>
      <c r="PE505" s="75"/>
      <c r="PF505" s="75"/>
      <c r="PG505" s="75"/>
      <c r="PH505" s="75"/>
      <c r="PI505" s="75"/>
      <c r="PJ505" s="75"/>
      <c r="PK505" s="75"/>
      <c r="PL505" s="75"/>
      <c r="PM505" s="75"/>
      <c r="PN505" s="75"/>
      <c r="PO505" s="75"/>
      <c r="PP505" s="75"/>
      <c r="PQ505" s="75"/>
      <c r="PR505" s="75"/>
      <c r="PS505" s="75"/>
      <c r="PT505" s="75"/>
      <c r="PU505" s="75"/>
      <c r="PV505" s="75"/>
      <c r="PW505" s="75"/>
      <c r="PX505" s="75"/>
      <c r="PY505" s="75"/>
      <c r="PZ505" s="75"/>
      <c r="QA505" s="75"/>
      <c r="QB505" s="75"/>
      <c r="QC505" s="75"/>
      <c r="QD505" s="75"/>
      <c r="QE505" s="75"/>
      <c r="QF505" s="75"/>
      <c r="QG505" s="75"/>
      <c r="QH505" s="75"/>
      <c r="QI505" s="75"/>
      <c r="QJ505" s="75"/>
      <c r="QK505" s="75"/>
      <c r="QL505" s="75"/>
      <c r="QM505" s="75"/>
      <c r="QN505" s="75"/>
      <c r="QO505" s="75"/>
      <c r="QP505" s="75"/>
      <c r="QQ505" s="75"/>
      <c r="QR505" s="75"/>
      <c r="QS505" s="75"/>
      <c r="QT505" s="75"/>
      <c r="QU505" s="75"/>
      <c r="QV505" s="75"/>
      <c r="QW505" s="75"/>
      <c r="QX505" s="75"/>
      <c r="QY505" s="75"/>
      <c r="QZ505" s="75"/>
      <c r="RA505" s="75"/>
      <c r="RB505" s="75"/>
      <c r="RC505" s="75"/>
      <c r="RD505" s="75"/>
      <c r="RE505" s="75"/>
      <c r="RF505" s="75"/>
      <c r="RG505" s="75"/>
      <c r="RH505" s="75"/>
      <c r="RI505" s="75"/>
      <c r="RJ505" s="75"/>
      <c r="RK505" s="75"/>
      <c r="RL505" s="75"/>
      <c r="RM505" s="75"/>
      <c r="RN505" s="75"/>
      <c r="RO505" s="75"/>
      <c r="RP505" s="75"/>
      <c r="RQ505" s="75"/>
      <c r="RR505" s="75"/>
      <c r="RS505" s="75"/>
      <c r="RT505" s="75"/>
      <c r="RU505" s="75"/>
      <c r="RV505" s="75"/>
      <c r="RW505" s="75"/>
      <c r="RX505" s="75"/>
      <c r="RY505" s="75"/>
      <c r="RZ505" s="75"/>
      <c r="SA505" s="75"/>
      <c r="SB505" s="75"/>
      <c r="SC505" s="75"/>
      <c r="SD505" s="75"/>
      <c r="SE505" s="75"/>
      <c r="SF505" s="75"/>
      <c r="SG505" s="75"/>
      <c r="SH505" s="75"/>
      <c r="SI505" s="75"/>
      <c r="SJ505" s="75"/>
      <c r="SK505" s="75"/>
      <c r="SL505" s="75"/>
      <c r="SM505" s="75"/>
      <c r="SN505" s="75"/>
      <c r="SO505" s="75"/>
      <c r="SP505" s="75"/>
      <c r="SQ505" s="75"/>
      <c r="SR505" s="75"/>
      <c r="SS505" s="75"/>
      <c r="ST505" s="75"/>
      <c r="SU505" s="75"/>
      <c r="SV505" s="75"/>
      <c r="SW505" s="75"/>
      <c r="SX505" s="75"/>
      <c r="SY505" s="75"/>
      <c r="SZ505" s="75"/>
      <c r="TA505" s="75"/>
      <c r="TB505" s="75"/>
      <c r="TC505" s="75"/>
      <c r="TD505" s="75"/>
      <c r="TE505" s="75"/>
      <c r="TF505" s="75"/>
      <c r="TG505" s="75"/>
      <c r="TH505" s="75"/>
      <c r="TI505" s="75"/>
      <c r="TJ505" s="75"/>
      <c r="TK505" s="75"/>
      <c r="TL505" s="75"/>
      <c r="TM505" s="75"/>
      <c r="TN505" s="75"/>
      <c r="TO505" s="75"/>
      <c r="TP505" s="75"/>
      <c r="TQ505" s="75"/>
      <c r="TR505" s="75"/>
      <c r="TS505" s="75"/>
      <c r="TT505" s="75"/>
      <c r="TU505" s="75"/>
      <c r="TV505" s="75"/>
      <c r="TW505" s="75"/>
      <c r="TX505" s="75"/>
      <c r="TY505" s="75"/>
      <c r="TZ505" s="75"/>
      <c r="UA505" s="75"/>
      <c r="UB505" s="75"/>
      <c r="UC505" s="75"/>
      <c r="UD505" s="75"/>
      <c r="UE505" s="75"/>
      <c r="UF505" s="75"/>
      <c r="UG505" s="75"/>
      <c r="UH505" s="75"/>
      <c r="UI505" s="75"/>
      <c r="UJ505" s="75"/>
      <c r="UK505" s="75"/>
      <c r="UL505" s="75"/>
      <c r="UM505" s="75"/>
      <c r="UN505" s="75"/>
      <c r="UO505" s="75"/>
      <c r="UP505" s="75"/>
      <c r="UQ505" s="75"/>
      <c r="UR505" s="75"/>
      <c r="US505" s="75"/>
      <c r="UT505" s="75"/>
      <c r="UU505" s="75"/>
      <c r="UV505" s="75"/>
      <c r="UW505" s="75"/>
      <c r="UX505" s="75"/>
      <c r="UY505" s="75"/>
      <c r="UZ505" s="75"/>
      <c r="VA505" s="75"/>
      <c r="VB505" s="75"/>
      <c r="VC505" s="75"/>
      <c r="VD505" s="75"/>
      <c r="VE505" s="75"/>
      <c r="VF505" s="75"/>
      <c r="VG505" s="75"/>
      <c r="VH505" s="75"/>
      <c r="VI505" s="75"/>
      <c r="VJ505" s="75"/>
      <c r="VK505" s="75"/>
      <c r="VL505" s="75"/>
      <c r="VM505" s="75"/>
      <c r="VN505" s="75"/>
      <c r="VO505" s="75"/>
      <c r="VP505" s="75"/>
      <c r="VQ505" s="75"/>
      <c r="VR505" s="75"/>
      <c r="VS505" s="75"/>
      <c r="VT505" s="75"/>
      <c r="VU505" s="75"/>
      <c r="VV505" s="75"/>
      <c r="VW505" s="75"/>
      <c r="VX505" s="75"/>
      <c r="VY505" s="75"/>
      <c r="VZ505" s="75"/>
      <c r="WA505" s="75"/>
      <c r="WB505" s="75"/>
      <c r="WC505" s="75"/>
      <c r="WD505" s="75"/>
      <c r="WE505" s="75"/>
      <c r="WF505" s="75"/>
      <c r="WG505" s="75"/>
      <c r="WH505" s="75"/>
      <c r="WI505" s="75"/>
      <c r="WJ505" s="75"/>
      <c r="WK505" s="75"/>
      <c r="WL505" s="75"/>
      <c r="WM505" s="75"/>
      <c r="WN505" s="75"/>
      <c r="WO505" s="75"/>
      <c r="WP505" s="75"/>
      <c r="WQ505" s="75"/>
      <c r="WR505" s="75"/>
      <c r="WS505" s="75"/>
      <c r="WT505" s="75"/>
      <c r="WU505" s="75"/>
      <c r="WV505" s="75"/>
      <c r="WW505" s="75"/>
      <c r="WX505" s="75"/>
      <c r="WY505" s="75"/>
      <c r="WZ505" s="75"/>
      <c r="XA505" s="75"/>
      <c r="XB505" s="75"/>
      <c r="XC505" s="75"/>
      <c r="XD505" s="75"/>
      <c r="XE505" s="75"/>
      <c r="XF505" s="75"/>
      <c r="XG505" s="75"/>
      <c r="XH505" s="75"/>
      <c r="XI505" s="75"/>
      <c r="XJ505" s="75"/>
      <c r="XK505" s="75"/>
      <c r="XL505" s="75"/>
      <c r="XM505" s="75"/>
      <c r="XN505" s="75"/>
      <c r="XO505" s="75"/>
      <c r="XP505" s="75"/>
      <c r="XQ505" s="75"/>
      <c r="XR505" s="75"/>
      <c r="XS505" s="75"/>
      <c r="XT505" s="75"/>
      <c r="XU505" s="75"/>
      <c r="XV505" s="75"/>
      <c r="XW505" s="75"/>
      <c r="XX505" s="75"/>
      <c r="XY505" s="75"/>
      <c r="XZ505" s="75"/>
      <c r="YA505" s="75"/>
      <c r="YB505" s="75"/>
      <c r="YC505" s="75"/>
      <c r="YD505" s="75"/>
      <c r="YE505" s="75"/>
      <c r="YF505" s="75"/>
      <c r="YG505" s="75"/>
      <c r="YH505" s="75"/>
      <c r="YI505" s="75"/>
      <c r="YJ505" s="75"/>
      <c r="YK505" s="75"/>
      <c r="YL505" s="75"/>
      <c r="YM505" s="75"/>
      <c r="YN505" s="75"/>
      <c r="YO505" s="75"/>
      <c r="YP505" s="75"/>
      <c r="YQ505" s="75"/>
      <c r="YR505" s="75"/>
      <c r="YS505" s="75"/>
      <c r="YT505" s="75"/>
      <c r="YU505" s="75"/>
      <c r="YV505" s="75"/>
      <c r="YW505" s="75"/>
      <c r="YX505" s="75"/>
      <c r="YY505" s="75"/>
      <c r="YZ505" s="75"/>
      <c r="ZA505" s="75"/>
      <c r="ZB505" s="75"/>
      <c r="ZC505" s="75"/>
      <c r="ZD505" s="75"/>
      <c r="ZE505" s="75"/>
      <c r="ZF505" s="75"/>
      <c r="ZG505" s="75"/>
      <c r="ZH505" s="75"/>
      <c r="ZI505" s="75"/>
      <c r="ZJ505" s="75"/>
      <c r="ZK505" s="75"/>
      <c r="ZL505" s="75"/>
      <c r="ZM505" s="75"/>
      <c r="ZN505" s="75"/>
      <c r="ZO505" s="75"/>
      <c r="ZP505" s="75"/>
      <c r="ZQ505" s="75"/>
      <c r="ZR505" s="75"/>
      <c r="ZS505" s="75"/>
      <c r="ZT505" s="75"/>
      <c r="ZU505" s="75"/>
      <c r="ZV505" s="75"/>
      <c r="ZW505" s="75"/>
      <c r="ZX505" s="75"/>
      <c r="ZY505" s="75"/>
      <c r="ZZ505" s="75"/>
      <c r="AAA505" s="75"/>
      <c r="AAB505" s="75"/>
      <c r="AAC505" s="75"/>
      <c r="AAD505" s="75"/>
      <c r="AAE505" s="75"/>
      <c r="AAF505" s="75"/>
      <c r="AAG505" s="75"/>
      <c r="AAH505" s="75"/>
      <c r="AAI505" s="75"/>
      <c r="AAJ505" s="75"/>
      <c r="AAK505" s="75"/>
      <c r="AAL505" s="75"/>
      <c r="AAM505" s="75"/>
      <c r="AAN505" s="75"/>
      <c r="AAO505" s="75"/>
      <c r="AAP505" s="75"/>
      <c r="AAQ505" s="75"/>
      <c r="AAR505" s="75"/>
      <c r="AAS505" s="75"/>
      <c r="AAT505" s="75"/>
      <c r="AAU505" s="75"/>
      <c r="AAV505" s="75"/>
      <c r="AAW505" s="75"/>
      <c r="AAX505" s="75"/>
      <c r="AAY505" s="75"/>
      <c r="AAZ505" s="75"/>
      <c r="ABA505" s="75"/>
      <c r="ABB505" s="75"/>
      <c r="ABC505" s="75"/>
      <c r="ABD505" s="75"/>
      <c r="ABE505" s="75"/>
      <c r="ABF505" s="75"/>
      <c r="ABG505" s="75"/>
      <c r="ABH505" s="75"/>
      <c r="ABI505" s="75"/>
      <c r="ABJ505" s="75"/>
      <c r="ABK505" s="75"/>
      <c r="ABL505" s="75"/>
      <c r="ABM505" s="75"/>
      <c r="ABN505" s="75"/>
      <c r="ABO505" s="75"/>
      <c r="ABP505" s="75"/>
      <c r="ABQ505" s="75"/>
      <c r="ABR505" s="75"/>
      <c r="ABS505" s="75"/>
      <c r="ABT505" s="75"/>
      <c r="ABU505" s="75"/>
      <c r="ABV505" s="75"/>
      <c r="ABW505" s="75"/>
      <c r="ABX505" s="75"/>
      <c r="ABY505" s="75"/>
      <c r="ABZ505" s="75"/>
      <c r="ACA505" s="75"/>
      <c r="ACB505" s="75"/>
      <c r="ACC505" s="75"/>
      <c r="ACD505" s="75"/>
      <c r="ACE505" s="75"/>
      <c r="ACF505" s="75"/>
      <c r="ACG505" s="75"/>
      <c r="ACH505" s="75"/>
      <c r="ACI505" s="75"/>
      <c r="ACJ505" s="75"/>
      <c r="ACK505" s="75"/>
      <c r="ACL505" s="75"/>
      <c r="ACM505" s="75"/>
      <c r="ACN505" s="75"/>
      <c r="ACO505" s="75"/>
      <c r="ACP505" s="75"/>
      <c r="ACQ505" s="75"/>
      <c r="ACR505" s="75"/>
      <c r="ACS505" s="75"/>
      <c r="ACT505" s="75"/>
      <c r="ACU505" s="75"/>
      <c r="ACV505" s="75"/>
      <c r="ACW505" s="75"/>
      <c r="ACX505" s="75"/>
      <c r="ACY505" s="75"/>
      <c r="ACZ505" s="75"/>
      <c r="ADA505" s="75"/>
      <c r="ADB505" s="75"/>
      <c r="ADC505" s="75"/>
      <c r="ADD505" s="75"/>
      <c r="ADE505" s="75"/>
      <c r="ADF505" s="75"/>
      <c r="ADG505" s="75"/>
      <c r="ADH505" s="75"/>
      <c r="ADI505" s="75"/>
      <c r="ADJ505" s="75"/>
      <c r="ADK505" s="75"/>
      <c r="ADL505" s="75"/>
      <c r="ADM505" s="75"/>
      <c r="ADN505" s="75"/>
      <c r="ADO505" s="75"/>
      <c r="ADP505" s="75"/>
      <c r="ADQ505" s="75"/>
      <c r="ADR505" s="75"/>
      <c r="ADS505" s="75"/>
      <c r="ADT505" s="75"/>
      <c r="ADU505" s="75"/>
      <c r="ADV505" s="75"/>
      <c r="ADW505" s="75"/>
      <c r="ADX505" s="75"/>
      <c r="ADY505" s="75"/>
      <c r="ADZ505" s="75"/>
      <c r="AEA505" s="75"/>
      <c r="AEB505" s="75"/>
      <c r="AEC505" s="75"/>
      <c r="AED505" s="75"/>
      <c r="AEE505" s="75"/>
      <c r="AEF505" s="75"/>
      <c r="AEG505" s="75"/>
      <c r="AEH505" s="75"/>
      <c r="AEI505" s="75"/>
      <c r="AEJ505" s="75"/>
      <c r="AEK505" s="75"/>
      <c r="AEL505" s="75"/>
      <c r="AEM505" s="75"/>
      <c r="AEN505" s="75"/>
      <c r="AEO505" s="75"/>
      <c r="AEP505" s="75"/>
      <c r="AEQ505" s="75"/>
      <c r="AER505" s="75"/>
      <c r="AES505" s="75"/>
      <c r="AET505" s="75"/>
      <c r="AEU505" s="75"/>
      <c r="AEV505" s="75"/>
      <c r="AEW505" s="75"/>
      <c r="AEX505" s="75"/>
      <c r="AEY505" s="75"/>
      <c r="AEZ505" s="75"/>
      <c r="AFA505" s="75"/>
      <c r="AFB505" s="75"/>
      <c r="AFC505" s="75"/>
      <c r="AFD505" s="75"/>
      <c r="AFE505" s="75"/>
      <c r="AFF505" s="75"/>
      <c r="AFG505" s="75"/>
      <c r="AFH505" s="75"/>
      <c r="AFI505" s="75"/>
      <c r="AFJ505" s="75"/>
      <c r="AFK505" s="75"/>
      <c r="AFL505" s="75"/>
      <c r="AFM505" s="75"/>
      <c r="AFN505" s="75"/>
      <c r="AFO505" s="75"/>
      <c r="AFP505" s="75"/>
      <c r="AFQ505" s="75"/>
      <c r="AFR505" s="75"/>
      <c r="AFS505" s="75"/>
      <c r="AFT505" s="75"/>
      <c r="AFU505" s="75"/>
      <c r="AFV505" s="75"/>
      <c r="AFW505" s="75"/>
      <c r="AFX505" s="75"/>
      <c r="AFY505" s="75"/>
      <c r="AFZ505" s="75"/>
      <c r="AGA505" s="75"/>
      <c r="AGB505" s="75"/>
      <c r="AGC505" s="75"/>
      <c r="AGD505" s="75"/>
      <c r="AGE505" s="75"/>
      <c r="AGF505" s="75"/>
      <c r="AGG505" s="75"/>
      <c r="AGH505" s="75"/>
      <c r="AGI505" s="75"/>
      <c r="AGJ505" s="75"/>
      <c r="AGK505" s="75"/>
      <c r="AGL505" s="75"/>
      <c r="AGM505" s="75"/>
      <c r="AGN505" s="75"/>
      <c r="AGO505" s="75"/>
      <c r="AGP505" s="75"/>
      <c r="AGQ505" s="75"/>
      <c r="AGR505" s="75"/>
      <c r="AGS505" s="75"/>
      <c r="AGT505" s="75"/>
      <c r="AGU505" s="75"/>
      <c r="AGV505" s="75"/>
      <c r="AGW505" s="75"/>
      <c r="AGX505" s="75"/>
      <c r="AGY505" s="75"/>
      <c r="AGZ505" s="75"/>
      <c r="AHA505" s="75"/>
      <c r="AHB505" s="75"/>
      <c r="AHC505" s="75"/>
      <c r="AHD505" s="75"/>
      <c r="AHE505" s="75"/>
      <c r="AHF505" s="75"/>
      <c r="AHG505" s="75"/>
      <c r="AHH505" s="75"/>
      <c r="AHI505" s="75"/>
      <c r="AHJ505" s="75"/>
      <c r="AHK505" s="75"/>
      <c r="AHL505" s="75"/>
      <c r="AHM505" s="75"/>
      <c r="AHN505" s="75"/>
      <c r="AHO505" s="75"/>
      <c r="AHP505" s="75"/>
      <c r="AHQ505" s="75"/>
      <c r="AHR505" s="75"/>
      <c r="AHS505" s="75"/>
      <c r="AHT505" s="75"/>
      <c r="AHU505" s="75"/>
      <c r="AHV505" s="75"/>
      <c r="AHW505" s="75"/>
      <c r="AHX505" s="75"/>
      <c r="AHY505" s="75"/>
      <c r="AHZ505" s="75"/>
      <c r="AIA505" s="75"/>
      <c r="AIB505" s="75"/>
      <c r="AIC505" s="75"/>
      <c r="AID505" s="75"/>
      <c r="AIE505" s="75"/>
      <c r="AIF505" s="75"/>
      <c r="AIG505" s="75"/>
      <c r="AIH505" s="75"/>
      <c r="AII505" s="75"/>
      <c r="AIJ505" s="75"/>
      <c r="AIK505" s="75"/>
      <c r="AIL505" s="75"/>
      <c r="AIM505" s="75"/>
      <c r="AIN505" s="75"/>
      <c r="AIO505" s="75"/>
      <c r="AIP505" s="75"/>
      <c r="AIQ505" s="75"/>
      <c r="AIR505" s="75"/>
      <c r="AIS505" s="75"/>
      <c r="AIT505" s="75"/>
      <c r="AIU505" s="75"/>
      <c r="AIV505" s="75"/>
      <c r="AIW505" s="75"/>
      <c r="AIX505" s="75"/>
      <c r="AIY505" s="75"/>
      <c r="AIZ505" s="75"/>
      <c r="AJA505" s="75"/>
      <c r="AJB505" s="75"/>
      <c r="AJC505" s="75"/>
      <c r="AJD505" s="75"/>
      <c r="AJE505" s="75"/>
      <c r="AJF505" s="75"/>
      <c r="AJG505" s="75"/>
      <c r="AJH505" s="75"/>
      <c r="AJI505" s="75"/>
      <c r="AJJ505" s="75"/>
      <c r="AJK505" s="75"/>
      <c r="AJL505" s="75"/>
      <c r="AJM505" s="75"/>
      <c r="AJN505" s="75"/>
      <c r="AJO505" s="75"/>
      <c r="AJP505" s="75"/>
      <c r="AJQ505" s="75"/>
      <c r="AJR505" s="75"/>
      <c r="AJS505" s="75"/>
      <c r="AJT505" s="75"/>
      <c r="AJU505" s="75"/>
      <c r="AJV505" s="75"/>
      <c r="AJW505" s="75"/>
      <c r="AJX505" s="75"/>
      <c r="AJY505" s="75"/>
      <c r="AJZ505" s="75"/>
      <c r="AKA505" s="75"/>
      <c r="AKB505" s="75"/>
      <c r="AKC505" s="75"/>
      <c r="AKD505" s="75"/>
      <c r="AKE505" s="75"/>
      <c r="AKF505" s="75"/>
      <c r="AKG505" s="75"/>
      <c r="AKH505" s="75"/>
      <c r="AKI505" s="75"/>
      <c r="AKJ505" s="75"/>
      <c r="AKK505" s="75"/>
      <c r="AKL505" s="75"/>
      <c r="AKM505" s="75"/>
      <c r="AKN505" s="75"/>
      <c r="AKO505" s="75"/>
      <c r="AKP505" s="75"/>
      <c r="AKQ505" s="75"/>
      <c r="AKR505" s="75"/>
      <c r="AKS505" s="75"/>
      <c r="AKT505" s="75"/>
      <c r="AKU505" s="75"/>
      <c r="AKV505" s="75"/>
      <c r="AKW505" s="75"/>
      <c r="AKX505" s="75"/>
      <c r="AKY505" s="75"/>
      <c r="AKZ505" s="75"/>
      <c r="ALA505" s="75"/>
      <c r="ALB505" s="75"/>
      <c r="ALC505" s="75"/>
      <c r="ALD505" s="75"/>
      <c r="ALE505" s="75"/>
      <c r="ALF505" s="75"/>
      <c r="ALG505" s="75"/>
      <c r="ALH505" s="75"/>
      <c r="ALI505" s="75"/>
      <c r="ALJ505" s="75"/>
      <c r="ALK505" s="75"/>
      <c r="ALL505" s="75"/>
      <c r="ALM505" s="75"/>
      <c r="ALN505" s="75"/>
      <c r="ALO505" s="75"/>
    </row>
    <row r="506" spans="1:1003" s="235" customFormat="1" ht="14.55" customHeight="1" outlineLevel="1" x14ac:dyDescent="0.25">
      <c r="A506" s="230" t="s">
        <v>1422</v>
      </c>
      <c r="B506" s="343" t="str">
        <f>"13.0699"</f>
        <v>13.0699</v>
      </c>
      <c r="C506" s="75" t="s">
        <v>2198</v>
      </c>
      <c r="D506" s="127" t="s">
        <v>2199</v>
      </c>
      <c r="E506" s="232"/>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c r="AY506" s="75"/>
      <c r="AZ506" s="75"/>
      <c r="BA506" s="75"/>
      <c r="BB506" s="75"/>
      <c r="BC506" s="75"/>
      <c r="BD506" s="75"/>
      <c r="BE506" s="75"/>
      <c r="BF506" s="75"/>
      <c r="BG506" s="75"/>
      <c r="BH506" s="75"/>
      <c r="BI506" s="75"/>
      <c r="BJ506" s="75"/>
      <c r="BK506" s="75"/>
      <c r="BL506" s="75"/>
      <c r="BM506" s="75"/>
      <c r="BN506" s="75"/>
      <c r="BO506" s="75"/>
      <c r="BP506" s="75"/>
      <c r="BQ506" s="75"/>
      <c r="BR506" s="75"/>
      <c r="BS506" s="75"/>
      <c r="BT506" s="75"/>
      <c r="BU506" s="75"/>
      <c r="BV506" s="75"/>
      <c r="BW506" s="75"/>
      <c r="BX506" s="75"/>
      <c r="BY506" s="75"/>
      <c r="BZ506" s="75"/>
      <c r="CA506" s="75"/>
      <c r="CB506" s="75"/>
      <c r="CC506" s="75"/>
      <c r="CD506" s="75"/>
      <c r="CE506" s="75"/>
      <c r="CF506" s="75"/>
      <c r="CG506" s="75"/>
      <c r="CH506" s="75"/>
      <c r="CI506" s="75"/>
      <c r="CJ506" s="75"/>
      <c r="CK506" s="75"/>
      <c r="CL506" s="75"/>
      <c r="CM506" s="75"/>
      <c r="CN506" s="75"/>
      <c r="CO506" s="75"/>
      <c r="CP506" s="75"/>
      <c r="CQ506" s="75"/>
      <c r="CR506" s="75"/>
      <c r="CS506" s="75"/>
      <c r="CT506" s="75"/>
      <c r="CU506" s="75"/>
      <c r="CV506" s="75"/>
      <c r="CW506" s="75"/>
      <c r="CX506" s="75"/>
      <c r="CY506" s="75"/>
      <c r="CZ506" s="75"/>
      <c r="DA506" s="75"/>
      <c r="DB506" s="75"/>
      <c r="DC506" s="75"/>
      <c r="DD506" s="75"/>
      <c r="DE506" s="75"/>
      <c r="DF506" s="75"/>
      <c r="DG506" s="75"/>
      <c r="DH506" s="75"/>
      <c r="DI506" s="75"/>
      <c r="DJ506" s="75"/>
      <c r="DK506" s="75"/>
      <c r="DL506" s="75"/>
      <c r="DM506" s="75"/>
      <c r="DN506" s="75"/>
      <c r="DO506" s="75"/>
      <c r="DP506" s="75"/>
      <c r="DQ506" s="75"/>
      <c r="DR506" s="75"/>
      <c r="DS506" s="75"/>
      <c r="DT506" s="75"/>
      <c r="DU506" s="75"/>
      <c r="DV506" s="75"/>
      <c r="DW506" s="75"/>
      <c r="DX506" s="75"/>
      <c r="DY506" s="75"/>
      <c r="DZ506" s="75"/>
      <c r="EA506" s="75"/>
      <c r="EB506" s="75"/>
      <c r="EC506" s="75"/>
      <c r="ED506" s="75"/>
      <c r="EE506" s="75"/>
      <c r="EF506" s="75"/>
      <c r="EG506" s="75"/>
      <c r="EH506" s="75"/>
      <c r="EI506" s="75"/>
      <c r="EJ506" s="75"/>
      <c r="EK506" s="75"/>
      <c r="EL506" s="75"/>
      <c r="EM506" s="75"/>
      <c r="EN506" s="75"/>
      <c r="EO506" s="75"/>
      <c r="EP506" s="75"/>
      <c r="EQ506" s="75"/>
      <c r="ER506" s="75"/>
      <c r="ES506" s="75"/>
      <c r="ET506" s="75"/>
      <c r="EU506" s="75"/>
      <c r="EV506" s="75"/>
      <c r="EW506" s="75"/>
      <c r="EX506" s="75"/>
      <c r="EY506" s="75"/>
      <c r="EZ506" s="75"/>
      <c r="FA506" s="75"/>
      <c r="FB506" s="75"/>
      <c r="FC506" s="75"/>
      <c r="FD506" s="75"/>
      <c r="FE506" s="75"/>
      <c r="FF506" s="75"/>
      <c r="FG506" s="75"/>
      <c r="FH506" s="75"/>
      <c r="FI506" s="75"/>
      <c r="FJ506" s="75"/>
      <c r="FK506" s="75"/>
      <c r="FL506" s="75"/>
      <c r="FM506" s="75"/>
      <c r="FN506" s="75"/>
      <c r="FO506" s="75"/>
      <c r="FP506" s="75"/>
      <c r="FQ506" s="75"/>
      <c r="FR506" s="75"/>
      <c r="FS506" s="75"/>
      <c r="FT506" s="75"/>
      <c r="FU506" s="75"/>
      <c r="FV506" s="75"/>
      <c r="FW506" s="75"/>
      <c r="FX506" s="75"/>
      <c r="FY506" s="75"/>
      <c r="FZ506" s="75"/>
      <c r="GA506" s="75"/>
      <c r="GB506" s="75"/>
      <c r="GC506" s="75"/>
      <c r="GD506" s="75"/>
      <c r="GE506" s="75"/>
      <c r="GF506" s="75"/>
      <c r="GG506" s="75"/>
      <c r="GH506" s="75"/>
      <c r="GI506" s="75"/>
      <c r="GJ506" s="75"/>
      <c r="GK506" s="75"/>
      <c r="GL506" s="75"/>
      <c r="GM506" s="75"/>
      <c r="GN506" s="75"/>
      <c r="GO506" s="75"/>
      <c r="GP506" s="75"/>
      <c r="GQ506" s="75"/>
      <c r="GR506" s="75"/>
      <c r="GS506" s="75"/>
      <c r="GT506" s="75"/>
      <c r="GU506" s="75"/>
      <c r="GV506" s="75"/>
      <c r="GW506" s="75"/>
      <c r="GX506" s="75"/>
      <c r="GY506" s="75"/>
      <c r="GZ506" s="75"/>
      <c r="HA506" s="75"/>
      <c r="HB506" s="75"/>
      <c r="HC506" s="75"/>
      <c r="HD506" s="75"/>
      <c r="HE506" s="75"/>
      <c r="HF506" s="75"/>
      <c r="HG506" s="75"/>
      <c r="HH506" s="75"/>
      <c r="HI506" s="75"/>
      <c r="HJ506" s="75"/>
      <c r="HK506" s="75"/>
      <c r="HL506" s="75"/>
      <c r="HM506" s="75"/>
      <c r="HN506" s="75"/>
      <c r="HO506" s="75"/>
      <c r="HP506" s="75"/>
      <c r="HQ506" s="75"/>
      <c r="HR506" s="75"/>
      <c r="HS506" s="75"/>
      <c r="HT506" s="75"/>
      <c r="HU506" s="75"/>
      <c r="HV506" s="75"/>
      <c r="HW506" s="75"/>
      <c r="HX506" s="75"/>
      <c r="HY506" s="75"/>
      <c r="HZ506" s="75"/>
      <c r="IA506" s="75"/>
      <c r="IB506" s="75"/>
      <c r="IC506" s="75"/>
      <c r="ID506" s="75"/>
      <c r="IE506" s="75"/>
      <c r="IF506" s="75"/>
      <c r="IG506" s="75"/>
      <c r="IH506" s="75"/>
      <c r="II506" s="75"/>
      <c r="IJ506" s="75"/>
      <c r="IK506" s="75"/>
      <c r="IL506" s="75"/>
      <c r="IM506" s="75"/>
      <c r="IN506" s="75"/>
      <c r="IO506" s="75"/>
      <c r="IP506" s="75"/>
      <c r="IQ506" s="75"/>
      <c r="IR506" s="75"/>
      <c r="IS506" s="75"/>
      <c r="IT506" s="75"/>
      <c r="IU506" s="75"/>
      <c r="IV506" s="75"/>
      <c r="IW506" s="75"/>
      <c r="IX506" s="75"/>
      <c r="IY506" s="75"/>
      <c r="IZ506" s="75"/>
      <c r="JA506" s="75"/>
      <c r="JB506" s="75"/>
      <c r="JC506" s="75"/>
      <c r="JD506" s="75"/>
      <c r="JE506" s="75"/>
      <c r="JF506" s="75"/>
      <c r="JG506" s="75"/>
      <c r="JH506" s="75"/>
      <c r="JI506" s="75"/>
      <c r="JJ506" s="75"/>
      <c r="JK506" s="75"/>
      <c r="JL506" s="75"/>
      <c r="JM506" s="75"/>
      <c r="JN506" s="75"/>
      <c r="JO506" s="75"/>
      <c r="JP506" s="75"/>
      <c r="JQ506" s="75"/>
      <c r="JR506" s="75"/>
      <c r="JS506" s="75"/>
      <c r="JT506" s="75"/>
      <c r="JU506" s="75"/>
      <c r="JV506" s="75"/>
      <c r="JW506" s="75"/>
      <c r="JX506" s="75"/>
      <c r="JY506" s="75"/>
      <c r="JZ506" s="75"/>
      <c r="KA506" s="75"/>
      <c r="KB506" s="75"/>
      <c r="KC506" s="75"/>
      <c r="KD506" s="75"/>
      <c r="KE506" s="75"/>
      <c r="KF506" s="75"/>
      <c r="KG506" s="75"/>
      <c r="KH506" s="75"/>
      <c r="KI506" s="75"/>
      <c r="KJ506" s="75"/>
      <c r="KK506" s="75"/>
      <c r="KL506" s="75"/>
      <c r="KM506" s="75"/>
      <c r="KN506" s="75"/>
      <c r="KO506" s="75"/>
      <c r="KP506" s="75"/>
      <c r="KQ506" s="75"/>
      <c r="KR506" s="75"/>
      <c r="KS506" s="75"/>
      <c r="KT506" s="75"/>
      <c r="KU506" s="75"/>
      <c r="KV506" s="75"/>
      <c r="KW506" s="75"/>
      <c r="KX506" s="75"/>
      <c r="KY506" s="75"/>
      <c r="KZ506" s="75"/>
      <c r="LA506" s="75"/>
      <c r="LB506" s="75"/>
      <c r="LC506" s="75"/>
      <c r="LD506" s="75"/>
      <c r="LE506" s="75"/>
      <c r="LF506" s="75"/>
      <c r="LG506" s="75"/>
      <c r="LH506" s="75"/>
      <c r="LI506" s="75"/>
      <c r="LJ506" s="75"/>
      <c r="LK506" s="75"/>
      <c r="LL506" s="75"/>
      <c r="LM506" s="75"/>
      <c r="LN506" s="75"/>
      <c r="LO506" s="75"/>
      <c r="LP506" s="75"/>
      <c r="LQ506" s="75"/>
      <c r="LR506" s="75"/>
      <c r="LS506" s="75"/>
      <c r="LT506" s="75"/>
      <c r="LU506" s="75"/>
      <c r="LV506" s="75"/>
      <c r="LW506" s="75"/>
      <c r="LX506" s="75"/>
      <c r="LY506" s="75"/>
      <c r="LZ506" s="75"/>
      <c r="MA506" s="75"/>
      <c r="MB506" s="75"/>
      <c r="MC506" s="75"/>
      <c r="MD506" s="75"/>
      <c r="ME506" s="75"/>
      <c r="MF506" s="75"/>
      <c r="MG506" s="75"/>
      <c r="MH506" s="75"/>
      <c r="MI506" s="75"/>
      <c r="MJ506" s="75"/>
      <c r="MK506" s="75"/>
      <c r="ML506" s="75"/>
      <c r="MM506" s="75"/>
      <c r="MN506" s="75"/>
      <c r="MO506" s="75"/>
      <c r="MP506" s="75"/>
      <c r="MQ506" s="75"/>
      <c r="MR506" s="75"/>
      <c r="MS506" s="75"/>
      <c r="MT506" s="75"/>
      <c r="MU506" s="75"/>
      <c r="MV506" s="75"/>
      <c r="MW506" s="75"/>
      <c r="MX506" s="75"/>
      <c r="MY506" s="75"/>
      <c r="MZ506" s="75"/>
      <c r="NA506" s="75"/>
      <c r="NB506" s="75"/>
      <c r="NC506" s="75"/>
      <c r="ND506" s="75"/>
      <c r="NE506" s="75"/>
      <c r="NF506" s="75"/>
      <c r="NG506" s="75"/>
      <c r="NH506" s="75"/>
      <c r="NI506" s="75"/>
      <c r="NJ506" s="75"/>
      <c r="NK506" s="75"/>
      <c r="NL506" s="75"/>
      <c r="NM506" s="75"/>
      <c r="NN506" s="75"/>
      <c r="NO506" s="75"/>
      <c r="NP506" s="75"/>
      <c r="NQ506" s="75"/>
      <c r="NR506" s="75"/>
      <c r="NS506" s="75"/>
      <c r="NT506" s="75"/>
      <c r="NU506" s="75"/>
      <c r="NV506" s="75"/>
      <c r="NW506" s="75"/>
      <c r="NX506" s="75"/>
      <c r="NY506" s="75"/>
      <c r="NZ506" s="75"/>
      <c r="OA506" s="75"/>
      <c r="OB506" s="75"/>
      <c r="OC506" s="75"/>
      <c r="OD506" s="75"/>
      <c r="OE506" s="75"/>
      <c r="OF506" s="75"/>
      <c r="OG506" s="75"/>
      <c r="OH506" s="75"/>
      <c r="OI506" s="75"/>
      <c r="OJ506" s="75"/>
      <c r="OK506" s="75"/>
      <c r="OL506" s="75"/>
      <c r="OM506" s="75"/>
      <c r="ON506" s="75"/>
      <c r="OO506" s="75"/>
      <c r="OP506" s="75"/>
      <c r="OQ506" s="75"/>
      <c r="OR506" s="75"/>
      <c r="OS506" s="75"/>
      <c r="OT506" s="75"/>
      <c r="OU506" s="75"/>
      <c r="OV506" s="75"/>
      <c r="OW506" s="75"/>
      <c r="OX506" s="75"/>
      <c r="OY506" s="75"/>
      <c r="OZ506" s="75"/>
      <c r="PA506" s="75"/>
      <c r="PB506" s="75"/>
      <c r="PC506" s="75"/>
      <c r="PD506" s="75"/>
      <c r="PE506" s="75"/>
      <c r="PF506" s="75"/>
      <c r="PG506" s="75"/>
      <c r="PH506" s="75"/>
      <c r="PI506" s="75"/>
      <c r="PJ506" s="75"/>
      <c r="PK506" s="75"/>
      <c r="PL506" s="75"/>
      <c r="PM506" s="75"/>
      <c r="PN506" s="75"/>
      <c r="PO506" s="75"/>
      <c r="PP506" s="75"/>
      <c r="PQ506" s="75"/>
      <c r="PR506" s="75"/>
      <c r="PS506" s="75"/>
      <c r="PT506" s="75"/>
      <c r="PU506" s="75"/>
      <c r="PV506" s="75"/>
      <c r="PW506" s="75"/>
      <c r="PX506" s="75"/>
      <c r="PY506" s="75"/>
      <c r="PZ506" s="75"/>
      <c r="QA506" s="75"/>
      <c r="QB506" s="75"/>
      <c r="QC506" s="75"/>
      <c r="QD506" s="75"/>
      <c r="QE506" s="75"/>
      <c r="QF506" s="75"/>
      <c r="QG506" s="75"/>
      <c r="QH506" s="75"/>
      <c r="QI506" s="75"/>
      <c r="QJ506" s="75"/>
      <c r="QK506" s="75"/>
      <c r="QL506" s="75"/>
      <c r="QM506" s="75"/>
      <c r="QN506" s="75"/>
      <c r="QO506" s="75"/>
      <c r="QP506" s="75"/>
      <c r="QQ506" s="75"/>
      <c r="QR506" s="75"/>
      <c r="QS506" s="75"/>
      <c r="QT506" s="75"/>
      <c r="QU506" s="75"/>
      <c r="QV506" s="75"/>
      <c r="QW506" s="75"/>
      <c r="QX506" s="75"/>
      <c r="QY506" s="75"/>
      <c r="QZ506" s="75"/>
      <c r="RA506" s="75"/>
      <c r="RB506" s="75"/>
      <c r="RC506" s="75"/>
      <c r="RD506" s="75"/>
      <c r="RE506" s="75"/>
      <c r="RF506" s="75"/>
      <c r="RG506" s="75"/>
      <c r="RH506" s="75"/>
      <c r="RI506" s="75"/>
      <c r="RJ506" s="75"/>
      <c r="RK506" s="75"/>
      <c r="RL506" s="75"/>
      <c r="RM506" s="75"/>
      <c r="RN506" s="75"/>
      <c r="RO506" s="75"/>
      <c r="RP506" s="75"/>
      <c r="RQ506" s="75"/>
      <c r="RR506" s="75"/>
      <c r="RS506" s="75"/>
      <c r="RT506" s="75"/>
      <c r="RU506" s="75"/>
      <c r="RV506" s="75"/>
      <c r="RW506" s="75"/>
      <c r="RX506" s="75"/>
      <c r="RY506" s="75"/>
      <c r="RZ506" s="75"/>
      <c r="SA506" s="75"/>
      <c r="SB506" s="75"/>
      <c r="SC506" s="75"/>
      <c r="SD506" s="75"/>
      <c r="SE506" s="75"/>
      <c r="SF506" s="75"/>
      <c r="SG506" s="75"/>
      <c r="SH506" s="75"/>
      <c r="SI506" s="75"/>
      <c r="SJ506" s="75"/>
      <c r="SK506" s="75"/>
      <c r="SL506" s="75"/>
      <c r="SM506" s="75"/>
      <c r="SN506" s="75"/>
      <c r="SO506" s="75"/>
      <c r="SP506" s="75"/>
      <c r="SQ506" s="75"/>
      <c r="SR506" s="75"/>
      <c r="SS506" s="75"/>
      <c r="ST506" s="75"/>
      <c r="SU506" s="75"/>
      <c r="SV506" s="75"/>
      <c r="SW506" s="75"/>
      <c r="SX506" s="75"/>
      <c r="SY506" s="75"/>
      <c r="SZ506" s="75"/>
      <c r="TA506" s="75"/>
      <c r="TB506" s="75"/>
      <c r="TC506" s="75"/>
      <c r="TD506" s="75"/>
      <c r="TE506" s="75"/>
      <c r="TF506" s="75"/>
      <c r="TG506" s="75"/>
      <c r="TH506" s="75"/>
      <c r="TI506" s="75"/>
      <c r="TJ506" s="75"/>
      <c r="TK506" s="75"/>
      <c r="TL506" s="75"/>
      <c r="TM506" s="75"/>
      <c r="TN506" s="75"/>
      <c r="TO506" s="75"/>
      <c r="TP506" s="75"/>
      <c r="TQ506" s="75"/>
      <c r="TR506" s="75"/>
      <c r="TS506" s="75"/>
      <c r="TT506" s="75"/>
      <c r="TU506" s="75"/>
      <c r="TV506" s="75"/>
      <c r="TW506" s="75"/>
      <c r="TX506" s="75"/>
      <c r="TY506" s="75"/>
      <c r="TZ506" s="75"/>
      <c r="UA506" s="75"/>
      <c r="UB506" s="75"/>
      <c r="UC506" s="75"/>
      <c r="UD506" s="75"/>
      <c r="UE506" s="75"/>
      <c r="UF506" s="75"/>
      <c r="UG506" s="75"/>
      <c r="UH506" s="75"/>
      <c r="UI506" s="75"/>
      <c r="UJ506" s="75"/>
      <c r="UK506" s="75"/>
      <c r="UL506" s="75"/>
      <c r="UM506" s="75"/>
      <c r="UN506" s="75"/>
      <c r="UO506" s="75"/>
      <c r="UP506" s="75"/>
      <c r="UQ506" s="75"/>
      <c r="UR506" s="75"/>
      <c r="US506" s="75"/>
      <c r="UT506" s="75"/>
      <c r="UU506" s="75"/>
      <c r="UV506" s="75"/>
      <c r="UW506" s="75"/>
      <c r="UX506" s="75"/>
      <c r="UY506" s="75"/>
      <c r="UZ506" s="75"/>
      <c r="VA506" s="75"/>
      <c r="VB506" s="75"/>
      <c r="VC506" s="75"/>
      <c r="VD506" s="75"/>
      <c r="VE506" s="75"/>
      <c r="VF506" s="75"/>
      <c r="VG506" s="75"/>
      <c r="VH506" s="75"/>
      <c r="VI506" s="75"/>
      <c r="VJ506" s="75"/>
      <c r="VK506" s="75"/>
      <c r="VL506" s="75"/>
      <c r="VM506" s="75"/>
      <c r="VN506" s="75"/>
      <c r="VO506" s="75"/>
      <c r="VP506" s="75"/>
      <c r="VQ506" s="75"/>
      <c r="VR506" s="75"/>
      <c r="VS506" s="75"/>
      <c r="VT506" s="75"/>
      <c r="VU506" s="75"/>
      <c r="VV506" s="75"/>
      <c r="VW506" s="75"/>
      <c r="VX506" s="75"/>
      <c r="VY506" s="75"/>
      <c r="VZ506" s="75"/>
      <c r="WA506" s="75"/>
      <c r="WB506" s="75"/>
      <c r="WC506" s="75"/>
      <c r="WD506" s="75"/>
      <c r="WE506" s="75"/>
      <c r="WF506" s="75"/>
      <c r="WG506" s="75"/>
      <c r="WH506" s="75"/>
      <c r="WI506" s="75"/>
      <c r="WJ506" s="75"/>
      <c r="WK506" s="75"/>
      <c r="WL506" s="75"/>
      <c r="WM506" s="75"/>
      <c r="WN506" s="75"/>
      <c r="WO506" s="75"/>
      <c r="WP506" s="75"/>
      <c r="WQ506" s="75"/>
      <c r="WR506" s="75"/>
      <c r="WS506" s="75"/>
      <c r="WT506" s="75"/>
      <c r="WU506" s="75"/>
      <c r="WV506" s="75"/>
      <c r="WW506" s="75"/>
      <c r="WX506" s="75"/>
      <c r="WY506" s="75"/>
      <c r="WZ506" s="75"/>
      <c r="XA506" s="75"/>
      <c r="XB506" s="75"/>
      <c r="XC506" s="75"/>
      <c r="XD506" s="75"/>
      <c r="XE506" s="75"/>
      <c r="XF506" s="75"/>
      <c r="XG506" s="75"/>
      <c r="XH506" s="75"/>
      <c r="XI506" s="75"/>
      <c r="XJ506" s="75"/>
      <c r="XK506" s="75"/>
      <c r="XL506" s="75"/>
      <c r="XM506" s="75"/>
      <c r="XN506" s="75"/>
      <c r="XO506" s="75"/>
      <c r="XP506" s="75"/>
      <c r="XQ506" s="75"/>
      <c r="XR506" s="75"/>
      <c r="XS506" s="75"/>
      <c r="XT506" s="75"/>
      <c r="XU506" s="75"/>
      <c r="XV506" s="75"/>
      <c r="XW506" s="75"/>
      <c r="XX506" s="75"/>
      <c r="XY506" s="75"/>
      <c r="XZ506" s="75"/>
      <c r="YA506" s="75"/>
      <c r="YB506" s="75"/>
      <c r="YC506" s="75"/>
      <c r="YD506" s="75"/>
      <c r="YE506" s="75"/>
      <c r="YF506" s="75"/>
      <c r="YG506" s="75"/>
      <c r="YH506" s="75"/>
      <c r="YI506" s="75"/>
      <c r="YJ506" s="75"/>
      <c r="YK506" s="75"/>
      <c r="YL506" s="75"/>
      <c r="YM506" s="75"/>
      <c r="YN506" s="75"/>
      <c r="YO506" s="75"/>
      <c r="YP506" s="75"/>
      <c r="YQ506" s="75"/>
      <c r="YR506" s="75"/>
      <c r="YS506" s="75"/>
      <c r="YT506" s="75"/>
      <c r="YU506" s="75"/>
      <c r="YV506" s="75"/>
      <c r="YW506" s="75"/>
      <c r="YX506" s="75"/>
      <c r="YY506" s="75"/>
      <c r="YZ506" s="75"/>
      <c r="ZA506" s="75"/>
      <c r="ZB506" s="75"/>
      <c r="ZC506" s="75"/>
      <c r="ZD506" s="75"/>
      <c r="ZE506" s="75"/>
      <c r="ZF506" s="75"/>
      <c r="ZG506" s="75"/>
      <c r="ZH506" s="75"/>
      <c r="ZI506" s="75"/>
      <c r="ZJ506" s="75"/>
      <c r="ZK506" s="75"/>
      <c r="ZL506" s="75"/>
      <c r="ZM506" s="75"/>
      <c r="ZN506" s="75"/>
      <c r="ZO506" s="75"/>
      <c r="ZP506" s="75"/>
      <c r="ZQ506" s="75"/>
      <c r="ZR506" s="75"/>
      <c r="ZS506" s="75"/>
      <c r="ZT506" s="75"/>
      <c r="ZU506" s="75"/>
      <c r="ZV506" s="75"/>
      <c r="ZW506" s="75"/>
      <c r="ZX506" s="75"/>
      <c r="ZY506" s="75"/>
      <c r="ZZ506" s="75"/>
      <c r="AAA506" s="75"/>
      <c r="AAB506" s="75"/>
      <c r="AAC506" s="75"/>
      <c r="AAD506" s="75"/>
      <c r="AAE506" s="75"/>
      <c r="AAF506" s="75"/>
      <c r="AAG506" s="75"/>
      <c r="AAH506" s="75"/>
      <c r="AAI506" s="75"/>
      <c r="AAJ506" s="75"/>
      <c r="AAK506" s="75"/>
      <c r="AAL506" s="75"/>
      <c r="AAM506" s="75"/>
      <c r="AAN506" s="75"/>
      <c r="AAO506" s="75"/>
      <c r="AAP506" s="75"/>
      <c r="AAQ506" s="75"/>
      <c r="AAR506" s="75"/>
      <c r="AAS506" s="75"/>
      <c r="AAT506" s="75"/>
      <c r="AAU506" s="75"/>
      <c r="AAV506" s="75"/>
      <c r="AAW506" s="75"/>
      <c r="AAX506" s="75"/>
      <c r="AAY506" s="75"/>
      <c r="AAZ506" s="75"/>
      <c r="ABA506" s="75"/>
      <c r="ABB506" s="75"/>
      <c r="ABC506" s="75"/>
      <c r="ABD506" s="75"/>
      <c r="ABE506" s="75"/>
      <c r="ABF506" s="75"/>
      <c r="ABG506" s="75"/>
      <c r="ABH506" s="75"/>
      <c r="ABI506" s="75"/>
      <c r="ABJ506" s="75"/>
      <c r="ABK506" s="75"/>
      <c r="ABL506" s="75"/>
      <c r="ABM506" s="75"/>
      <c r="ABN506" s="75"/>
      <c r="ABO506" s="75"/>
      <c r="ABP506" s="75"/>
      <c r="ABQ506" s="75"/>
      <c r="ABR506" s="75"/>
      <c r="ABS506" s="75"/>
      <c r="ABT506" s="75"/>
      <c r="ABU506" s="75"/>
      <c r="ABV506" s="75"/>
      <c r="ABW506" s="75"/>
      <c r="ABX506" s="75"/>
      <c r="ABY506" s="75"/>
      <c r="ABZ506" s="75"/>
      <c r="ACA506" s="75"/>
      <c r="ACB506" s="75"/>
      <c r="ACC506" s="75"/>
      <c r="ACD506" s="75"/>
      <c r="ACE506" s="75"/>
      <c r="ACF506" s="75"/>
      <c r="ACG506" s="75"/>
      <c r="ACH506" s="75"/>
      <c r="ACI506" s="75"/>
      <c r="ACJ506" s="75"/>
      <c r="ACK506" s="75"/>
      <c r="ACL506" s="75"/>
      <c r="ACM506" s="75"/>
      <c r="ACN506" s="75"/>
      <c r="ACO506" s="75"/>
      <c r="ACP506" s="75"/>
      <c r="ACQ506" s="75"/>
      <c r="ACR506" s="75"/>
      <c r="ACS506" s="75"/>
      <c r="ACT506" s="75"/>
      <c r="ACU506" s="75"/>
      <c r="ACV506" s="75"/>
      <c r="ACW506" s="75"/>
      <c r="ACX506" s="75"/>
      <c r="ACY506" s="75"/>
      <c r="ACZ506" s="75"/>
      <c r="ADA506" s="75"/>
      <c r="ADB506" s="75"/>
      <c r="ADC506" s="75"/>
      <c r="ADD506" s="75"/>
      <c r="ADE506" s="75"/>
      <c r="ADF506" s="75"/>
      <c r="ADG506" s="75"/>
      <c r="ADH506" s="75"/>
      <c r="ADI506" s="75"/>
      <c r="ADJ506" s="75"/>
      <c r="ADK506" s="75"/>
      <c r="ADL506" s="75"/>
      <c r="ADM506" s="75"/>
      <c r="ADN506" s="75"/>
      <c r="ADO506" s="75"/>
      <c r="ADP506" s="75"/>
      <c r="ADQ506" s="75"/>
      <c r="ADR506" s="75"/>
      <c r="ADS506" s="75"/>
      <c r="ADT506" s="75"/>
      <c r="ADU506" s="75"/>
      <c r="ADV506" s="75"/>
      <c r="ADW506" s="75"/>
      <c r="ADX506" s="75"/>
      <c r="ADY506" s="75"/>
      <c r="ADZ506" s="75"/>
      <c r="AEA506" s="75"/>
      <c r="AEB506" s="75"/>
      <c r="AEC506" s="75"/>
      <c r="AED506" s="75"/>
      <c r="AEE506" s="75"/>
      <c r="AEF506" s="75"/>
      <c r="AEG506" s="75"/>
      <c r="AEH506" s="75"/>
      <c r="AEI506" s="75"/>
      <c r="AEJ506" s="75"/>
      <c r="AEK506" s="75"/>
      <c r="AEL506" s="75"/>
      <c r="AEM506" s="75"/>
      <c r="AEN506" s="75"/>
      <c r="AEO506" s="75"/>
      <c r="AEP506" s="75"/>
      <c r="AEQ506" s="75"/>
      <c r="AER506" s="75"/>
      <c r="AES506" s="75"/>
      <c r="AET506" s="75"/>
      <c r="AEU506" s="75"/>
      <c r="AEV506" s="75"/>
      <c r="AEW506" s="75"/>
      <c r="AEX506" s="75"/>
      <c r="AEY506" s="75"/>
      <c r="AEZ506" s="75"/>
      <c r="AFA506" s="75"/>
      <c r="AFB506" s="75"/>
      <c r="AFC506" s="75"/>
      <c r="AFD506" s="75"/>
      <c r="AFE506" s="75"/>
      <c r="AFF506" s="75"/>
      <c r="AFG506" s="75"/>
      <c r="AFH506" s="75"/>
      <c r="AFI506" s="75"/>
      <c r="AFJ506" s="75"/>
      <c r="AFK506" s="75"/>
      <c r="AFL506" s="75"/>
      <c r="AFM506" s="75"/>
      <c r="AFN506" s="75"/>
      <c r="AFO506" s="75"/>
      <c r="AFP506" s="75"/>
      <c r="AFQ506" s="75"/>
      <c r="AFR506" s="75"/>
      <c r="AFS506" s="75"/>
      <c r="AFT506" s="75"/>
      <c r="AFU506" s="75"/>
      <c r="AFV506" s="75"/>
      <c r="AFW506" s="75"/>
      <c r="AFX506" s="75"/>
      <c r="AFY506" s="75"/>
      <c r="AFZ506" s="75"/>
      <c r="AGA506" s="75"/>
      <c r="AGB506" s="75"/>
      <c r="AGC506" s="75"/>
      <c r="AGD506" s="75"/>
      <c r="AGE506" s="75"/>
      <c r="AGF506" s="75"/>
      <c r="AGG506" s="75"/>
      <c r="AGH506" s="75"/>
      <c r="AGI506" s="75"/>
      <c r="AGJ506" s="75"/>
      <c r="AGK506" s="75"/>
      <c r="AGL506" s="75"/>
      <c r="AGM506" s="75"/>
      <c r="AGN506" s="75"/>
      <c r="AGO506" s="75"/>
      <c r="AGP506" s="75"/>
      <c r="AGQ506" s="75"/>
      <c r="AGR506" s="75"/>
      <c r="AGS506" s="75"/>
      <c r="AGT506" s="75"/>
      <c r="AGU506" s="75"/>
      <c r="AGV506" s="75"/>
      <c r="AGW506" s="75"/>
      <c r="AGX506" s="75"/>
      <c r="AGY506" s="75"/>
      <c r="AGZ506" s="75"/>
      <c r="AHA506" s="75"/>
      <c r="AHB506" s="75"/>
      <c r="AHC506" s="75"/>
      <c r="AHD506" s="75"/>
      <c r="AHE506" s="75"/>
      <c r="AHF506" s="75"/>
      <c r="AHG506" s="75"/>
      <c r="AHH506" s="75"/>
      <c r="AHI506" s="75"/>
      <c r="AHJ506" s="75"/>
      <c r="AHK506" s="75"/>
      <c r="AHL506" s="75"/>
      <c r="AHM506" s="75"/>
      <c r="AHN506" s="75"/>
      <c r="AHO506" s="75"/>
      <c r="AHP506" s="75"/>
      <c r="AHQ506" s="75"/>
      <c r="AHR506" s="75"/>
      <c r="AHS506" s="75"/>
      <c r="AHT506" s="75"/>
      <c r="AHU506" s="75"/>
      <c r="AHV506" s="75"/>
      <c r="AHW506" s="75"/>
      <c r="AHX506" s="75"/>
      <c r="AHY506" s="75"/>
      <c r="AHZ506" s="75"/>
      <c r="AIA506" s="75"/>
      <c r="AIB506" s="75"/>
      <c r="AIC506" s="75"/>
      <c r="AID506" s="75"/>
      <c r="AIE506" s="75"/>
      <c r="AIF506" s="75"/>
      <c r="AIG506" s="75"/>
      <c r="AIH506" s="75"/>
      <c r="AII506" s="75"/>
      <c r="AIJ506" s="75"/>
      <c r="AIK506" s="75"/>
      <c r="AIL506" s="75"/>
      <c r="AIM506" s="75"/>
      <c r="AIN506" s="75"/>
      <c r="AIO506" s="75"/>
      <c r="AIP506" s="75"/>
      <c r="AIQ506" s="75"/>
      <c r="AIR506" s="75"/>
      <c r="AIS506" s="75"/>
      <c r="AIT506" s="75"/>
      <c r="AIU506" s="75"/>
      <c r="AIV506" s="75"/>
      <c r="AIW506" s="75"/>
      <c r="AIX506" s="75"/>
      <c r="AIY506" s="75"/>
      <c r="AIZ506" s="75"/>
      <c r="AJA506" s="75"/>
      <c r="AJB506" s="75"/>
      <c r="AJC506" s="75"/>
      <c r="AJD506" s="75"/>
      <c r="AJE506" s="75"/>
      <c r="AJF506" s="75"/>
      <c r="AJG506" s="75"/>
      <c r="AJH506" s="75"/>
      <c r="AJI506" s="75"/>
      <c r="AJJ506" s="75"/>
      <c r="AJK506" s="75"/>
      <c r="AJL506" s="75"/>
      <c r="AJM506" s="75"/>
      <c r="AJN506" s="75"/>
      <c r="AJO506" s="75"/>
      <c r="AJP506" s="75"/>
      <c r="AJQ506" s="75"/>
      <c r="AJR506" s="75"/>
      <c r="AJS506" s="75"/>
      <c r="AJT506" s="75"/>
      <c r="AJU506" s="75"/>
      <c r="AJV506" s="75"/>
      <c r="AJW506" s="75"/>
      <c r="AJX506" s="75"/>
      <c r="AJY506" s="75"/>
      <c r="AJZ506" s="75"/>
      <c r="AKA506" s="75"/>
      <c r="AKB506" s="75"/>
      <c r="AKC506" s="75"/>
      <c r="AKD506" s="75"/>
      <c r="AKE506" s="75"/>
      <c r="AKF506" s="75"/>
      <c r="AKG506" s="75"/>
      <c r="AKH506" s="75"/>
      <c r="AKI506" s="75"/>
      <c r="AKJ506" s="75"/>
      <c r="AKK506" s="75"/>
      <c r="AKL506" s="75"/>
      <c r="AKM506" s="75"/>
      <c r="AKN506" s="75"/>
      <c r="AKO506" s="75"/>
      <c r="AKP506" s="75"/>
      <c r="AKQ506" s="75"/>
      <c r="AKR506" s="75"/>
      <c r="AKS506" s="75"/>
      <c r="AKT506" s="75"/>
      <c r="AKU506" s="75"/>
      <c r="AKV506" s="75"/>
      <c r="AKW506" s="75"/>
      <c r="AKX506" s="75"/>
      <c r="AKY506" s="75"/>
      <c r="AKZ506" s="75"/>
      <c r="ALA506" s="75"/>
      <c r="ALB506" s="75"/>
      <c r="ALC506" s="75"/>
      <c r="ALD506" s="75"/>
      <c r="ALE506" s="75"/>
      <c r="ALF506" s="75"/>
      <c r="ALG506" s="75"/>
      <c r="ALH506" s="75"/>
      <c r="ALI506" s="75"/>
      <c r="ALJ506" s="75"/>
      <c r="ALK506" s="75"/>
      <c r="ALL506" s="75"/>
      <c r="ALM506" s="75"/>
      <c r="ALN506" s="75"/>
      <c r="ALO506" s="75"/>
    </row>
    <row r="507" spans="1:1003" s="235" customFormat="1" ht="14.55" customHeight="1" outlineLevel="1" x14ac:dyDescent="0.25">
      <c r="A507" s="230" t="s">
        <v>1422</v>
      </c>
      <c r="B507" s="343" t="str">
        <f>"13.07"</f>
        <v>13.07</v>
      </c>
      <c r="C507" s="75" t="s">
        <v>2200</v>
      </c>
      <c r="D507" s="127" t="s">
        <v>2201</v>
      </c>
      <c r="E507" s="232"/>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c r="AY507" s="75"/>
      <c r="AZ507" s="75"/>
      <c r="BA507" s="75"/>
      <c r="BB507" s="75"/>
      <c r="BC507" s="75"/>
      <c r="BD507" s="75"/>
      <c r="BE507" s="75"/>
      <c r="BF507" s="75"/>
      <c r="BG507" s="75"/>
      <c r="BH507" s="75"/>
      <c r="BI507" s="75"/>
      <c r="BJ507" s="75"/>
      <c r="BK507" s="75"/>
      <c r="BL507" s="75"/>
      <c r="BM507" s="75"/>
      <c r="BN507" s="75"/>
      <c r="BO507" s="75"/>
      <c r="BP507" s="75"/>
      <c r="BQ507" s="75"/>
      <c r="BR507" s="75"/>
      <c r="BS507" s="75"/>
      <c r="BT507" s="75"/>
      <c r="BU507" s="75"/>
      <c r="BV507" s="75"/>
      <c r="BW507" s="75"/>
      <c r="BX507" s="75"/>
      <c r="BY507" s="75"/>
      <c r="BZ507" s="75"/>
      <c r="CA507" s="75"/>
      <c r="CB507" s="75"/>
      <c r="CC507" s="75"/>
      <c r="CD507" s="75"/>
      <c r="CE507" s="75"/>
      <c r="CF507" s="75"/>
      <c r="CG507" s="75"/>
      <c r="CH507" s="75"/>
      <c r="CI507" s="75"/>
      <c r="CJ507" s="75"/>
      <c r="CK507" s="75"/>
      <c r="CL507" s="75"/>
      <c r="CM507" s="75"/>
      <c r="CN507" s="75"/>
      <c r="CO507" s="75"/>
      <c r="CP507" s="75"/>
      <c r="CQ507" s="75"/>
      <c r="CR507" s="75"/>
      <c r="CS507" s="75"/>
      <c r="CT507" s="75"/>
      <c r="CU507" s="75"/>
      <c r="CV507" s="75"/>
      <c r="CW507" s="75"/>
      <c r="CX507" s="75"/>
      <c r="CY507" s="75"/>
      <c r="CZ507" s="75"/>
      <c r="DA507" s="75"/>
      <c r="DB507" s="75"/>
      <c r="DC507" s="75"/>
      <c r="DD507" s="75"/>
      <c r="DE507" s="75"/>
      <c r="DF507" s="75"/>
      <c r="DG507" s="75"/>
      <c r="DH507" s="75"/>
      <c r="DI507" s="75"/>
      <c r="DJ507" s="75"/>
      <c r="DK507" s="75"/>
      <c r="DL507" s="75"/>
      <c r="DM507" s="75"/>
      <c r="DN507" s="75"/>
      <c r="DO507" s="75"/>
      <c r="DP507" s="75"/>
      <c r="DQ507" s="75"/>
      <c r="DR507" s="75"/>
      <c r="DS507" s="75"/>
      <c r="DT507" s="75"/>
      <c r="DU507" s="75"/>
      <c r="DV507" s="75"/>
      <c r="DW507" s="75"/>
      <c r="DX507" s="75"/>
      <c r="DY507" s="75"/>
      <c r="DZ507" s="75"/>
      <c r="EA507" s="75"/>
      <c r="EB507" s="75"/>
      <c r="EC507" s="75"/>
      <c r="ED507" s="75"/>
      <c r="EE507" s="75"/>
      <c r="EF507" s="75"/>
      <c r="EG507" s="75"/>
      <c r="EH507" s="75"/>
      <c r="EI507" s="75"/>
      <c r="EJ507" s="75"/>
      <c r="EK507" s="75"/>
      <c r="EL507" s="75"/>
      <c r="EM507" s="75"/>
      <c r="EN507" s="75"/>
      <c r="EO507" s="75"/>
      <c r="EP507" s="75"/>
      <c r="EQ507" s="75"/>
      <c r="ER507" s="75"/>
      <c r="ES507" s="75"/>
      <c r="ET507" s="75"/>
      <c r="EU507" s="75"/>
      <c r="EV507" s="75"/>
      <c r="EW507" s="75"/>
      <c r="EX507" s="75"/>
      <c r="EY507" s="75"/>
      <c r="EZ507" s="75"/>
      <c r="FA507" s="75"/>
      <c r="FB507" s="75"/>
      <c r="FC507" s="75"/>
      <c r="FD507" s="75"/>
      <c r="FE507" s="75"/>
      <c r="FF507" s="75"/>
      <c r="FG507" s="75"/>
      <c r="FH507" s="75"/>
      <c r="FI507" s="75"/>
      <c r="FJ507" s="75"/>
      <c r="FK507" s="75"/>
      <c r="FL507" s="75"/>
      <c r="FM507" s="75"/>
      <c r="FN507" s="75"/>
      <c r="FO507" s="75"/>
      <c r="FP507" s="75"/>
      <c r="FQ507" s="75"/>
      <c r="FR507" s="75"/>
      <c r="FS507" s="75"/>
      <c r="FT507" s="75"/>
      <c r="FU507" s="75"/>
      <c r="FV507" s="75"/>
      <c r="FW507" s="75"/>
      <c r="FX507" s="75"/>
      <c r="FY507" s="75"/>
      <c r="FZ507" s="75"/>
      <c r="GA507" s="75"/>
      <c r="GB507" s="75"/>
      <c r="GC507" s="75"/>
      <c r="GD507" s="75"/>
      <c r="GE507" s="75"/>
      <c r="GF507" s="75"/>
      <c r="GG507" s="75"/>
      <c r="GH507" s="75"/>
      <c r="GI507" s="75"/>
      <c r="GJ507" s="75"/>
      <c r="GK507" s="75"/>
      <c r="GL507" s="75"/>
      <c r="GM507" s="75"/>
      <c r="GN507" s="75"/>
      <c r="GO507" s="75"/>
      <c r="GP507" s="75"/>
      <c r="GQ507" s="75"/>
      <c r="GR507" s="75"/>
      <c r="GS507" s="75"/>
      <c r="GT507" s="75"/>
      <c r="GU507" s="75"/>
      <c r="GV507" s="75"/>
      <c r="GW507" s="75"/>
      <c r="GX507" s="75"/>
      <c r="GY507" s="75"/>
      <c r="GZ507" s="75"/>
      <c r="HA507" s="75"/>
      <c r="HB507" s="75"/>
      <c r="HC507" s="75"/>
      <c r="HD507" s="75"/>
      <c r="HE507" s="75"/>
      <c r="HF507" s="75"/>
      <c r="HG507" s="75"/>
      <c r="HH507" s="75"/>
      <c r="HI507" s="75"/>
      <c r="HJ507" s="75"/>
      <c r="HK507" s="75"/>
      <c r="HL507" s="75"/>
      <c r="HM507" s="75"/>
      <c r="HN507" s="75"/>
      <c r="HO507" s="75"/>
      <c r="HP507" s="75"/>
      <c r="HQ507" s="75"/>
      <c r="HR507" s="75"/>
      <c r="HS507" s="75"/>
      <c r="HT507" s="75"/>
      <c r="HU507" s="75"/>
      <c r="HV507" s="75"/>
      <c r="HW507" s="75"/>
      <c r="HX507" s="75"/>
      <c r="HY507" s="75"/>
      <c r="HZ507" s="75"/>
      <c r="IA507" s="75"/>
      <c r="IB507" s="75"/>
      <c r="IC507" s="75"/>
      <c r="ID507" s="75"/>
      <c r="IE507" s="75"/>
      <c r="IF507" s="75"/>
      <c r="IG507" s="75"/>
      <c r="IH507" s="75"/>
      <c r="II507" s="75"/>
      <c r="IJ507" s="75"/>
      <c r="IK507" s="75"/>
      <c r="IL507" s="75"/>
      <c r="IM507" s="75"/>
      <c r="IN507" s="75"/>
      <c r="IO507" s="75"/>
      <c r="IP507" s="75"/>
      <c r="IQ507" s="75"/>
      <c r="IR507" s="75"/>
      <c r="IS507" s="75"/>
      <c r="IT507" s="75"/>
      <c r="IU507" s="75"/>
      <c r="IV507" s="75"/>
      <c r="IW507" s="75"/>
      <c r="IX507" s="75"/>
      <c r="IY507" s="75"/>
      <c r="IZ507" s="75"/>
      <c r="JA507" s="75"/>
      <c r="JB507" s="75"/>
      <c r="JC507" s="75"/>
      <c r="JD507" s="75"/>
      <c r="JE507" s="75"/>
      <c r="JF507" s="75"/>
      <c r="JG507" s="75"/>
      <c r="JH507" s="75"/>
      <c r="JI507" s="75"/>
      <c r="JJ507" s="75"/>
      <c r="JK507" s="75"/>
      <c r="JL507" s="75"/>
      <c r="JM507" s="75"/>
      <c r="JN507" s="75"/>
      <c r="JO507" s="75"/>
      <c r="JP507" s="75"/>
      <c r="JQ507" s="75"/>
      <c r="JR507" s="75"/>
      <c r="JS507" s="75"/>
      <c r="JT507" s="75"/>
      <c r="JU507" s="75"/>
      <c r="JV507" s="75"/>
      <c r="JW507" s="75"/>
      <c r="JX507" s="75"/>
      <c r="JY507" s="75"/>
      <c r="JZ507" s="75"/>
      <c r="KA507" s="75"/>
      <c r="KB507" s="75"/>
      <c r="KC507" s="75"/>
      <c r="KD507" s="75"/>
      <c r="KE507" s="75"/>
      <c r="KF507" s="75"/>
      <c r="KG507" s="75"/>
      <c r="KH507" s="75"/>
      <c r="KI507" s="75"/>
      <c r="KJ507" s="75"/>
      <c r="KK507" s="75"/>
      <c r="KL507" s="75"/>
      <c r="KM507" s="75"/>
      <c r="KN507" s="75"/>
      <c r="KO507" s="75"/>
      <c r="KP507" s="75"/>
      <c r="KQ507" s="75"/>
      <c r="KR507" s="75"/>
      <c r="KS507" s="75"/>
      <c r="KT507" s="75"/>
      <c r="KU507" s="75"/>
      <c r="KV507" s="75"/>
      <c r="KW507" s="75"/>
      <c r="KX507" s="75"/>
      <c r="KY507" s="75"/>
      <c r="KZ507" s="75"/>
      <c r="LA507" s="75"/>
      <c r="LB507" s="75"/>
      <c r="LC507" s="75"/>
      <c r="LD507" s="75"/>
      <c r="LE507" s="75"/>
      <c r="LF507" s="75"/>
      <c r="LG507" s="75"/>
      <c r="LH507" s="75"/>
      <c r="LI507" s="75"/>
      <c r="LJ507" s="75"/>
      <c r="LK507" s="75"/>
      <c r="LL507" s="75"/>
      <c r="LM507" s="75"/>
      <c r="LN507" s="75"/>
      <c r="LO507" s="75"/>
      <c r="LP507" s="75"/>
      <c r="LQ507" s="75"/>
      <c r="LR507" s="75"/>
      <c r="LS507" s="75"/>
      <c r="LT507" s="75"/>
      <c r="LU507" s="75"/>
      <c r="LV507" s="75"/>
      <c r="LW507" s="75"/>
      <c r="LX507" s="75"/>
      <c r="LY507" s="75"/>
      <c r="LZ507" s="75"/>
      <c r="MA507" s="75"/>
      <c r="MB507" s="75"/>
      <c r="MC507" s="75"/>
      <c r="MD507" s="75"/>
      <c r="ME507" s="75"/>
      <c r="MF507" s="75"/>
      <c r="MG507" s="75"/>
      <c r="MH507" s="75"/>
      <c r="MI507" s="75"/>
      <c r="MJ507" s="75"/>
      <c r="MK507" s="75"/>
      <c r="ML507" s="75"/>
      <c r="MM507" s="75"/>
      <c r="MN507" s="75"/>
      <c r="MO507" s="75"/>
      <c r="MP507" s="75"/>
      <c r="MQ507" s="75"/>
      <c r="MR507" s="75"/>
      <c r="MS507" s="75"/>
      <c r="MT507" s="75"/>
      <c r="MU507" s="75"/>
      <c r="MV507" s="75"/>
      <c r="MW507" s="75"/>
      <c r="MX507" s="75"/>
      <c r="MY507" s="75"/>
      <c r="MZ507" s="75"/>
      <c r="NA507" s="75"/>
      <c r="NB507" s="75"/>
      <c r="NC507" s="75"/>
      <c r="ND507" s="75"/>
      <c r="NE507" s="75"/>
      <c r="NF507" s="75"/>
      <c r="NG507" s="75"/>
      <c r="NH507" s="75"/>
      <c r="NI507" s="75"/>
      <c r="NJ507" s="75"/>
      <c r="NK507" s="75"/>
      <c r="NL507" s="75"/>
      <c r="NM507" s="75"/>
      <c r="NN507" s="75"/>
      <c r="NO507" s="75"/>
      <c r="NP507" s="75"/>
      <c r="NQ507" s="75"/>
      <c r="NR507" s="75"/>
      <c r="NS507" s="75"/>
      <c r="NT507" s="75"/>
      <c r="NU507" s="75"/>
      <c r="NV507" s="75"/>
      <c r="NW507" s="75"/>
      <c r="NX507" s="75"/>
      <c r="NY507" s="75"/>
      <c r="NZ507" s="75"/>
      <c r="OA507" s="75"/>
      <c r="OB507" s="75"/>
      <c r="OC507" s="75"/>
      <c r="OD507" s="75"/>
      <c r="OE507" s="75"/>
      <c r="OF507" s="75"/>
      <c r="OG507" s="75"/>
      <c r="OH507" s="75"/>
      <c r="OI507" s="75"/>
      <c r="OJ507" s="75"/>
      <c r="OK507" s="75"/>
      <c r="OL507" s="75"/>
      <c r="OM507" s="75"/>
      <c r="ON507" s="75"/>
      <c r="OO507" s="75"/>
      <c r="OP507" s="75"/>
      <c r="OQ507" s="75"/>
      <c r="OR507" s="75"/>
      <c r="OS507" s="75"/>
      <c r="OT507" s="75"/>
      <c r="OU507" s="75"/>
      <c r="OV507" s="75"/>
      <c r="OW507" s="75"/>
      <c r="OX507" s="75"/>
      <c r="OY507" s="75"/>
      <c r="OZ507" s="75"/>
      <c r="PA507" s="75"/>
      <c r="PB507" s="75"/>
      <c r="PC507" s="75"/>
      <c r="PD507" s="75"/>
      <c r="PE507" s="75"/>
      <c r="PF507" s="75"/>
      <c r="PG507" s="75"/>
      <c r="PH507" s="75"/>
      <c r="PI507" s="75"/>
      <c r="PJ507" s="75"/>
      <c r="PK507" s="75"/>
      <c r="PL507" s="75"/>
      <c r="PM507" s="75"/>
      <c r="PN507" s="75"/>
      <c r="PO507" s="75"/>
      <c r="PP507" s="75"/>
      <c r="PQ507" s="75"/>
      <c r="PR507" s="75"/>
      <c r="PS507" s="75"/>
      <c r="PT507" s="75"/>
      <c r="PU507" s="75"/>
      <c r="PV507" s="75"/>
      <c r="PW507" s="75"/>
      <c r="PX507" s="75"/>
      <c r="PY507" s="75"/>
      <c r="PZ507" s="75"/>
      <c r="QA507" s="75"/>
      <c r="QB507" s="75"/>
      <c r="QC507" s="75"/>
      <c r="QD507" s="75"/>
      <c r="QE507" s="75"/>
      <c r="QF507" s="75"/>
      <c r="QG507" s="75"/>
      <c r="QH507" s="75"/>
      <c r="QI507" s="75"/>
      <c r="QJ507" s="75"/>
      <c r="QK507" s="75"/>
      <c r="QL507" s="75"/>
      <c r="QM507" s="75"/>
      <c r="QN507" s="75"/>
      <c r="QO507" s="75"/>
      <c r="QP507" s="75"/>
      <c r="QQ507" s="75"/>
      <c r="QR507" s="75"/>
      <c r="QS507" s="75"/>
      <c r="QT507" s="75"/>
      <c r="QU507" s="75"/>
      <c r="QV507" s="75"/>
      <c r="QW507" s="75"/>
      <c r="QX507" s="75"/>
      <c r="QY507" s="75"/>
      <c r="QZ507" s="75"/>
      <c r="RA507" s="75"/>
      <c r="RB507" s="75"/>
      <c r="RC507" s="75"/>
      <c r="RD507" s="75"/>
      <c r="RE507" s="75"/>
      <c r="RF507" s="75"/>
      <c r="RG507" s="75"/>
      <c r="RH507" s="75"/>
      <c r="RI507" s="75"/>
      <c r="RJ507" s="75"/>
      <c r="RK507" s="75"/>
      <c r="RL507" s="75"/>
      <c r="RM507" s="75"/>
      <c r="RN507" s="75"/>
      <c r="RO507" s="75"/>
      <c r="RP507" s="75"/>
      <c r="RQ507" s="75"/>
      <c r="RR507" s="75"/>
      <c r="RS507" s="75"/>
      <c r="RT507" s="75"/>
      <c r="RU507" s="75"/>
      <c r="RV507" s="75"/>
      <c r="RW507" s="75"/>
      <c r="RX507" s="75"/>
      <c r="RY507" s="75"/>
      <c r="RZ507" s="75"/>
      <c r="SA507" s="75"/>
      <c r="SB507" s="75"/>
      <c r="SC507" s="75"/>
      <c r="SD507" s="75"/>
      <c r="SE507" s="75"/>
      <c r="SF507" s="75"/>
      <c r="SG507" s="75"/>
      <c r="SH507" s="75"/>
      <c r="SI507" s="75"/>
      <c r="SJ507" s="75"/>
      <c r="SK507" s="75"/>
      <c r="SL507" s="75"/>
      <c r="SM507" s="75"/>
      <c r="SN507" s="75"/>
      <c r="SO507" s="75"/>
      <c r="SP507" s="75"/>
      <c r="SQ507" s="75"/>
      <c r="SR507" s="75"/>
      <c r="SS507" s="75"/>
      <c r="ST507" s="75"/>
      <c r="SU507" s="75"/>
      <c r="SV507" s="75"/>
      <c r="SW507" s="75"/>
      <c r="SX507" s="75"/>
      <c r="SY507" s="75"/>
      <c r="SZ507" s="75"/>
      <c r="TA507" s="75"/>
      <c r="TB507" s="75"/>
      <c r="TC507" s="75"/>
      <c r="TD507" s="75"/>
      <c r="TE507" s="75"/>
      <c r="TF507" s="75"/>
      <c r="TG507" s="75"/>
      <c r="TH507" s="75"/>
      <c r="TI507" s="75"/>
      <c r="TJ507" s="75"/>
      <c r="TK507" s="75"/>
      <c r="TL507" s="75"/>
      <c r="TM507" s="75"/>
      <c r="TN507" s="75"/>
      <c r="TO507" s="75"/>
      <c r="TP507" s="75"/>
      <c r="TQ507" s="75"/>
      <c r="TR507" s="75"/>
      <c r="TS507" s="75"/>
      <c r="TT507" s="75"/>
      <c r="TU507" s="75"/>
      <c r="TV507" s="75"/>
      <c r="TW507" s="75"/>
      <c r="TX507" s="75"/>
      <c r="TY507" s="75"/>
      <c r="TZ507" s="75"/>
      <c r="UA507" s="75"/>
      <c r="UB507" s="75"/>
      <c r="UC507" s="75"/>
      <c r="UD507" s="75"/>
      <c r="UE507" s="75"/>
      <c r="UF507" s="75"/>
      <c r="UG507" s="75"/>
      <c r="UH507" s="75"/>
      <c r="UI507" s="75"/>
      <c r="UJ507" s="75"/>
      <c r="UK507" s="75"/>
      <c r="UL507" s="75"/>
      <c r="UM507" s="75"/>
      <c r="UN507" s="75"/>
      <c r="UO507" s="75"/>
      <c r="UP507" s="75"/>
      <c r="UQ507" s="75"/>
      <c r="UR507" s="75"/>
      <c r="US507" s="75"/>
      <c r="UT507" s="75"/>
      <c r="UU507" s="75"/>
      <c r="UV507" s="75"/>
      <c r="UW507" s="75"/>
      <c r="UX507" s="75"/>
      <c r="UY507" s="75"/>
      <c r="UZ507" s="75"/>
      <c r="VA507" s="75"/>
      <c r="VB507" s="75"/>
      <c r="VC507" s="75"/>
      <c r="VD507" s="75"/>
      <c r="VE507" s="75"/>
      <c r="VF507" s="75"/>
      <c r="VG507" s="75"/>
      <c r="VH507" s="75"/>
      <c r="VI507" s="75"/>
      <c r="VJ507" s="75"/>
      <c r="VK507" s="75"/>
      <c r="VL507" s="75"/>
      <c r="VM507" s="75"/>
      <c r="VN507" s="75"/>
      <c r="VO507" s="75"/>
      <c r="VP507" s="75"/>
      <c r="VQ507" s="75"/>
      <c r="VR507" s="75"/>
      <c r="VS507" s="75"/>
      <c r="VT507" s="75"/>
      <c r="VU507" s="75"/>
      <c r="VV507" s="75"/>
      <c r="VW507" s="75"/>
      <c r="VX507" s="75"/>
      <c r="VY507" s="75"/>
      <c r="VZ507" s="75"/>
      <c r="WA507" s="75"/>
      <c r="WB507" s="75"/>
      <c r="WC507" s="75"/>
      <c r="WD507" s="75"/>
      <c r="WE507" s="75"/>
      <c r="WF507" s="75"/>
      <c r="WG507" s="75"/>
      <c r="WH507" s="75"/>
      <c r="WI507" s="75"/>
      <c r="WJ507" s="75"/>
      <c r="WK507" s="75"/>
      <c r="WL507" s="75"/>
      <c r="WM507" s="75"/>
      <c r="WN507" s="75"/>
      <c r="WO507" s="75"/>
      <c r="WP507" s="75"/>
      <c r="WQ507" s="75"/>
      <c r="WR507" s="75"/>
      <c r="WS507" s="75"/>
      <c r="WT507" s="75"/>
      <c r="WU507" s="75"/>
      <c r="WV507" s="75"/>
      <c r="WW507" s="75"/>
      <c r="WX507" s="75"/>
      <c r="WY507" s="75"/>
      <c r="WZ507" s="75"/>
      <c r="XA507" s="75"/>
      <c r="XB507" s="75"/>
      <c r="XC507" s="75"/>
      <c r="XD507" s="75"/>
      <c r="XE507" s="75"/>
      <c r="XF507" s="75"/>
      <c r="XG507" s="75"/>
      <c r="XH507" s="75"/>
      <c r="XI507" s="75"/>
      <c r="XJ507" s="75"/>
      <c r="XK507" s="75"/>
      <c r="XL507" s="75"/>
      <c r="XM507" s="75"/>
      <c r="XN507" s="75"/>
      <c r="XO507" s="75"/>
      <c r="XP507" s="75"/>
      <c r="XQ507" s="75"/>
      <c r="XR507" s="75"/>
      <c r="XS507" s="75"/>
      <c r="XT507" s="75"/>
      <c r="XU507" s="75"/>
      <c r="XV507" s="75"/>
      <c r="XW507" s="75"/>
      <c r="XX507" s="75"/>
      <c r="XY507" s="75"/>
      <c r="XZ507" s="75"/>
      <c r="YA507" s="75"/>
      <c r="YB507" s="75"/>
      <c r="YC507" s="75"/>
      <c r="YD507" s="75"/>
      <c r="YE507" s="75"/>
      <c r="YF507" s="75"/>
      <c r="YG507" s="75"/>
      <c r="YH507" s="75"/>
      <c r="YI507" s="75"/>
      <c r="YJ507" s="75"/>
      <c r="YK507" s="75"/>
      <c r="YL507" s="75"/>
      <c r="YM507" s="75"/>
      <c r="YN507" s="75"/>
      <c r="YO507" s="75"/>
      <c r="YP507" s="75"/>
      <c r="YQ507" s="75"/>
      <c r="YR507" s="75"/>
      <c r="YS507" s="75"/>
      <c r="YT507" s="75"/>
      <c r="YU507" s="75"/>
      <c r="YV507" s="75"/>
      <c r="YW507" s="75"/>
      <c r="YX507" s="75"/>
      <c r="YY507" s="75"/>
      <c r="YZ507" s="75"/>
      <c r="ZA507" s="75"/>
      <c r="ZB507" s="75"/>
      <c r="ZC507" s="75"/>
      <c r="ZD507" s="75"/>
      <c r="ZE507" s="75"/>
      <c r="ZF507" s="75"/>
      <c r="ZG507" s="75"/>
      <c r="ZH507" s="75"/>
      <c r="ZI507" s="75"/>
      <c r="ZJ507" s="75"/>
      <c r="ZK507" s="75"/>
      <c r="ZL507" s="75"/>
      <c r="ZM507" s="75"/>
      <c r="ZN507" s="75"/>
      <c r="ZO507" s="75"/>
      <c r="ZP507" s="75"/>
      <c r="ZQ507" s="75"/>
      <c r="ZR507" s="75"/>
      <c r="ZS507" s="75"/>
      <c r="ZT507" s="75"/>
      <c r="ZU507" s="75"/>
      <c r="ZV507" s="75"/>
      <c r="ZW507" s="75"/>
      <c r="ZX507" s="75"/>
      <c r="ZY507" s="75"/>
      <c r="ZZ507" s="75"/>
      <c r="AAA507" s="75"/>
      <c r="AAB507" s="75"/>
      <c r="AAC507" s="75"/>
      <c r="AAD507" s="75"/>
      <c r="AAE507" s="75"/>
      <c r="AAF507" s="75"/>
      <c r="AAG507" s="75"/>
      <c r="AAH507" s="75"/>
      <c r="AAI507" s="75"/>
      <c r="AAJ507" s="75"/>
      <c r="AAK507" s="75"/>
      <c r="AAL507" s="75"/>
      <c r="AAM507" s="75"/>
      <c r="AAN507" s="75"/>
      <c r="AAO507" s="75"/>
      <c r="AAP507" s="75"/>
      <c r="AAQ507" s="75"/>
      <c r="AAR507" s="75"/>
      <c r="AAS507" s="75"/>
      <c r="AAT507" s="75"/>
      <c r="AAU507" s="75"/>
      <c r="AAV507" s="75"/>
      <c r="AAW507" s="75"/>
      <c r="AAX507" s="75"/>
      <c r="AAY507" s="75"/>
      <c r="AAZ507" s="75"/>
      <c r="ABA507" s="75"/>
      <c r="ABB507" s="75"/>
      <c r="ABC507" s="75"/>
      <c r="ABD507" s="75"/>
      <c r="ABE507" s="75"/>
      <c r="ABF507" s="75"/>
      <c r="ABG507" s="75"/>
      <c r="ABH507" s="75"/>
      <c r="ABI507" s="75"/>
      <c r="ABJ507" s="75"/>
      <c r="ABK507" s="75"/>
      <c r="ABL507" s="75"/>
      <c r="ABM507" s="75"/>
      <c r="ABN507" s="75"/>
      <c r="ABO507" s="75"/>
      <c r="ABP507" s="75"/>
      <c r="ABQ507" s="75"/>
      <c r="ABR507" s="75"/>
      <c r="ABS507" s="75"/>
      <c r="ABT507" s="75"/>
      <c r="ABU507" s="75"/>
      <c r="ABV507" s="75"/>
      <c r="ABW507" s="75"/>
      <c r="ABX507" s="75"/>
      <c r="ABY507" s="75"/>
      <c r="ABZ507" s="75"/>
      <c r="ACA507" s="75"/>
      <c r="ACB507" s="75"/>
      <c r="ACC507" s="75"/>
      <c r="ACD507" s="75"/>
      <c r="ACE507" s="75"/>
      <c r="ACF507" s="75"/>
      <c r="ACG507" s="75"/>
      <c r="ACH507" s="75"/>
      <c r="ACI507" s="75"/>
      <c r="ACJ507" s="75"/>
      <c r="ACK507" s="75"/>
      <c r="ACL507" s="75"/>
      <c r="ACM507" s="75"/>
      <c r="ACN507" s="75"/>
      <c r="ACO507" s="75"/>
      <c r="ACP507" s="75"/>
      <c r="ACQ507" s="75"/>
      <c r="ACR507" s="75"/>
      <c r="ACS507" s="75"/>
      <c r="ACT507" s="75"/>
      <c r="ACU507" s="75"/>
      <c r="ACV507" s="75"/>
      <c r="ACW507" s="75"/>
      <c r="ACX507" s="75"/>
      <c r="ACY507" s="75"/>
      <c r="ACZ507" s="75"/>
      <c r="ADA507" s="75"/>
      <c r="ADB507" s="75"/>
      <c r="ADC507" s="75"/>
      <c r="ADD507" s="75"/>
      <c r="ADE507" s="75"/>
      <c r="ADF507" s="75"/>
      <c r="ADG507" s="75"/>
      <c r="ADH507" s="75"/>
      <c r="ADI507" s="75"/>
      <c r="ADJ507" s="75"/>
      <c r="ADK507" s="75"/>
      <c r="ADL507" s="75"/>
      <c r="ADM507" s="75"/>
      <c r="ADN507" s="75"/>
      <c r="ADO507" s="75"/>
      <c r="ADP507" s="75"/>
      <c r="ADQ507" s="75"/>
      <c r="ADR507" s="75"/>
      <c r="ADS507" s="75"/>
      <c r="ADT507" s="75"/>
      <c r="ADU507" s="75"/>
      <c r="ADV507" s="75"/>
      <c r="ADW507" s="75"/>
      <c r="ADX507" s="75"/>
      <c r="ADY507" s="75"/>
      <c r="ADZ507" s="75"/>
      <c r="AEA507" s="75"/>
      <c r="AEB507" s="75"/>
      <c r="AEC507" s="75"/>
      <c r="AED507" s="75"/>
      <c r="AEE507" s="75"/>
      <c r="AEF507" s="75"/>
      <c r="AEG507" s="75"/>
      <c r="AEH507" s="75"/>
      <c r="AEI507" s="75"/>
      <c r="AEJ507" s="75"/>
      <c r="AEK507" s="75"/>
      <c r="AEL507" s="75"/>
      <c r="AEM507" s="75"/>
      <c r="AEN507" s="75"/>
      <c r="AEO507" s="75"/>
      <c r="AEP507" s="75"/>
      <c r="AEQ507" s="75"/>
      <c r="AER507" s="75"/>
      <c r="AES507" s="75"/>
      <c r="AET507" s="75"/>
      <c r="AEU507" s="75"/>
      <c r="AEV507" s="75"/>
      <c r="AEW507" s="75"/>
      <c r="AEX507" s="75"/>
      <c r="AEY507" s="75"/>
      <c r="AEZ507" s="75"/>
      <c r="AFA507" s="75"/>
      <c r="AFB507" s="75"/>
      <c r="AFC507" s="75"/>
      <c r="AFD507" s="75"/>
      <c r="AFE507" s="75"/>
      <c r="AFF507" s="75"/>
      <c r="AFG507" s="75"/>
      <c r="AFH507" s="75"/>
      <c r="AFI507" s="75"/>
      <c r="AFJ507" s="75"/>
      <c r="AFK507" s="75"/>
      <c r="AFL507" s="75"/>
      <c r="AFM507" s="75"/>
      <c r="AFN507" s="75"/>
      <c r="AFO507" s="75"/>
      <c r="AFP507" s="75"/>
      <c r="AFQ507" s="75"/>
      <c r="AFR507" s="75"/>
      <c r="AFS507" s="75"/>
      <c r="AFT507" s="75"/>
      <c r="AFU507" s="75"/>
      <c r="AFV507" s="75"/>
      <c r="AFW507" s="75"/>
      <c r="AFX507" s="75"/>
      <c r="AFY507" s="75"/>
      <c r="AFZ507" s="75"/>
      <c r="AGA507" s="75"/>
      <c r="AGB507" s="75"/>
      <c r="AGC507" s="75"/>
      <c r="AGD507" s="75"/>
      <c r="AGE507" s="75"/>
      <c r="AGF507" s="75"/>
      <c r="AGG507" s="75"/>
      <c r="AGH507" s="75"/>
      <c r="AGI507" s="75"/>
      <c r="AGJ507" s="75"/>
      <c r="AGK507" s="75"/>
      <c r="AGL507" s="75"/>
      <c r="AGM507" s="75"/>
      <c r="AGN507" s="75"/>
      <c r="AGO507" s="75"/>
      <c r="AGP507" s="75"/>
      <c r="AGQ507" s="75"/>
      <c r="AGR507" s="75"/>
      <c r="AGS507" s="75"/>
      <c r="AGT507" s="75"/>
      <c r="AGU507" s="75"/>
      <c r="AGV507" s="75"/>
      <c r="AGW507" s="75"/>
      <c r="AGX507" s="75"/>
      <c r="AGY507" s="75"/>
      <c r="AGZ507" s="75"/>
      <c r="AHA507" s="75"/>
      <c r="AHB507" s="75"/>
      <c r="AHC507" s="75"/>
      <c r="AHD507" s="75"/>
      <c r="AHE507" s="75"/>
      <c r="AHF507" s="75"/>
      <c r="AHG507" s="75"/>
      <c r="AHH507" s="75"/>
      <c r="AHI507" s="75"/>
      <c r="AHJ507" s="75"/>
      <c r="AHK507" s="75"/>
      <c r="AHL507" s="75"/>
      <c r="AHM507" s="75"/>
      <c r="AHN507" s="75"/>
      <c r="AHO507" s="75"/>
      <c r="AHP507" s="75"/>
      <c r="AHQ507" s="75"/>
      <c r="AHR507" s="75"/>
      <c r="AHS507" s="75"/>
      <c r="AHT507" s="75"/>
      <c r="AHU507" s="75"/>
      <c r="AHV507" s="75"/>
      <c r="AHW507" s="75"/>
      <c r="AHX507" s="75"/>
      <c r="AHY507" s="75"/>
      <c r="AHZ507" s="75"/>
      <c r="AIA507" s="75"/>
      <c r="AIB507" s="75"/>
      <c r="AIC507" s="75"/>
      <c r="AID507" s="75"/>
      <c r="AIE507" s="75"/>
      <c r="AIF507" s="75"/>
      <c r="AIG507" s="75"/>
      <c r="AIH507" s="75"/>
      <c r="AII507" s="75"/>
      <c r="AIJ507" s="75"/>
      <c r="AIK507" s="75"/>
      <c r="AIL507" s="75"/>
      <c r="AIM507" s="75"/>
      <c r="AIN507" s="75"/>
      <c r="AIO507" s="75"/>
      <c r="AIP507" s="75"/>
      <c r="AIQ507" s="75"/>
      <c r="AIR507" s="75"/>
      <c r="AIS507" s="75"/>
      <c r="AIT507" s="75"/>
      <c r="AIU507" s="75"/>
      <c r="AIV507" s="75"/>
      <c r="AIW507" s="75"/>
      <c r="AIX507" s="75"/>
      <c r="AIY507" s="75"/>
      <c r="AIZ507" s="75"/>
      <c r="AJA507" s="75"/>
      <c r="AJB507" s="75"/>
      <c r="AJC507" s="75"/>
      <c r="AJD507" s="75"/>
      <c r="AJE507" s="75"/>
      <c r="AJF507" s="75"/>
      <c r="AJG507" s="75"/>
      <c r="AJH507" s="75"/>
      <c r="AJI507" s="75"/>
      <c r="AJJ507" s="75"/>
      <c r="AJK507" s="75"/>
      <c r="AJL507" s="75"/>
      <c r="AJM507" s="75"/>
      <c r="AJN507" s="75"/>
      <c r="AJO507" s="75"/>
      <c r="AJP507" s="75"/>
      <c r="AJQ507" s="75"/>
      <c r="AJR507" s="75"/>
      <c r="AJS507" s="75"/>
      <c r="AJT507" s="75"/>
      <c r="AJU507" s="75"/>
      <c r="AJV507" s="75"/>
      <c r="AJW507" s="75"/>
      <c r="AJX507" s="75"/>
      <c r="AJY507" s="75"/>
      <c r="AJZ507" s="75"/>
      <c r="AKA507" s="75"/>
      <c r="AKB507" s="75"/>
      <c r="AKC507" s="75"/>
      <c r="AKD507" s="75"/>
      <c r="AKE507" s="75"/>
      <c r="AKF507" s="75"/>
      <c r="AKG507" s="75"/>
      <c r="AKH507" s="75"/>
      <c r="AKI507" s="75"/>
      <c r="AKJ507" s="75"/>
      <c r="AKK507" s="75"/>
      <c r="AKL507" s="75"/>
      <c r="AKM507" s="75"/>
      <c r="AKN507" s="75"/>
      <c r="AKO507" s="75"/>
      <c r="AKP507" s="75"/>
      <c r="AKQ507" s="75"/>
      <c r="AKR507" s="75"/>
      <c r="AKS507" s="75"/>
      <c r="AKT507" s="75"/>
      <c r="AKU507" s="75"/>
      <c r="AKV507" s="75"/>
      <c r="AKW507" s="75"/>
      <c r="AKX507" s="75"/>
      <c r="AKY507" s="75"/>
      <c r="AKZ507" s="75"/>
      <c r="ALA507" s="75"/>
      <c r="ALB507" s="75"/>
      <c r="ALC507" s="75"/>
      <c r="ALD507" s="75"/>
      <c r="ALE507" s="75"/>
      <c r="ALF507" s="75"/>
      <c r="ALG507" s="75"/>
      <c r="ALH507" s="75"/>
      <c r="ALI507" s="75"/>
      <c r="ALJ507" s="75"/>
      <c r="ALK507" s="75"/>
      <c r="ALL507" s="75"/>
      <c r="ALM507" s="75"/>
      <c r="ALN507" s="75"/>
      <c r="ALO507" s="75"/>
    </row>
    <row r="508" spans="1:1003" s="235" customFormat="1" ht="14.55" customHeight="1" outlineLevel="1" x14ac:dyDescent="0.25">
      <c r="A508" s="230" t="s">
        <v>1422</v>
      </c>
      <c r="B508" s="343" t="str">
        <f>"13.0701"</f>
        <v>13.0701</v>
      </c>
      <c r="C508" s="75" t="s">
        <v>2200</v>
      </c>
      <c r="D508" s="127" t="s">
        <v>2202</v>
      </c>
      <c r="E508" s="232"/>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c r="AY508" s="75"/>
      <c r="AZ508" s="75"/>
      <c r="BA508" s="75"/>
      <c r="BB508" s="75"/>
      <c r="BC508" s="75"/>
      <c r="BD508" s="75"/>
      <c r="BE508" s="75"/>
      <c r="BF508" s="75"/>
      <c r="BG508" s="75"/>
      <c r="BH508" s="75"/>
      <c r="BI508" s="75"/>
      <c r="BJ508" s="75"/>
      <c r="BK508" s="75"/>
      <c r="BL508" s="75"/>
      <c r="BM508" s="75"/>
      <c r="BN508" s="75"/>
      <c r="BO508" s="75"/>
      <c r="BP508" s="75"/>
      <c r="BQ508" s="75"/>
      <c r="BR508" s="75"/>
      <c r="BS508" s="75"/>
      <c r="BT508" s="75"/>
      <c r="BU508" s="75"/>
      <c r="BV508" s="75"/>
      <c r="BW508" s="75"/>
      <c r="BX508" s="75"/>
      <c r="BY508" s="75"/>
      <c r="BZ508" s="75"/>
      <c r="CA508" s="75"/>
      <c r="CB508" s="75"/>
      <c r="CC508" s="75"/>
      <c r="CD508" s="75"/>
      <c r="CE508" s="75"/>
      <c r="CF508" s="75"/>
      <c r="CG508" s="75"/>
      <c r="CH508" s="75"/>
      <c r="CI508" s="75"/>
      <c r="CJ508" s="75"/>
      <c r="CK508" s="75"/>
      <c r="CL508" s="75"/>
      <c r="CM508" s="75"/>
      <c r="CN508" s="75"/>
      <c r="CO508" s="75"/>
      <c r="CP508" s="75"/>
      <c r="CQ508" s="75"/>
      <c r="CR508" s="75"/>
      <c r="CS508" s="75"/>
      <c r="CT508" s="75"/>
      <c r="CU508" s="75"/>
      <c r="CV508" s="75"/>
      <c r="CW508" s="75"/>
      <c r="CX508" s="75"/>
      <c r="CY508" s="75"/>
      <c r="CZ508" s="75"/>
      <c r="DA508" s="75"/>
      <c r="DB508" s="75"/>
      <c r="DC508" s="75"/>
      <c r="DD508" s="75"/>
      <c r="DE508" s="75"/>
      <c r="DF508" s="75"/>
      <c r="DG508" s="75"/>
      <c r="DH508" s="75"/>
      <c r="DI508" s="75"/>
      <c r="DJ508" s="75"/>
      <c r="DK508" s="75"/>
      <c r="DL508" s="75"/>
      <c r="DM508" s="75"/>
      <c r="DN508" s="75"/>
      <c r="DO508" s="75"/>
      <c r="DP508" s="75"/>
      <c r="DQ508" s="75"/>
      <c r="DR508" s="75"/>
      <c r="DS508" s="75"/>
      <c r="DT508" s="75"/>
      <c r="DU508" s="75"/>
      <c r="DV508" s="75"/>
      <c r="DW508" s="75"/>
      <c r="DX508" s="75"/>
      <c r="DY508" s="75"/>
      <c r="DZ508" s="75"/>
      <c r="EA508" s="75"/>
      <c r="EB508" s="75"/>
      <c r="EC508" s="75"/>
      <c r="ED508" s="75"/>
      <c r="EE508" s="75"/>
      <c r="EF508" s="75"/>
      <c r="EG508" s="75"/>
      <c r="EH508" s="75"/>
      <c r="EI508" s="75"/>
      <c r="EJ508" s="75"/>
      <c r="EK508" s="75"/>
      <c r="EL508" s="75"/>
      <c r="EM508" s="75"/>
      <c r="EN508" s="75"/>
      <c r="EO508" s="75"/>
      <c r="EP508" s="75"/>
      <c r="EQ508" s="75"/>
      <c r="ER508" s="75"/>
      <c r="ES508" s="75"/>
      <c r="ET508" s="75"/>
      <c r="EU508" s="75"/>
      <c r="EV508" s="75"/>
      <c r="EW508" s="75"/>
      <c r="EX508" s="75"/>
      <c r="EY508" s="75"/>
      <c r="EZ508" s="75"/>
      <c r="FA508" s="75"/>
      <c r="FB508" s="75"/>
      <c r="FC508" s="75"/>
      <c r="FD508" s="75"/>
      <c r="FE508" s="75"/>
      <c r="FF508" s="75"/>
      <c r="FG508" s="75"/>
      <c r="FH508" s="75"/>
      <c r="FI508" s="75"/>
      <c r="FJ508" s="75"/>
      <c r="FK508" s="75"/>
      <c r="FL508" s="75"/>
      <c r="FM508" s="75"/>
      <c r="FN508" s="75"/>
      <c r="FO508" s="75"/>
      <c r="FP508" s="75"/>
      <c r="FQ508" s="75"/>
      <c r="FR508" s="75"/>
      <c r="FS508" s="75"/>
      <c r="FT508" s="75"/>
      <c r="FU508" s="75"/>
      <c r="FV508" s="75"/>
      <c r="FW508" s="75"/>
      <c r="FX508" s="75"/>
      <c r="FY508" s="75"/>
      <c r="FZ508" s="75"/>
      <c r="GA508" s="75"/>
      <c r="GB508" s="75"/>
      <c r="GC508" s="75"/>
      <c r="GD508" s="75"/>
      <c r="GE508" s="75"/>
      <c r="GF508" s="75"/>
      <c r="GG508" s="75"/>
      <c r="GH508" s="75"/>
      <c r="GI508" s="75"/>
      <c r="GJ508" s="75"/>
      <c r="GK508" s="75"/>
      <c r="GL508" s="75"/>
      <c r="GM508" s="75"/>
      <c r="GN508" s="75"/>
      <c r="GO508" s="75"/>
      <c r="GP508" s="75"/>
      <c r="GQ508" s="75"/>
      <c r="GR508" s="75"/>
      <c r="GS508" s="75"/>
      <c r="GT508" s="75"/>
      <c r="GU508" s="75"/>
      <c r="GV508" s="75"/>
      <c r="GW508" s="75"/>
      <c r="GX508" s="75"/>
      <c r="GY508" s="75"/>
      <c r="GZ508" s="75"/>
      <c r="HA508" s="75"/>
      <c r="HB508" s="75"/>
      <c r="HC508" s="75"/>
      <c r="HD508" s="75"/>
      <c r="HE508" s="75"/>
      <c r="HF508" s="75"/>
      <c r="HG508" s="75"/>
      <c r="HH508" s="75"/>
      <c r="HI508" s="75"/>
      <c r="HJ508" s="75"/>
      <c r="HK508" s="75"/>
      <c r="HL508" s="75"/>
      <c r="HM508" s="75"/>
      <c r="HN508" s="75"/>
      <c r="HO508" s="75"/>
      <c r="HP508" s="75"/>
      <c r="HQ508" s="75"/>
      <c r="HR508" s="75"/>
      <c r="HS508" s="75"/>
      <c r="HT508" s="75"/>
      <c r="HU508" s="75"/>
      <c r="HV508" s="75"/>
      <c r="HW508" s="75"/>
      <c r="HX508" s="75"/>
      <c r="HY508" s="75"/>
      <c r="HZ508" s="75"/>
      <c r="IA508" s="75"/>
      <c r="IB508" s="75"/>
      <c r="IC508" s="75"/>
      <c r="ID508" s="75"/>
      <c r="IE508" s="75"/>
      <c r="IF508" s="75"/>
      <c r="IG508" s="75"/>
      <c r="IH508" s="75"/>
      <c r="II508" s="75"/>
      <c r="IJ508" s="75"/>
      <c r="IK508" s="75"/>
      <c r="IL508" s="75"/>
      <c r="IM508" s="75"/>
      <c r="IN508" s="75"/>
      <c r="IO508" s="75"/>
      <c r="IP508" s="75"/>
      <c r="IQ508" s="75"/>
      <c r="IR508" s="75"/>
      <c r="IS508" s="75"/>
      <c r="IT508" s="75"/>
      <c r="IU508" s="75"/>
      <c r="IV508" s="75"/>
      <c r="IW508" s="75"/>
      <c r="IX508" s="75"/>
      <c r="IY508" s="75"/>
      <c r="IZ508" s="75"/>
      <c r="JA508" s="75"/>
      <c r="JB508" s="75"/>
      <c r="JC508" s="75"/>
      <c r="JD508" s="75"/>
      <c r="JE508" s="75"/>
      <c r="JF508" s="75"/>
      <c r="JG508" s="75"/>
      <c r="JH508" s="75"/>
      <c r="JI508" s="75"/>
      <c r="JJ508" s="75"/>
      <c r="JK508" s="75"/>
      <c r="JL508" s="75"/>
      <c r="JM508" s="75"/>
      <c r="JN508" s="75"/>
      <c r="JO508" s="75"/>
      <c r="JP508" s="75"/>
      <c r="JQ508" s="75"/>
      <c r="JR508" s="75"/>
      <c r="JS508" s="75"/>
      <c r="JT508" s="75"/>
      <c r="JU508" s="75"/>
      <c r="JV508" s="75"/>
      <c r="JW508" s="75"/>
      <c r="JX508" s="75"/>
      <c r="JY508" s="75"/>
      <c r="JZ508" s="75"/>
      <c r="KA508" s="75"/>
      <c r="KB508" s="75"/>
      <c r="KC508" s="75"/>
      <c r="KD508" s="75"/>
      <c r="KE508" s="75"/>
      <c r="KF508" s="75"/>
      <c r="KG508" s="75"/>
      <c r="KH508" s="75"/>
      <c r="KI508" s="75"/>
      <c r="KJ508" s="75"/>
      <c r="KK508" s="75"/>
      <c r="KL508" s="75"/>
      <c r="KM508" s="75"/>
      <c r="KN508" s="75"/>
      <c r="KO508" s="75"/>
      <c r="KP508" s="75"/>
      <c r="KQ508" s="75"/>
      <c r="KR508" s="75"/>
      <c r="KS508" s="75"/>
      <c r="KT508" s="75"/>
      <c r="KU508" s="75"/>
      <c r="KV508" s="75"/>
      <c r="KW508" s="75"/>
      <c r="KX508" s="75"/>
      <c r="KY508" s="75"/>
      <c r="KZ508" s="75"/>
      <c r="LA508" s="75"/>
      <c r="LB508" s="75"/>
      <c r="LC508" s="75"/>
      <c r="LD508" s="75"/>
      <c r="LE508" s="75"/>
      <c r="LF508" s="75"/>
      <c r="LG508" s="75"/>
      <c r="LH508" s="75"/>
      <c r="LI508" s="75"/>
      <c r="LJ508" s="75"/>
      <c r="LK508" s="75"/>
      <c r="LL508" s="75"/>
      <c r="LM508" s="75"/>
      <c r="LN508" s="75"/>
      <c r="LO508" s="75"/>
      <c r="LP508" s="75"/>
      <c r="LQ508" s="75"/>
      <c r="LR508" s="75"/>
      <c r="LS508" s="75"/>
      <c r="LT508" s="75"/>
      <c r="LU508" s="75"/>
      <c r="LV508" s="75"/>
      <c r="LW508" s="75"/>
      <c r="LX508" s="75"/>
      <c r="LY508" s="75"/>
      <c r="LZ508" s="75"/>
      <c r="MA508" s="75"/>
      <c r="MB508" s="75"/>
      <c r="MC508" s="75"/>
      <c r="MD508" s="75"/>
      <c r="ME508" s="75"/>
      <c r="MF508" s="75"/>
      <c r="MG508" s="75"/>
      <c r="MH508" s="75"/>
      <c r="MI508" s="75"/>
      <c r="MJ508" s="75"/>
      <c r="MK508" s="75"/>
      <c r="ML508" s="75"/>
      <c r="MM508" s="75"/>
      <c r="MN508" s="75"/>
      <c r="MO508" s="75"/>
      <c r="MP508" s="75"/>
      <c r="MQ508" s="75"/>
      <c r="MR508" s="75"/>
      <c r="MS508" s="75"/>
      <c r="MT508" s="75"/>
      <c r="MU508" s="75"/>
      <c r="MV508" s="75"/>
      <c r="MW508" s="75"/>
      <c r="MX508" s="75"/>
      <c r="MY508" s="75"/>
      <c r="MZ508" s="75"/>
      <c r="NA508" s="75"/>
      <c r="NB508" s="75"/>
      <c r="NC508" s="75"/>
      <c r="ND508" s="75"/>
      <c r="NE508" s="75"/>
      <c r="NF508" s="75"/>
      <c r="NG508" s="75"/>
      <c r="NH508" s="75"/>
      <c r="NI508" s="75"/>
      <c r="NJ508" s="75"/>
      <c r="NK508" s="75"/>
      <c r="NL508" s="75"/>
      <c r="NM508" s="75"/>
      <c r="NN508" s="75"/>
      <c r="NO508" s="75"/>
      <c r="NP508" s="75"/>
      <c r="NQ508" s="75"/>
      <c r="NR508" s="75"/>
      <c r="NS508" s="75"/>
      <c r="NT508" s="75"/>
      <c r="NU508" s="75"/>
      <c r="NV508" s="75"/>
      <c r="NW508" s="75"/>
      <c r="NX508" s="75"/>
      <c r="NY508" s="75"/>
      <c r="NZ508" s="75"/>
      <c r="OA508" s="75"/>
      <c r="OB508" s="75"/>
      <c r="OC508" s="75"/>
      <c r="OD508" s="75"/>
      <c r="OE508" s="75"/>
      <c r="OF508" s="75"/>
      <c r="OG508" s="75"/>
      <c r="OH508" s="75"/>
      <c r="OI508" s="75"/>
      <c r="OJ508" s="75"/>
      <c r="OK508" s="75"/>
      <c r="OL508" s="75"/>
      <c r="OM508" s="75"/>
      <c r="ON508" s="75"/>
      <c r="OO508" s="75"/>
      <c r="OP508" s="75"/>
      <c r="OQ508" s="75"/>
      <c r="OR508" s="75"/>
      <c r="OS508" s="75"/>
      <c r="OT508" s="75"/>
      <c r="OU508" s="75"/>
      <c r="OV508" s="75"/>
      <c r="OW508" s="75"/>
      <c r="OX508" s="75"/>
      <c r="OY508" s="75"/>
      <c r="OZ508" s="75"/>
      <c r="PA508" s="75"/>
      <c r="PB508" s="75"/>
      <c r="PC508" s="75"/>
      <c r="PD508" s="75"/>
      <c r="PE508" s="75"/>
      <c r="PF508" s="75"/>
      <c r="PG508" s="75"/>
      <c r="PH508" s="75"/>
      <c r="PI508" s="75"/>
      <c r="PJ508" s="75"/>
      <c r="PK508" s="75"/>
      <c r="PL508" s="75"/>
      <c r="PM508" s="75"/>
      <c r="PN508" s="75"/>
      <c r="PO508" s="75"/>
      <c r="PP508" s="75"/>
      <c r="PQ508" s="75"/>
      <c r="PR508" s="75"/>
      <c r="PS508" s="75"/>
      <c r="PT508" s="75"/>
      <c r="PU508" s="75"/>
      <c r="PV508" s="75"/>
      <c r="PW508" s="75"/>
      <c r="PX508" s="75"/>
      <c r="PY508" s="75"/>
      <c r="PZ508" s="75"/>
      <c r="QA508" s="75"/>
      <c r="QB508" s="75"/>
      <c r="QC508" s="75"/>
      <c r="QD508" s="75"/>
      <c r="QE508" s="75"/>
      <c r="QF508" s="75"/>
      <c r="QG508" s="75"/>
      <c r="QH508" s="75"/>
      <c r="QI508" s="75"/>
      <c r="QJ508" s="75"/>
      <c r="QK508" s="75"/>
      <c r="QL508" s="75"/>
      <c r="QM508" s="75"/>
      <c r="QN508" s="75"/>
      <c r="QO508" s="75"/>
      <c r="QP508" s="75"/>
      <c r="QQ508" s="75"/>
      <c r="QR508" s="75"/>
      <c r="QS508" s="75"/>
      <c r="QT508" s="75"/>
      <c r="QU508" s="75"/>
      <c r="QV508" s="75"/>
      <c r="QW508" s="75"/>
      <c r="QX508" s="75"/>
      <c r="QY508" s="75"/>
      <c r="QZ508" s="75"/>
      <c r="RA508" s="75"/>
      <c r="RB508" s="75"/>
      <c r="RC508" s="75"/>
      <c r="RD508" s="75"/>
      <c r="RE508" s="75"/>
      <c r="RF508" s="75"/>
      <c r="RG508" s="75"/>
      <c r="RH508" s="75"/>
      <c r="RI508" s="75"/>
      <c r="RJ508" s="75"/>
      <c r="RK508" s="75"/>
      <c r="RL508" s="75"/>
      <c r="RM508" s="75"/>
      <c r="RN508" s="75"/>
      <c r="RO508" s="75"/>
      <c r="RP508" s="75"/>
      <c r="RQ508" s="75"/>
      <c r="RR508" s="75"/>
      <c r="RS508" s="75"/>
      <c r="RT508" s="75"/>
      <c r="RU508" s="75"/>
      <c r="RV508" s="75"/>
      <c r="RW508" s="75"/>
      <c r="RX508" s="75"/>
      <c r="RY508" s="75"/>
      <c r="RZ508" s="75"/>
      <c r="SA508" s="75"/>
      <c r="SB508" s="75"/>
      <c r="SC508" s="75"/>
      <c r="SD508" s="75"/>
      <c r="SE508" s="75"/>
      <c r="SF508" s="75"/>
      <c r="SG508" s="75"/>
      <c r="SH508" s="75"/>
      <c r="SI508" s="75"/>
      <c r="SJ508" s="75"/>
      <c r="SK508" s="75"/>
      <c r="SL508" s="75"/>
      <c r="SM508" s="75"/>
      <c r="SN508" s="75"/>
      <c r="SO508" s="75"/>
      <c r="SP508" s="75"/>
      <c r="SQ508" s="75"/>
      <c r="SR508" s="75"/>
      <c r="SS508" s="75"/>
      <c r="ST508" s="75"/>
      <c r="SU508" s="75"/>
      <c r="SV508" s="75"/>
      <c r="SW508" s="75"/>
      <c r="SX508" s="75"/>
      <c r="SY508" s="75"/>
      <c r="SZ508" s="75"/>
      <c r="TA508" s="75"/>
      <c r="TB508" s="75"/>
      <c r="TC508" s="75"/>
      <c r="TD508" s="75"/>
      <c r="TE508" s="75"/>
      <c r="TF508" s="75"/>
      <c r="TG508" s="75"/>
      <c r="TH508" s="75"/>
      <c r="TI508" s="75"/>
      <c r="TJ508" s="75"/>
      <c r="TK508" s="75"/>
      <c r="TL508" s="75"/>
      <c r="TM508" s="75"/>
      <c r="TN508" s="75"/>
      <c r="TO508" s="75"/>
      <c r="TP508" s="75"/>
      <c r="TQ508" s="75"/>
      <c r="TR508" s="75"/>
      <c r="TS508" s="75"/>
      <c r="TT508" s="75"/>
      <c r="TU508" s="75"/>
      <c r="TV508" s="75"/>
      <c r="TW508" s="75"/>
      <c r="TX508" s="75"/>
      <c r="TY508" s="75"/>
      <c r="TZ508" s="75"/>
      <c r="UA508" s="75"/>
      <c r="UB508" s="75"/>
      <c r="UC508" s="75"/>
      <c r="UD508" s="75"/>
      <c r="UE508" s="75"/>
      <c r="UF508" s="75"/>
      <c r="UG508" s="75"/>
      <c r="UH508" s="75"/>
      <c r="UI508" s="75"/>
      <c r="UJ508" s="75"/>
      <c r="UK508" s="75"/>
      <c r="UL508" s="75"/>
      <c r="UM508" s="75"/>
      <c r="UN508" s="75"/>
      <c r="UO508" s="75"/>
      <c r="UP508" s="75"/>
      <c r="UQ508" s="75"/>
      <c r="UR508" s="75"/>
      <c r="US508" s="75"/>
      <c r="UT508" s="75"/>
      <c r="UU508" s="75"/>
      <c r="UV508" s="75"/>
      <c r="UW508" s="75"/>
      <c r="UX508" s="75"/>
      <c r="UY508" s="75"/>
      <c r="UZ508" s="75"/>
      <c r="VA508" s="75"/>
      <c r="VB508" s="75"/>
      <c r="VC508" s="75"/>
      <c r="VD508" s="75"/>
      <c r="VE508" s="75"/>
      <c r="VF508" s="75"/>
      <c r="VG508" s="75"/>
      <c r="VH508" s="75"/>
      <c r="VI508" s="75"/>
      <c r="VJ508" s="75"/>
      <c r="VK508" s="75"/>
      <c r="VL508" s="75"/>
      <c r="VM508" s="75"/>
      <c r="VN508" s="75"/>
      <c r="VO508" s="75"/>
      <c r="VP508" s="75"/>
      <c r="VQ508" s="75"/>
      <c r="VR508" s="75"/>
      <c r="VS508" s="75"/>
      <c r="VT508" s="75"/>
      <c r="VU508" s="75"/>
      <c r="VV508" s="75"/>
      <c r="VW508" s="75"/>
      <c r="VX508" s="75"/>
      <c r="VY508" s="75"/>
      <c r="VZ508" s="75"/>
      <c r="WA508" s="75"/>
      <c r="WB508" s="75"/>
      <c r="WC508" s="75"/>
      <c r="WD508" s="75"/>
      <c r="WE508" s="75"/>
      <c r="WF508" s="75"/>
      <c r="WG508" s="75"/>
      <c r="WH508" s="75"/>
      <c r="WI508" s="75"/>
      <c r="WJ508" s="75"/>
      <c r="WK508" s="75"/>
      <c r="WL508" s="75"/>
      <c r="WM508" s="75"/>
      <c r="WN508" s="75"/>
      <c r="WO508" s="75"/>
      <c r="WP508" s="75"/>
      <c r="WQ508" s="75"/>
      <c r="WR508" s="75"/>
      <c r="WS508" s="75"/>
      <c r="WT508" s="75"/>
      <c r="WU508" s="75"/>
      <c r="WV508" s="75"/>
      <c r="WW508" s="75"/>
      <c r="WX508" s="75"/>
      <c r="WY508" s="75"/>
      <c r="WZ508" s="75"/>
      <c r="XA508" s="75"/>
      <c r="XB508" s="75"/>
      <c r="XC508" s="75"/>
      <c r="XD508" s="75"/>
      <c r="XE508" s="75"/>
      <c r="XF508" s="75"/>
      <c r="XG508" s="75"/>
      <c r="XH508" s="75"/>
      <c r="XI508" s="75"/>
      <c r="XJ508" s="75"/>
      <c r="XK508" s="75"/>
      <c r="XL508" s="75"/>
      <c r="XM508" s="75"/>
      <c r="XN508" s="75"/>
      <c r="XO508" s="75"/>
      <c r="XP508" s="75"/>
      <c r="XQ508" s="75"/>
      <c r="XR508" s="75"/>
      <c r="XS508" s="75"/>
      <c r="XT508" s="75"/>
      <c r="XU508" s="75"/>
      <c r="XV508" s="75"/>
      <c r="XW508" s="75"/>
      <c r="XX508" s="75"/>
      <c r="XY508" s="75"/>
      <c r="XZ508" s="75"/>
      <c r="YA508" s="75"/>
      <c r="YB508" s="75"/>
      <c r="YC508" s="75"/>
      <c r="YD508" s="75"/>
      <c r="YE508" s="75"/>
      <c r="YF508" s="75"/>
      <c r="YG508" s="75"/>
      <c r="YH508" s="75"/>
      <c r="YI508" s="75"/>
      <c r="YJ508" s="75"/>
      <c r="YK508" s="75"/>
      <c r="YL508" s="75"/>
      <c r="YM508" s="75"/>
      <c r="YN508" s="75"/>
      <c r="YO508" s="75"/>
      <c r="YP508" s="75"/>
      <c r="YQ508" s="75"/>
      <c r="YR508" s="75"/>
      <c r="YS508" s="75"/>
      <c r="YT508" s="75"/>
      <c r="YU508" s="75"/>
      <c r="YV508" s="75"/>
      <c r="YW508" s="75"/>
      <c r="YX508" s="75"/>
      <c r="YY508" s="75"/>
      <c r="YZ508" s="75"/>
      <c r="ZA508" s="75"/>
      <c r="ZB508" s="75"/>
      <c r="ZC508" s="75"/>
      <c r="ZD508" s="75"/>
      <c r="ZE508" s="75"/>
      <c r="ZF508" s="75"/>
      <c r="ZG508" s="75"/>
      <c r="ZH508" s="75"/>
      <c r="ZI508" s="75"/>
      <c r="ZJ508" s="75"/>
      <c r="ZK508" s="75"/>
      <c r="ZL508" s="75"/>
      <c r="ZM508" s="75"/>
      <c r="ZN508" s="75"/>
      <c r="ZO508" s="75"/>
      <c r="ZP508" s="75"/>
      <c r="ZQ508" s="75"/>
      <c r="ZR508" s="75"/>
      <c r="ZS508" s="75"/>
      <c r="ZT508" s="75"/>
      <c r="ZU508" s="75"/>
      <c r="ZV508" s="75"/>
      <c r="ZW508" s="75"/>
      <c r="ZX508" s="75"/>
      <c r="ZY508" s="75"/>
      <c r="ZZ508" s="75"/>
      <c r="AAA508" s="75"/>
      <c r="AAB508" s="75"/>
      <c r="AAC508" s="75"/>
      <c r="AAD508" s="75"/>
      <c r="AAE508" s="75"/>
      <c r="AAF508" s="75"/>
      <c r="AAG508" s="75"/>
      <c r="AAH508" s="75"/>
      <c r="AAI508" s="75"/>
      <c r="AAJ508" s="75"/>
      <c r="AAK508" s="75"/>
      <c r="AAL508" s="75"/>
      <c r="AAM508" s="75"/>
      <c r="AAN508" s="75"/>
      <c r="AAO508" s="75"/>
      <c r="AAP508" s="75"/>
      <c r="AAQ508" s="75"/>
      <c r="AAR508" s="75"/>
      <c r="AAS508" s="75"/>
      <c r="AAT508" s="75"/>
      <c r="AAU508" s="75"/>
      <c r="AAV508" s="75"/>
      <c r="AAW508" s="75"/>
      <c r="AAX508" s="75"/>
      <c r="AAY508" s="75"/>
      <c r="AAZ508" s="75"/>
      <c r="ABA508" s="75"/>
      <c r="ABB508" s="75"/>
      <c r="ABC508" s="75"/>
      <c r="ABD508" s="75"/>
      <c r="ABE508" s="75"/>
      <c r="ABF508" s="75"/>
      <c r="ABG508" s="75"/>
      <c r="ABH508" s="75"/>
      <c r="ABI508" s="75"/>
      <c r="ABJ508" s="75"/>
      <c r="ABK508" s="75"/>
      <c r="ABL508" s="75"/>
      <c r="ABM508" s="75"/>
      <c r="ABN508" s="75"/>
      <c r="ABO508" s="75"/>
      <c r="ABP508" s="75"/>
      <c r="ABQ508" s="75"/>
      <c r="ABR508" s="75"/>
      <c r="ABS508" s="75"/>
      <c r="ABT508" s="75"/>
      <c r="ABU508" s="75"/>
      <c r="ABV508" s="75"/>
      <c r="ABW508" s="75"/>
      <c r="ABX508" s="75"/>
      <c r="ABY508" s="75"/>
      <c r="ABZ508" s="75"/>
      <c r="ACA508" s="75"/>
      <c r="ACB508" s="75"/>
      <c r="ACC508" s="75"/>
      <c r="ACD508" s="75"/>
      <c r="ACE508" s="75"/>
      <c r="ACF508" s="75"/>
      <c r="ACG508" s="75"/>
      <c r="ACH508" s="75"/>
      <c r="ACI508" s="75"/>
      <c r="ACJ508" s="75"/>
      <c r="ACK508" s="75"/>
      <c r="ACL508" s="75"/>
      <c r="ACM508" s="75"/>
      <c r="ACN508" s="75"/>
      <c r="ACO508" s="75"/>
      <c r="ACP508" s="75"/>
      <c r="ACQ508" s="75"/>
      <c r="ACR508" s="75"/>
      <c r="ACS508" s="75"/>
      <c r="ACT508" s="75"/>
      <c r="ACU508" s="75"/>
      <c r="ACV508" s="75"/>
      <c r="ACW508" s="75"/>
      <c r="ACX508" s="75"/>
      <c r="ACY508" s="75"/>
      <c r="ACZ508" s="75"/>
      <c r="ADA508" s="75"/>
      <c r="ADB508" s="75"/>
      <c r="ADC508" s="75"/>
      <c r="ADD508" s="75"/>
      <c r="ADE508" s="75"/>
      <c r="ADF508" s="75"/>
      <c r="ADG508" s="75"/>
      <c r="ADH508" s="75"/>
      <c r="ADI508" s="75"/>
      <c r="ADJ508" s="75"/>
      <c r="ADK508" s="75"/>
      <c r="ADL508" s="75"/>
      <c r="ADM508" s="75"/>
      <c r="ADN508" s="75"/>
      <c r="ADO508" s="75"/>
      <c r="ADP508" s="75"/>
      <c r="ADQ508" s="75"/>
      <c r="ADR508" s="75"/>
      <c r="ADS508" s="75"/>
      <c r="ADT508" s="75"/>
      <c r="ADU508" s="75"/>
      <c r="ADV508" s="75"/>
      <c r="ADW508" s="75"/>
      <c r="ADX508" s="75"/>
      <c r="ADY508" s="75"/>
      <c r="ADZ508" s="75"/>
      <c r="AEA508" s="75"/>
      <c r="AEB508" s="75"/>
      <c r="AEC508" s="75"/>
      <c r="AED508" s="75"/>
      <c r="AEE508" s="75"/>
      <c r="AEF508" s="75"/>
      <c r="AEG508" s="75"/>
      <c r="AEH508" s="75"/>
      <c r="AEI508" s="75"/>
      <c r="AEJ508" s="75"/>
      <c r="AEK508" s="75"/>
      <c r="AEL508" s="75"/>
      <c r="AEM508" s="75"/>
      <c r="AEN508" s="75"/>
      <c r="AEO508" s="75"/>
      <c r="AEP508" s="75"/>
      <c r="AEQ508" s="75"/>
      <c r="AER508" s="75"/>
      <c r="AES508" s="75"/>
      <c r="AET508" s="75"/>
      <c r="AEU508" s="75"/>
      <c r="AEV508" s="75"/>
      <c r="AEW508" s="75"/>
      <c r="AEX508" s="75"/>
      <c r="AEY508" s="75"/>
      <c r="AEZ508" s="75"/>
      <c r="AFA508" s="75"/>
      <c r="AFB508" s="75"/>
      <c r="AFC508" s="75"/>
      <c r="AFD508" s="75"/>
      <c r="AFE508" s="75"/>
      <c r="AFF508" s="75"/>
      <c r="AFG508" s="75"/>
      <c r="AFH508" s="75"/>
      <c r="AFI508" s="75"/>
      <c r="AFJ508" s="75"/>
      <c r="AFK508" s="75"/>
      <c r="AFL508" s="75"/>
      <c r="AFM508" s="75"/>
      <c r="AFN508" s="75"/>
      <c r="AFO508" s="75"/>
      <c r="AFP508" s="75"/>
      <c r="AFQ508" s="75"/>
      <c r="AFR508" s="75"/>
      <c r="AFS508" s="75"/>
      <c r="AFT508" s="75"/>
      <c r="AFU508" s="75"/>
      <c r="AFV508" s="75"/>
      <c r="AFW508" s="75"/>
      <c r="AFX508" s="75"/>
      <c r="AFY508" s="75"/>
      <c r="AFZ508" s="75"/>
      <c r="AGA508" s="75"/>
      <c r="AGB508" s="75"/>
      <c r="AGC508" s="75"/>
      <c r="AGD508" s="75"/>
      <c r="AGE508" s="75"/>
      <c r="AGF508" s="75"/>
      <c r="AGG508" s="75"/>
      <c r="AGH508" s="75"/>
      <c r="AGI508" s="75"/>
      <c r="AGJ508" s="75"/>
      <c r="AGK508" s="75"/>
      <c r="AGL508" s="75"/>
      <c r="AGM508" s="75"/>
      <c r="AGN508" s="75"/>
      <c r="AGO508" s="75"/>
      <c r="AGP508" s="75"/>
      <c r="AGQ508" s="75"/>
      <c r="AGR508" s="75"/>
      <c r="AGS508" s="75"/>
      <c r="AGT508" s="75"/>
      <c r="AGU508" s="75"/>
      <c r="AGV508" s="75"/>
      <c r="AGW508" s="75"/>
      <c r="AGX508" s="75"/>
      <c r="AGY508" s="75"/>
      <c r="AGZ508" s="75"/>
      <c r="AHA508" s="75"/>
      <c r="AHB508" s="75"/>
      <c r="AHC508" s="75"/>
      <c r="AHD508" s="75"/>
      <c r="AHE508" s="75"/>
      <c r="AHF508" s="75"/>
      <c r="AHG508" s="75"/>
      <c r="AHH508" s="75"/>
      <c r="AHI508" s="75"/>
      <c r="AHJ508" s="75"/>
      <c r="AHK508" s="75"/>
      <c r="AHL508" s="75"/>
      <c r="AHM508" s="75"/>
      <c r="AHN508" s="75"/>
      <c r="AHO508" s="75"/>
      <c r="AHP508" s="75"/>
      <c r="AHQ508" s="75"/>
      <c r="AHR508" s="75"/>
      <c r="AHS508" s="75"/>
      <c r="AHT508" s="75"/>
      <c r="AHU508" s="75"/>
      <c r="AHV508" s="75"/>
      <c r="AHW508" s="75"/>
      <c r="AHX508" s="75"/>
      <c r="AHY508" s="75"/>
      <c r="AHZ508" s="75"/>
      <c r="AIA508" s="75"/>
      <c r="AIB508" s="75"/>
      <c r="AIC508" s="75"/>
      <c r="AID508" s="75"/>
      <c r="AIE508" s="75"/>
      <c r="AIF508" s="75"/>
      <c r="AIG508" s="75"/>
      <c r="AIH508" s="75"/>
      <c r="AII508" s="75"/>
      <c r="AIJ508" s="75"/>
      <c r="AIK508" s="75"/>
      <c r="AIL508" s="75"/>
      <c r="AIM508" s="75"/>
      <c r="AIN508" s="75"/>
      <c r="AIO508" s="75"/>
      <c r="AIP508" s="75"/>
      <c r="AIQ508" s="75"/>
      <c r="AIR508" s="75"/>
      <c r="AIS508" s="75"/>
      <c r="AIT508" s="75"/>
      <c r="AIU508" s="75"/>
      <c r="AIV508" s="75"/>
      <c r="AIW508" s="75"/>
      <c r="AIX508" s="75"/>
      <c r="AIY508" s="75"/>
      <c r="AIZ508" s="75"/>
      <c r="AJA508" s="75"/>
      <c r="AJB508" s="75"/>
      <c r="AJC508" s="75"/>
      <c r="AJD508" s="75"/>
      <c r="AJE508" s="75"/>
      <c r="AJF508" s="75"/>
      <c r="AJG508" s="75"/>
      <c r="AJH508" s="75"/>
      <c r="AJI508" s="75"/>
      <c r="AJJ508" s="75"/>
      <c r="AJK508" s="75"/>
      <c r="AJL508" s="75"/>
      <c r="AJM508" s="75"/>
      <c r="AJN508" s="75"/>
      <c r="AJO508" s="75"/>
      <c r="AJP508" s="75"/>
      <c r="AJQ508" s="75"/>
      <c r="AJR508" s="75"/>
      <c r="AJS508" s="75"/>
      <c r="AJT508" s="75"/>
      <c r="AJU508" s="75"/>
      <c r="AJV508" s="75"/>
      <c r="AJW508" s="75"/>
      <c r="AJX508" s="75"/>
      <c r="AJY508" s="75"/>
      <c r="AJZ508" s="75"/>
      <c r="AKA508" s="75"/>
      <c r="AKB508" s="75"/>
      <c r="AKC508" s="75"/>
      <c r="AKD508" s="75"/>
      <c r="AKE508" s="75"/>
      <c r="AKF508" s="75"/>
      <c r="AKG508" s="75"/>
      <c r="AKH508" s="75"/>
      <c r="AKI508" s="75"/>
      <c r="AKJ508" s="75"/>
      <c r="AKK508" s="75"/>
      <c r="AKL508" s="75"/>
      <c r="AKM508" s="75"/>
      <c r="AKN508" s="75"/>
      <c r="AKO508" s="75"/>
      <c r="AKP508" s="75"/>
      <c r="AKQ508" s="75"/>
      <c r="AKR508" s="75"/>
      <c r="AKS508" s="75"/>
      <c r="AKT508" s="75"/>
      <c r="AKU508" s="75"/>
      <c r="AKV508" s="75"/>
      <c r="AKW508" s="75"/>
      <c r="AKX508" s="75"/>
      <c r="AKY508" s="75"/>
      <c r="AKZ508" s="75"/>
      <c r="ALA508" s="75"/>
      <c r="ALB508" s="75"/>
      <c r="ALC508" s="75"/>
      <c r="ALD508" s="75"/>
      <c r="ALE508" s="75"/>
      <c r="ALF508" s="75"/>
      <c r="ALG508" s="75"/>
      <c r="ALH508" s="75"/>
      <c r="ALI508" s="75"/>
      <c r="ALJ508" s="75"/>
      <c r="ALK508" s="75"/>
      <c r="ALL508" s="75"/>
      <c r="ALM508" s="75"/>
      <c r="ALN508" s="75"/>
      <c r="ALO508" s="75"/>
    </row>
    <row r="509" spans="1:1003" s="235" customFormat="1" ht="14.55" customHeight="1" outlineLevel="1" x14ac:dyDescent="0.25">
      <c r="A509" s="230" t="s">
        <v>1422</v>
      </c>
      <c r="B509" s="343" t="str">
        <f>"13.09"</f>
        <v>13.09</v>
      </c>
      <c r="C509" s="75" t="s">
        <v>2203</v>
      </c>
      <c r="D509" s="127" t="s">
        <v>2204</v>
      </c>
      <c r="E509" s="232"/>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c r="AY509" s="75"/>
      <c r="AZ509" s="75"/>
      <c r="BA509" s="75"/>
      <c r="BB509" s="75"/>
      <c r="BC509" s="75"/>
      <c r="BD509" s="75"/>
      <c r="BE509" s="75"/>
      <c r="BF509" s="75"/>
      <c r="BG509" s="75"/>
      <c r="BH509" s="75"/>
      <c r="BI509" s="75"/>
      <c r="BJ509" s="75"/>
      <c r="BK509" s="75"/>
      <c r="BL509" s="75"/>
      <c r="BM509" s="75"/>
      <c r="BN509" s="75"/>
      <c r="BO509" s="75"/>
      <c r="BP509" s="75"/>
      <c r="BQ509" s="75"/>
      <c r="BR509" s="75"/>
      <c r="BS509" s="75"/>
      <c r="BT509" s="75"/>
      <c r="BU509" s="75"/>
      <c r="BV509" s="75"/>
      <c r="BW509" s="75"/>
      <c r="BX509" s="75"/>
      <c r="BY509" s="75"/>
      <c r="BZ509" s="75"/>
      <c r="CA509" s="75"/>
      <c r="CB509" s="75"/>
      <c r="CC509" s="75"/>
      <c r="CD509" s="75"/>
      <c r="CE509" s="75"/>
      <c r="CF509" s="75"/>
      <c r="CG509" s="75"/>
      <c r="CH509" s="75"/>
      <c r="CI509" s="75"/>
      <c r="CJ509" s="75"/>
      <c r="CK509" s="75"/>
      <c r="CL509" s="75"/>
      <c r="CM509" s="75"/>
      <c r="CN509" s="75"/>
      <c r="CO509" s="75"/>
      <c r="CP509" s="75"/>
      <c r="CQ509" s="75"/>
      <c r="CR509" s="75"/>
      <c r="CS509" s="75"/>
      <c r="CT509" s="75"/>
      <c r="CU509" s="75"/>
      <c r="CV509" s="75"/>
      <c r="CW509" s="75"/>
      <c r="CX509" s="75"/>
      <c r="CY509" s="75"/>
      <c r="CZ509" s="75"/>
      <c r="DA509" s="75"/>
      <c r="DB509" s="75"/>
      <c r="DC509" s="75"/>
      <c r="DD509" s="75"/>
      <c r="DE509" s="75"/>
      <c r="DF509" s="75"/>
      <c r="DG509" s="75"/>
      <c r="DH509" s="75"/>
      <c r="DI509" s="75"/>
      <c r="DJ509" s="75"/>
      <c r="DK509" s="75"/>
      <c r="DL509" s="75"/>
      <c r="DM509" s="75"/>
      <c r="DN509" s="75"/>
      <c r="DO509" s="75"/>
      <c r="DP509" s="75"/>
      <c r="DQ509" s="75"/>
      <c r="DR509" s="75"/>
      <c r="DS509" s="75"/>
      <c r="DT509" s="75"/>
      <c r="DU509" s="75"/>
      <c r="DV509" s="75"/>
      <c r="DW509" s="75"/>
      <c r="DX509" s="75"/>
      <c r="DY509" s="75"/>
      <c r="DZ509" s="75"/>
      <c r="EA509" s="75"/>
      <c r="EB509" s="75"/>
      <c r="EC509" s="75"/>
      <c r="ED509" s="75"/>
      <c r="EE509" s="75"/>
      <c r="EF509" s="75"/>
      <c r="EG509" s="75"/>
      <c r="EH509" s="75"/>
      <c r="EI509" s="75"/>
      <c r="EJ509" s="75"/>
      <c r="EK509" s="75"/>
      <c r="EL509" s="75"/>
      <c r="EM509" s="75"/>
      <c r="EN509" s="75"/>
      <c r="EO509" s="75"/>
      <c r="EP509" s="75"/>
      <c r="EQ509" s="75"/>
      <c r="ER509" s="75"/>
      <c r="ES509" s="75"/>
      <c r="ET509" s="75"/>
      <c r="EU509" s="75"/>
      <c r="EV509" s="75"/>
      <c r="EW509" s="75"/>
      <c r="EX509" s="75"/>
      <c r="EY509" s="75"/>
      <c r="EZ509" s="75"/>
      <c r="FA509" s="75"/>
      <c r="FB509" s="75"/>
      <c r="FC509" s="75"/>
      <c r="FD509" s="75"/>
      <c r="FE509" s="75"/>
      <c r="FF509" s="75"/>
      <c r="FG509" s="75"/>
      <c r="FH509" s="75"/>
      <c r="FI509" s="75"/>
      <c r="FJ509" s="75"/>
      <c r="FK509" s="75"/>
      <c r="FL509" s="75"/>
      <c r="FM509" s="75"/>
      <c r="FN509" s="75"/>
      <c r="FO509" s="75"/>
      <c r="FP509" s="75"/>
      <c r="FQ509" s="75"/>
      <c r="FR509" s="75"/>
      <c r="FS509" s="75"/>
      <c r="FT509" s="75"/>
      <c r="FU509" s="75"/>
      <c r="FV509" s="75"/>
      <c r="FW509" s="75"/>
      <c r="FX509" s="75"/>
      <c r="FY509" s="75"/>
      <c r="FZ509" s="75"/>
      <c r="GA509" s="75"/>
      <c r="GB509" s="75"/>
      <c r="GC509" s="75"/>
      <c r="GD509" s="75"/>
      <c r="GE509" s="75"/>
      <c r="GF509" s="75"/>
      <c r="GG509" s="75"/>
      <c r="GH509" s="75"/>
      <c r="GI509" s="75"/>
      <c r="GJ509" s="75"/>
      <c r="GK509" s="75"/>
      <c r="GL509" s="75"/>
      <c r="GM509" s="75"/>
      <c r="GN509" s="75"/>
      <c r="GO509" s="75"/>
      <c r="GP509" s="75"/>
      <c r="GQ509" s="75"/>
      <c r="GR509" s="75"/>
      <c r="GS509" s="75"/>
      <c r="GT509" s="75"/>
      <c r="GU509" s="75"/>
      <c r="GV509" s="75"/>
      <c r="GW509" s="75"/>
      <c r="GX509" s="75"/>
      <c r="GY509" s="75"/>
      <c r="GZ509" s="75"/>
      <c r="HA509" s="75"/>
      <c r="HB509" s="75"/>
      <c r="HC509" s="75"/>
      <c r="HD509" s="75"/>
      <c r="HE509" s="75"/>
      <c r="HF509" s="75"/>
      <c r="HG509" s="75"/>
      <c r="HH509" s="75"/>
      <c r="HI509" s="75"/>
      <c r="HJ509" s="75"/>
      <c r="HK509" s="75"/>
      <c r="HL509" s="75"/>
      <c r="HM509" s="75"/>
      <c r="HN509" s="75"/>
      <c r="HO509" s="75"/>
      <c r="HP509" s="75"/>
      <c r="HQ509" s="75"/>
      <c r="HR509" s="75"/>
      <c r="HS509" s="75"/>
      <c r="HT509" s="75"/>
      <c r="HU509" s="75"/>
      <c r="HV509" s="75"/>
      <c r="HW509" s="75"/>
      <c r="HX509" s="75"/>
      <c r="HY509" s="75"/>
      <c r="HZ509" s="75"/>
      <c r="IA509" s="75"/>
      <c r="IB509" s="75"/>
      <c r="IC509" s="75"/>
      <c r="ID509" s="75"/>
      <c r="IE509" s="75"/>
      <c r="IF509" s="75"/>
      <c r="IG509" s="75"/>
      <c r="IH509" s="75"/>
      <c r="II509" s="75"/>
      <c r="IJ509" s="75"/>
      <c r="IK509" s="75"/>
      <c r="IL509" s="75"/>
      <c r="IM509" s="75"/>
      <c r="IN509" s="75"/>
      <c r="IO509" s="75"/>
      <c r="IP509" s="75"/>
      <c r="IQ509" s="75"/>
      <c r="IR509" s="75"/>
      <c r="IS509" s="75"/>
      <c r="IT509" s="75"/>
      <c r="IU509" s="75"/>
      <c r="IV509" s="75"/>
      <c r="IW509" s="75"/>
      <c r="IX509" s="75"/>
      <c r="IY509" s="75"/>
      <c r="IZ509" s="75"/>
      <c r="JA509" s="75"/>
      <c r="JB509" s="75"/>
      <c r="JC509" s="75"/>
      <c r="JD509" s="75"/>
      <c r="JE509" s="75"/>
      <c r="JF509" s="75"/>
      <c r="JG509" s="75"/>
      <c r="JH509" s="75"/>
      <c r="JI509" s="75"/>
      <c r="JJ509" s="75"/>
      <c r="JK509" s="75"/>
      <c r="JL509" s="75"/>
      <c r="JM509" s="75"/>
      <c r="JN509" s="75"/>
      <c r="JO509" s="75"/>
      <c r="JP509" s="75"/>
      <c r="JQ509" s="75"/>
      <c r="JR509" s="75"/>
      <c r="JS509" s="75"/>
      <c r="JT509" s="75"/>
      <c r="JU509" s="75"/>
      <c r="JV509" s="75"/>
      <c r="JW509" s="75"/>
      <c r="JX509" s="75"/>
      <c r="JY509" s="75"/>
      <c r="JZ509" s="75"/>
      <c r="KA509" s="75"/>
      <c r="KB509" s="75"/>
      <c r="KC509" s="75"/>
      <c r="KD509" s="75"/>
      <c r="KE509" s="75"/>
      <c r="KF509" s="75"/>
      <c r="KG509" s="75"/>
      <c r="KH509" s="75"/>
      <c r="KI509" s="75"/>
      <c r="KJ509" s="75"/>
      <c r="KK509" s="75"/>
      <c r="KL509" s="75"/>
      <c r="KM509" s="75"/>
      <c r="KN509" s="75"/>
      <c r="KO509" s="75"/>
      <c r="KP509" s="75"/>
      <c r="KQ509" s="75"/>
      <c r="KR509" s="75"/>
      <c r="KS509" s="75"/>
      <c r="KT509" s="75"/>
      <c r="KU509" s="75"/>
      <c r="KV509" s="75"/>
      <c r="KW509" s="75"/>
      <c r="KX509" s="75"/>
      <c r="KY509" s="75"/>
      <c r="KZ509" s="75"/>
      <c r="LA509" s="75"/>
      <c r="LB509" s="75"/>
      <c r="LC509" s="75"/>
      <c r="LD509" s="75"/>
      <c r="LE509" s="75"/>
      <c r="LF509" s="75"/>
      <c r="LG509" s="75"/>
      <c r="LH509" s="75"/>
      <c r="LI509" s="75"/>
      <c r="LJ509" s="75"/>
      <c r="LK509" s="75"/>
      <c r="LL509" s="75"/>
      <c r="LM509" s="75"/>
      <c r="LN509" s="75"/>
      <c r="LO509" s="75"/>
      <c r="LP509" s="75"/>
      <c r="LQ509" s="75"/>
      <c r="LR509" s="75"/>
      <c r="LS509" s="75"/>
      <c r="LT509" s="75"/>
      <c r="LU509" s="75"/>
      <c r="LV509" s="75"/>
      <c r="LW509" s="75"/>
      <c r="LX509" s="75"/>
      <c r="LY509" s="75"/>
      <c r="LZ509" s="75"/>
      <c r="MA509" s="75"/>
      <c r="MB509" s="75"/>
      <c r="MC509" s="75"/>
      <c r="MD509" s="75"/>
      <c r="ME509" s="75"/>
      <c r="MF509" s="75"/>
      <c r="MG509" s="75"/>
      <c r="MH509" s="75"/>
      <c r="MI509" s="75"/>
      <c r="MJ509" s="75"/>
      <c r="MK509" s="75"/>
      <c r="ML509" s="75"/>
      <c r="MM509" s="75"/>
      <c r="MN509" s="75"/>
      <c r="MO509" s="75"/>
      <c r="MP509" s="75"/>
      <c r="MQ509" s="75"/>
      <c r="MR509" s="75"/>
      <c r="MS509" s="75"/>
      <c r="MT509" s="75"/>
      <c r="MU509" s="75"/>
      <c r="MV509" s="75"/>
      <c r="MW509" s="75"/>
      <c r="MX509" s="75"/>
      <c r="MY509" s="75"/>
      <c r="MZ509" s="75"/>
      <c r="NA509" s="75"/>
      <c r="NB509" s="75"/>
      <c r="NC509" s="75"/>
      <c r="ND509" s="75"/>
      <c r="NE509" s="75"/>
      <c r="NF509" s="75"/>
      <c r="NG509" s="75"/>
      <c r="NH509" s="75"/>
      <c r="NI509" s="75"/>
      <c r="NJ509" s="75"/>
      <c r="NK509" s="75"/>
      <c r="NL509" s="75"/>
      <c r="NM509" s="75"/>
      <c r="NN509" s="75"/>
      <c r="NO509" s="75"/>
      <c r="NP509" s="75"/>
      <c r="NQ509" s="75"/>
      <c r="NR509" s="75"/>
      <c r="NS509" s="75"/>
      <c r="NT509" s="75"/>
      <c r="NU509" s="75"/>
      <c r="NV509" s="75"/>
      <c r="NW509" s="75"/>
      <c r="NX509" s="75"/>
      <c r="NY509" s="75"/>
      <c r="NZ509" s="75"/>
      <c r="OA509" s="75"/>
      <c r="OB509" s="75"/>
      <c r="OC509" s="75"/>
      <c r="OD509" s="75"/>
      <c r="OE509" s="75"/>
      <c r="OF509" s="75"/>
      <c r="OG509" s="75"/>
      <c r="OH509" s="75"/>
      <c r="OI509" s="75"/>
      <c r="OJ509" s="75"/>
      <c r="OK509" s="75"/>
      <c r="OL509" s="75"/>
      <c r="OM509" s="75"/>
      <c r="ON509" s="75"/>
      <c r="OO509" s="75"/>
      <c r="OP509" s="75"/>
      <c r="OQ509" s="75"/>
      <c r="OR509" s="75"/>
      <c r="OS509" s="75"/>
      <c r="OT509" s="75"/>
      <c r="OU509" s="75"/>
      <c r="OV509" s="75"/>
      <c r="OW509" s="75"/>
      <c r="OX509" s="75"/>
      <c r="OY509" s="75"/>
      <c r="OZ509" s="75"/>
      <c r="PA509" s="75"/>
      <c r="PB509" s="75"/>
      <c r="PC509" s="75"/>
      <c r="PD509" s="75"/>
      <c r="PE509" s="75"/>
      <c r="PF509" s="75"/>
      <c r="PG509" s="75"/>
      <c r="PH509" s="75"/>
      <c r="PI509" s="75"/>
      <c r="PJ509" s="75"/>
      <c r="PK509" s="75"/>
      <c r="PL509" s="75"/>
      <c r="PM509" s="75"/>
      <c r="PN509" s="75"/>
      <c r="PO509" s="75"/>
      <c r="PP509" s="75"/>
      <c r="PQ509" s="75"/>
      <c r="PR509" s="75"/>
      <c r="PS509" s="75"/>
      <c r="PT509" s="75"/>
      <c r="PU509" s="75"/>
      <c r="PV509" s="75"/>
      <c r="PW509" s="75"/>
      <c r="PX509" s="75"/>
      <c r="PY509" s="75"/>
      <c r="PZ509" s="75"/>
      <c r="QA509" s="75"/>
      <c r="QB509" s="75"/>
      <c r="QC509" s="75"/>
      <c r="QD509" s="75"/>
      <c r="QE509" s="75"/>
      <c r="QF509" s="75"/>
      <c r="QG509" s="75"/>
      <c r="QH509" s="75"/>
      <c r="QI509" s="75"/>
      <c r="QJ509" s="75"/>
      <c r="QK509" s="75"/>
      <c r="QL509" s="75"/>
      <c r="QM509" s="75"/>
      <c r="QN509" s="75"/>
      <c r="QO509" s="75"/>
      <c r="QP509" s="75"/>
      <c r="QQ509" s="75"/>
      <c r="QR509" s="75"/>
      <c r="QS509" s="75"/>
      <c r="QT509" s="75"/>
      <c r="QU509" s="75"/>
      <c r="QV509" s="75"/>
      <c r="QW509" s="75"/>
      <c r="QX509" s="75"/>
      <c r="QY509" s="75"/>
      <c r="QZ509" s="75"/>
      <c r="RA509" s="75"/>
      <c r="RB509" s="75"/>
      <c r="RC509" s="75"/>
      <c r="RD509" s="75"/>
      <c r="RE509" s="75"/>
      <c r="RF509" s="75"/>
      <c r="RG509" s="75"/>
      <c r="RH509" s="75"/>
      <c r="RI509" s="75"/>
      <c r="RJ509" s="75"/>
      <c r="RK509" s="75"/>
      <c r="RL509" s="75"/>
      <c r="RM509" s="75"/>
      <c r="RN509" s="75"/>
      <c r="RO509" s="75"/>
      <c r="RP509" s="75"/>
      <c r="RQ509" s="75"/>
      <c r="RR509" s="75"/>
      <c r="RS509" s="75"/>
      <c r="RT509" s="75"/>
      <c r="RU509" s="75"/>
      <c r="RV509" s="75"/>
      <c r="RW509" s="75"/>
      <c r="RX509" s="75"/>
      <c r="RY509" s="75"/>
      <c r="RZ509" s="75"/>
      <c r="SA509" s="75"/>
      <c r="SB509" s="75"/>
      <c r="SC509" s="75"/>
      <c r="SD509" s="75"/>
      <c r="SE509" s="75"/>
      <c r="SF509" s="75"/>
      <c r="SG509" s="75"/>
      <c r="SH509" s="75"/>
      <c r="SI509" s="75"/>
      <c r="SJ509" s="75"/>
      <c r="SK509" s="75"/>
      <c r="SL509" s="75"/>
      <c r="SM509" s="75"/>
      <c r="SN509" s="75"/>
      <c r="SO509" s="75"/>
      <c r="SP509" s="75"/>
      <c r="SQ509" s="75"/>
      <c r="SR509" s="75"/>
      <c r="SS509" s="75"/>
      <c r="ST509" s="75"/>
      <c r="SU509" s="75"/>
      <c r="SV509" s="75"/>
      <c r="SW509" s="75"/>
      <c r="SX509" s="75"/>
      <c r="SY509" s="75"/>
      <c r="SZ509" s="75"/>
      <c r="TA509" s="75"/>
      <c r="TB509" s="75"/>
      <c r="TC509" s="75"/>
      <c r="TD509" s="75"/>
      <c r="TE509" s="75"/>
      <c r="TF509" s="75"/>
      <c r="TG509" s="75"/>
      <c r="TH509" s="75"/>
      <c r="TI509" s="75"/>
      <c r="TJ509" s="75"/>
      <c r="TK509" s="75"/>
      <c r="TL509" s="75"/>
      <c r="TM509" s="75"/>
      <c r="TN509" s="75"/>
      <c r="TO509" s="75"/>
      <c r="TP509" s="75"/>
      <c r="TQ509" s="75"/>
      <c r="TR509" s="75"/>
      <c r="TS509" s="75"/>
      <c r="TT509" s="75"/>
      <c r="TU509" s="75"/>
      <c r="TV509" s="75"/>
      <c r="TW509" s="75"/>
      <c r="TX509" s="75"/>
      <c r="TY509" s="75"/>
      <c r="TZ509" s="75"/>
      <c r="UA509" s="75"/>
      <c r="UB509" s="75"/>
      <c r="UC509" s="75"/>
      <c r="UD509" s="75"/>
      <c r="UE509" s="75"/>
      <c r="UF509" s="75"/>
      <c r="UG509" s="75"/>
      <c r="UH509" s="75"/>
      <c r="UI509" s="75"/>
      <c r="UJ509" s="75"/>
      <c r="UK509" s="75"/>
      <c r="UL509" s="75"/>
      <c r="UM509" s="75"/>
      <c r="UN509" s="75"/>
      <c r="UO509" s="75"/>
      <c r="UP509" s="75"/>
      <c r="UQ509" s="75"/>
      <c r="UR509" s="75"/>
      <c r="US509" s="75"/>
      <c r="UT509" s="75"/>
      <c r="UU509" s="75"/>
      <c r="UV509" s="75"/>
      <c r="UW509" s="75"/>
      <c r="UX509" s="75"/>
      <c r="UY509" s="75"/>
      <c r="UZ509" s="75"/>
      <c r="VA509" s="75"/>
      <c r="VB509" s="75"/>
      <c r="VC509" s="75"/>
      <c r="VD509" s="75"/>
      <c r="VE509" s="75"/>
      <c r="VF509" s="75"/>
      <c r="VG509" s="75"/>
      <c r="VH509" s="75"/>
      <c r="VI509" s="75"/>
      <c r="VJ509" s="75"/>
      <c r="VK509" s="75"/>
      <c r="VL509" s="75"/>
      <c r="VM509" s="75"/>
      <c r="VN509" s="75"/>
      <c r="VO509" s="75"/>
      <c r="VP509" s="75"/>
      <c r="VQ509" s="75"/>
      <c r="VR509" s="75"/>
      <c r="VS509" s="75"/>
      <c r="VT509" s="75"/>
      <c r="VU509" s="75"/>
      <c r="VV509" s="75"/>
      <c r="VW509" s="75"/>
      <c r="VX509" s="75"/>
      <c r="VY509" s="75"/>
      <c r="VZ509" s="75"/>
      <c r="WA509" s="75"/>
      <c r="WB509" s="75"/>
      <c r="WC509" s="75"/>
      <c r="WD509" s="75"/>
      <c r="WE509" s="75"/>
      <c r="WF509" s="75"/>
      <c r="WG509" s="75"/>
      <c r="WH509" s="75"/>
      <c r="WI509" s="75"/>
      <c r="WJ509" s="75"/>
      <c r="WK509" s="75"/>
      <c r="WL509" s="75"/>
      <c r="WM509" s="75"/>
      <c r="WN509" s="75"/>
      <c r="WO509" s="75"/>
      <c r="WP509" s="75"/>
      <c r="WQ509" s="75"/>
      <c r="WR509" s="75"/>
      <c r="WS509" s="75"/>
      <c r="WT509" s="75"/>
      <c r="WU509" s="75"/>
      <c r="WV509" s="75"/>
      <c r="WW509" s="75"/>
      <c r="WX509" s="75"/>
      <c r="WY509" s="75"/>
      <c r="WZ509" s="75"/>
      <c r="XA509" s="75"/>
      <c r="XB509" s="75"/>
      <c r="XC509" s="75"/>
      <c r="XD509" s="75"/>
      <c r="XE509" s="75"/>
      <c r="XF509" s="75"/>
      <c r="XG509" s="75"/>
      <c r="XH509" s="75"/>
      <c r="XI509" s="75"/>
      <c r="XJ509" s="75"/>
      <c r="XK509" s="75"/>
      <c r="XL509" s="75"/>
      <c r="XM509" s="75"/>
      <c r="XN509" s="75"/>
      <c r="XO509" s="75"/>
      <c r="XP509" s="75"/>
      <c r="XQ509" s="75"/>
      <c r="XR509" s="75"/>
      <c r="XS509" s="75"/>
      <c r="XT509" s="75"/>
      <c r="XU509" s="75"/>
      <c r="XV509" s="75"/>
      <c r="XW509" s="75"/>
      <c r="XX509" s="75"/>
      <c r="XY509" s="75"/>
      <c r="XZ509" s="75"/>
      <c r="YA509" s="75"/>
      <c r="YB509" s="75"/>
      <c r="YC509" s="75"/>
      <c r="YD509" s="75"/>
      <c r="YE509" s="75"/>
      <c r="YF509" s="75"/>
      <c r="YG509" s="75"/>
      <c r="YH509" s="75"/>
      <c r="YI509" s="75"/>
      <c r="YJ509" s="75"/>
      <c r="YK509" s="75"/>
      <c r="YL509" s="75"/>
      <c r="YM509" s="75"/>
      <c r="YN509" s="75"/>
      <c r="YO509" s="75"/>
      <c r="YP509" s="75"/>
      <c r="YQ509" s="75"/>
      <c r="YR509" s="75"/>
      <c r="YS509" s="75"/>
      <c r="YT509" s="75"/>
      <c r="YU509" s="75"/>
      <c r="YV509" s="75"/>
      <c r="YW509" s="75"/>
      <c r="YX509" s="75"/>
      <c r="YY509" s="75"/>
      <c r="YZ509" s="75"/>
      <c r="ZA509" s="75"/>
      <c r="ZB509" s="75"/>
      <c r="ZC509" s="75"/>
      <c r="ZD509" s="75"/>
      <c r="ZE509" s="75"/>
      <c r="ZF509" s="75"/>
      <c r="ZG509" s="75"/>
      <c r="ZH509" s="75"/>
      <c r="ZI509" s="75"/>
      <c r="ZJ509" s="75"/>
      <c r="ZK509" s="75"/>
      <c r="ZL509" s="75"/>
      <c r="ZM509" s="75"/>
      <c r="ZN509" s="75"/>
      <c r="ZO509" s="75"/>
      <c r="ZP509" s="75"/>
      <c r="ZQ509" s="75"/>
      <c r="ZR509" s="75"/>
      <c r="ZS509" s="75"/>
      <c r="ZT509" s="75"/>
      <c r="ZU509" s="75"/>
      <c r="ZV509" s="75"/>
      <c r="ZW509" s="75"/>
      <c r="ZX509" s="75"/>
      <c r="ZY509" s="75"/>
      <c r="ZZ509" s="75"/>
      <c r="AAA509" s="75"/>
      <c r="AAB509" s="75"/>
      <c r="AAC509" s="75"/>
      <c r="AAD509" s="75"/>
      <c r="AAE509" s="75"/>
      <c r="AAF509" s="75"/>
      <c r="AAG509" s="75"/>
      <c r="AAH509" s="75"/>
      <c r="AAI509" s="75"/>
      <c r="AAJ509" s="75"/>
      <c r="AAK509" s="75"/>
      <c r="AAL509" s="75"/>
      <c r="AAM509" s="75"/>
      <c r="AAN509" s="75"/>
      <c r="AAO509" s="75"/>
      <c r="AAP509" s="75"/>
      <c r="AAQ509" s="75"/>
      <c r="AAR509" s="75"/>
      <c r="AAS509" s="75"/>
      <c r="AAT509" s="75"/>
      <c r="AAU509" s="75"/>
      <c r="AAV509" s="75"/>
      <c r="AAW509" s="75"/>
      <c r="AAX509" s="75"/>
      <c r="AAY509" s="75"/>
      <c r="AAZ509" s="75"/>
      <c r="ABA509" s="75"/>
      <c r="ABB509" s="75"/>
      <c r="ABC509" s="75"/>
      <c r="ABD509" s="75"/>
      <c r="ABE509" s="75"/>
      <c r="ABF509" s="75"/>
      <c r="ABG509" s="75"/>
      <c r="ABH509" s="75"/>
      <c r="ABI509" s="75"/>
      <c r="ABJ509" s="75"/>
      <c r="ABK509" s="75"/>
      <c r="ABL509" s="75"/>
      <c r="ABM509" s="75"/>
      <c r="ABN509" s="75"/>
      <c r="ABO509" s="75"/>
      <c r="ABP509" s="75"/>
      <c r="ABQ509" s="75"/>
      <c r="ABR509" s="75"/>
      <c r="ABS509" s="75"/>
      <c r="ABT509" s="75"/>
      <c r="ABU509" s="75"/>
      <c r="ABV509" s="75"/>
      <c r="ABW509" s="75"/>
      <c r="ABX509" s="75"/>
      <c r="ABY509" s="75"/>
      <c r="ABZ509" s="75"/>
      <c r="ACA509" s="75"/>
      <c r="ACB509" s="75"/>
      <c r="ACC509" s="75"/>
      <c r="ACD509" s="75"/>
      <c r="ACE509" s="75"/>
      <c r="ACF509" s="75"/>
      <c r="ACG509" s="75"/>
      <c r="ACH509" s="75"/>
      <c r="ACI509" s="75"/>
      <c r="ACJ509" s="75"/>
      <c r="ACK509" s="75"/>
      <c r="ACL509" s="75"/>
      <c r="ACM509" s="75"/>
      <c r="ACN509" s="75"/>
      <c r="ACO509" s="75"/>
      <c r="ACP509" s="75"/>
      <c r="ACQ509" s="75"/>
      <c r="ACR509" s="75"/>
      <c r="ACS509" s="75"/>
      <c r="ACT509" s="75"/>
      <c r="ACU509" s="75"/>
      <c r="ACV509" s="75"/>
      <c r="ACW509" s="75"/>
      <c r="ACX509" s="75"/>
      <c r="ACY509" s="75"/>
      <c r="ACZ509" s="75"/>
      <c r="ADA509" s="75"/>
      <c r="ADB509" s="75"/>
      <c r="ADC509" s="75"/>
      <c r="ADD509" s="75"/>
      <c r="ADE509" s="75"/>
      <c r="ADF509" s="75"/>
      <c r="ADG509" s="75"/>
      <c r="ADH509" s="75"/>
      <c r="ADI509" s="75"/>
      <c r="ADJ509" s="75"/>
      <c r="ADK509" s="75"/>
      <c r="ADL509" s="75"/>
      <c r="ADM509" s="75"/>
      <c r="ADN509" s="75"/>
      <c r="ADO509" s="75"/>
      <c r="ADP509" s="75"/>
      <c r="ADQ509" s="75"/>
      <c r="ADR509" s="75"/>
      <c r="ADS509" s="75"/>
      <c r="ADT509" s="75"/>
      <c r="ADU509" s="75"/>
      <c r="ADV509" s="75"/>
      <c r="ADW509" s="75"/>
      <c r="ADX509" s="75"/>
      <c r="ADY509" s="75"/>
      <c r="ADZ509" s="75"/>
      <c r="AEA509" s="75"/>
      <c r="AEB509" s="75"/>
      <c r="AEC509" s="75"/>
      <c r="AED509" s="75"/>
      <c r="AEE509" s="75"/>
      <c r="AEF509" s="75"/>
      <c r="AEG509" s="75"/>
      <c r="AEH509" s="75"/>
      <c r="AEI509" s="75"/>
      <c r="AEJ509" s="75"/>
      <c r="AEK509" s="75"/>
      <c r="AEL509" s="75"/>
      <c r="AEM509" s="75"/>
      <c r="AEN509" s="75"/>
      <c r="AEO509" s="75"/>
      <c r="AEP509" s="75"/>
      <c r="AEQ509" s="75"/>
      <c r="AER509" s="75"/>
      <c r="AES509" s="75"/>
      <c r="AET509" s="75"/>
      <c r="AEU509" s="75"/>
      <c r="AEV509" s="75"/>
      <c r="AEW509" s="75"/>
      <c r="AEX509" s="75"/>
      <c r="AEY509" s="75"/>
      <c r="AEZ509" s="75"/>
      <c r="AFA509" s="75"/>
      <c r="AFB509" s="75"/>
      <c r="AFC509" s="75"/>
      <c r="AFD509" s="75"/>
      <c r="AFE509" s="75"/>
      <c r="AFF509" s="75"/>
      <c r="AFG509" s="75"/>
      <c r="AFH509" s="75"/>
      <c r="AFI509" s="75"/>
      <c r="AFJ509" s="75"/>
      <c r="AFK509" s="75"/>
      <c r="AFL509" s="75"/>
      <c r="AFM509" s="75"/>
      <c r="AFN509" s="75"/>
      <c r="AFO509" s="75"/>
      <c r="AFP509" s="75"/>
      <c r="AFQ509" s="75"/>
      <c r="AFR509" s="75"/>
      <c r="AFS509" s="75"/>
      <c r="AFT509" s="75"/>
      <c r="AFU509" s="75"/>
      <c r="AFV509" s="75"/>
      <c r="AFW509" s="75"/>
      <c r="AFX509" s="75"/>
      <c r="AFY509" s="75"/>
      <c r="AFZ509" s="75"/>
      <c r="AGA509" s="75"/>
      <c r="AGB509" s="75"/>
      <c r="AGC509" s="75"/>
      <c r="AGD509" s="75"/>
      <c r="AGE509" s="75"/>
      <c r="AGF509" s="75"/>
      <c r="AGG509" s="75"/>
      <c r="AGH509" s="75"/>
      <c r="AGI509" s="75"/>
      <c r="AGJ509" s="75"/>
      <c r="AGK509" s="75"/>
      <c r="AGL509" s="75"/>
      <c r="AGM509" s="75"/>
      <c r="AGN509" s="75"/>
      <c r="AGO509" s="75"/>
      <c r="AGP509" s="75"/>
      <c r="AGQ509" s="75"/>
      <c r="AGR509" s="75"/>
      <c r="AGS509" s="75"/>
      <c r="AGT509" s="75"/>
      <c r="AGU509" s="75"/>
      <c r="AGV509" s="75"/>
      <c r="AGW509" s="75"/>
      <c r="AGX509" s="75"/>
      <c r="AGY509" s="75"/>
      <c r="AGZ509" s="75"/>
      <c r="AHA509" s="75"/>
      <c r="AHB509" s="75"/>
      <c r="AHC509" s="75"/>
      <c r="AHD509" s="75"/>
      <c r="AHE509" s="75"/>
      <c r="AHF509" s="75"/>
      <c r="AHG509" s="75"/>
      <c r="AHH509" s="75"/>
      <c r="AHI509" s="75"/>
      <c r="AHJ509" s="75"/>
      <c r="AHK509" s="75"/>
      <c r="AHL509" s="75"/>
      <c r="AHM509" s="75"/>
      <c r="AHN509" s="75"/>
      <c r="AHO509" s="75"/>
      <c r="AHP509" s="75"/>
      <c r="AHQ509" s="75"/>
      <c r="AHR509" s="75"/>
      <c r="AHS509" s="75"/>
      <c r="AHT509" s="75"/>
      <c r="AHU509" s="75"/>
      <c r="AHV509" s="75"/>
      <c r="AHW509" s="75"/>
      <c r="AHX509" s="75"/>
      <c r="AHY509" s="75"/>
      <c r="AHZ509" s="75"/>
      <c r="AIA509" s="75"/>
      <c r="AIB509" s="75"/>
      <c r="AIC509" s="75"/>
      <c r="AID509" s="75"/>
      <c r="AIE509" s="75"/>
      <c r="AIF509" s="75"/>
      <c r="AIG509" s="75"/>
      <c r="AIH509" s="75"/>
      <c r="AII509" s="75"/>
      <c r="AIJ509" s="75"/>
      <c r="AIK509" s="75"/>
      <c r="AIL509" s="75"/>
      <c r="AIM509" s="75"/>
      <c r="AIN509" s="75"/>
      <c r="AIO509" s="75"/>
      <c r="AIP509" s="75"/>
      <c r="AIQ509" s="75"/>
      <c r="AIR509" s="75"/>
      <c r="AIS509" s="75"/>
      <c r="AIT509" s="75"/>
      <c r="AIU509" s="75"/>
      <c r="AIV509" s="75"/>
      <c r="AIW509" s="75"/>
      <c r="AIX509" s="75"/>
      <c r="AIY509" s="75"/>
      <c r="AIZ509" s="75"/>
      <c r="AJA509" s="75"/>
      <c r="AJB509" s="75"/>
      <c r="AJC509" s="75"/>
      <c r="AJD509" s="75"/>
      <c r="AJE509" s="75"/>
      <c r="AJF509" s="75"/>
      <c r="AJG509" s="75"/>
      <c r="AJH509" s="75"/>
      <c r="AJI509" s="75"/>
      <c r="AJJ509" s="75"/>
      <c r="AJK509" s="75"/>
      <c r="AJL509" s="75"/>
      <c r="AJM509" s="75"/>
      <c r="AJN509" s="75"/>
      <c r="AJO509" s="75"/>
      <c r="AJP509" s="75"/>
      <c r="AJQ509" s="75"/>
      <c r="AJR509" s="75"/>
      <c r="AJS509" s="75"/>
      <c r="AJT509" s="75"/>
      <c r="AJU509" s="75"/>
      <c r="AJV509" s="75"/>
      <c r="AJW509" s="75"/>
      <c r="AJX509" s="75"/>
      <c r="AJY509" s="75"/>
      <c r="AJZ509" s="75"/>
      <c r="AKA509" s="75"/>
      <c r="AKB509" s="75"/>
      <c r="AKC509" s="75"/>
      <c r="AKD509" s="75"/>
      <c r="AKE509" s="75"/>
      <c r="AKF509" s="75"/>
      <c r="AKG509" s="75"/>
      <c r="AKH509" s="75"/>
      <c r="AKI509" s="75"/>
      <c r="AKJ509" s="75"/>
      <c r="AKK509" s="75"/>
      <c r="AKL509" s="75"/>
      <c r="AKM509" s="75"/>
      <c r="AKN509" s="75"/>
      <c r="AKO509" s="75"/>
      <c r="AKP509" s="75"/>
      <c r="AKQ509" s="75"/>
      <c r="AKR509" s="75"/>
      <c r="AKS509" s="75"/>
      <c r="AKT509" s="75"/>
      <c r="AKU509" s="75"/>
      <c r="AKV509" s="75"/>
      <c r="AKW509" s="75"/>
      <c r="AKX509" s="75"/>
      <c r="AKY509" s="75"/>
      <c r="AKZ509" s="75"/>
      <c r="ALA509" s="75"/>
      <c r="ALB509" s="75"/>
      <c r="ALC509" s="75"/>
      <c r="ALD509" s="75"/>
      <c r="ALE509" s="75"/>
      <c r="ALF509" s="75"/>
      <c r="ALG509" s="75"/>
      <c r="ALH509" s="75"/>
      <c r="ALI509" s="75"/>
      <c r="ALJ509" s="75"/>
      <c r="ALK509" s="75"/>
      <c r="ALL509" s="75"/>
      <c r="ALM509" s="75"/>
      <c r="ALN509" s="75"/>
      <c r="ALO509" s="75"/>
    </row>
    <row r="510" spans="1:1003" s="235" customFormat="1" ht="14.55" customHeight="1" outlineLevel="1" x14ac:dyDescent="0.25">
      <c r="A510" s="230" t="s">
        <v>1422</v>
      </c>
      <c r="B510" s="343" t="str">
        <f>"13.0901"</f>
        <v>13.0901</v>
      </c>
      <c r="C510" s="75" t="s">
        <v>2203</v>
      </c>
      <c r="D510" s="127" t="s">
        <v>2205</v>
      </c>
      <c r="E510" s="232"/>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c r="AY510" s="75"/>
      <c r="AZ510" s="75"/>
      <c r="BA510" s="75"/>
      <c r="BB510" s="75"/>
      <c r="BC510" s="75"/>
      <c r="BD510" s="75"/>
      <c r="BE510" s="75"/>
      <c r="BF510" s="75"/>
      <c r="BG510" s="75"/>
      <c r="BH510" s="75"/>
      <c r="BI510" s="75"/>
      <c r="BJ510" s="75"/>
      <c r="BK510" s="75"/>
      <c r="BL510" s="75"/>
      <c r="BM510" s="75"/>
      <c r="BN510" s="75"/>
      <c r="BO510" s="75"/>
      <c r="BP510" s="75"/>
      <c r="BQ510" s="75"/>
      <c r="BR510" s="75"/>
      <c r="BS510" s="75"/>
      <c r="BT510" s="75"/>
      <c r="BU510" s="75"/>
      <c r="BV510" s="75"/>
      <c r="BW510" s="75"/>
      <c r="BX510" s="75"/>
      <c r="BY510" s="75"/>
      <c r="BZ510" s="75"/>
      <c r="CA510" s="75"/>
      <c r="CB510" s="75"/>
      <c r="CC510" s="75"/>
      <c r="CD510" s="75"/>
      <c r="CE510" s="75"/>
      <c r="CF510" s="75"/>
      <c r="CG510" s="75"/>
      <c r="CH510" s="75"/>
      <c r="CI510" s="75"/>
      <c r="CJ510" s="75"/>
      <c r="CK510" s="75"/>
      <c r="CL510" s="75"/>
      <c r="CM510" s="75"/>
      <c r="CN510" s="75"/>
      <c r="CO510" s="75"/>
      <c r="CP510" s="75"/>
      <c r="CQ510" s="75"/>
      <c r="CR510" s="75"/>
      <c r="CS510" s="75"/>
      <c r="CT510" s="75"/>
      <c r="CU510" s="75"/>
      <c r="CV510" s="75"/>
      <c r="CW510" s="75"/>
      <c r="CX510" s="75"/>
      <c r="CY510" s="75"/>
      <c r="CZ510" s="75"/>
      <c r="DA510" s="75"/>
      <c r="DB510" s="75"/>
      <c r="DC510" s="75"/>
      <c r="DD510" s="75"/>
      <c r="DE510" s="75"/>
      <c r="DF510" s="75"/>
      <c r="DG510" s="75"/>
      <c r="DH510" s="75"/>
      <c r="DI510" s="75"/>
      <c r="DJ510" s="75"/>
      <c r="DK510" s="75"/>
      <c r="DL510" s="75"/>
      <c r="DM510" s="75"/>
      <c r="DN510" s="75"/>
      <c r="DO510" s="75"/>
      <c r="DP510" s="75"/>
      <c r="DQ510" s="75"/>
      <c r="DR510" s="75"/>
      <c r="DS510" s="75"/>
      <c r="DT510" s="75"/>
      <c r="DU510" s="75"/>
      <c r="DV510" s="75"/>
      <c r="DW510" s="75"/>
      <c r="DX510" s="75"/>
      <c r="DY510" s="75"/>
      <c r="DZ510" s="75"/>
      <c r="EA510" s="75"/>
      <c r="EB510" s="75"/>
      <c r="EC510" s="75"/>
      <c r="ED510" s="75"/>
      <c r="EE510" s="75"/>
      <c r="EF510" s="75"/>
      <c r="EG510" s="75"/>
      <c r="EH510" s="75"/>
      <c r="EI510" s="75"/>
      <c r="EJ510" s="75"/>
      <c r="EK510" s="75"/>
      <c r="EL510" s="75"/>
      <c r="EM510" s="75"/>
      <c r="EN510" s="75"/>
      <c r="EO510" s="75"/>
      <c r="EP510" s="75"/>
      <c r="EQ510" s="75"/>
      <c r="ER510" s="75"/>
      <c r="ES510" s="75"/>
      <c r="ET510" s="75"/>
      <c r="EU510" s="75"/>
      <c r="EV510" s="75"/>
      <c r="EW510" s="75"/>
      <c r="EX510" s="75"/>
      <c r="EY510" s="75"/>
      <c r="EZ510" s="75"/>
      <c r="FA510" s="75"/>
      <c r="FB510" s="75"/>
      <c r="FC510" s="75"/>
      <c r="FD510" s="75"/>
      <c r="FE510" s="75"/>
      <c r="FF510" s="75"/>
      <c r="FG510" s="75"/>
      <c r="FH510" s="75"/>
      <c r="FI510" s="75"/>
      <c r="FJ510" s="75"/>
      <c r="FK510" s="75"/>
      <c r="FL510" s="75"/>
      <c r="FM510" s="75"/>
      <c r="FN510" s="75"/>
      <c r="FO510" s="75"/>
      <c r="FP510" s="75"/>
      <c r="FQ510" s="75"/>
      <c r="FR510" s="75"/>
      <c r="FS510" s="75"/>
      <c r="FT510" s="75"/>
      <c r="FU510" s="75"/>
      <c r="FV510" s="75"/>
      <c r="FW510" s="75"/>
      <c r="FX510" s="75"/>
      <c r="FY510" s="75"/>
      <c r="FZ510" s="75"/>
      <c r="GA510" s="75"/>
      <c r="GB510" s="75"/>
      <c r="GC510" s="75"/>
      <c r="GD510" s="75"/>
      <c r="GE510" s="75"/>
      <c r="GF510" s="75"/>
      <c r="GG510" s="75"/>
      <c r="GH510" s="75"/>
      <c r="GI510" s="75"/>
      <c r="GJ510" s="75"/>
      <c r="GK510" s="75"/>
      <c r="GL510" s="75"/>
      <c r="GM510" s="75"/>
      <c r="GN510" s="75"/>
      <c r="GO510" s="75"/>
      <c r="GP510" s="75"/>
      <c r="GQ510" s="75"/>
      <c r="GR510" s="75"/>
      <c r="GS510" s="75"/>
      <c r="GT510" s="75"/>
      <c r="GU510" s="75"/>
      <c r="GV510" s="75"/>
      <c r="GW510" s="75"/>
      <c r="GX510" s="75"/>
      <c r="GY510" s="75"/>
      <c r="GZ510" s="75"/>
      <c r="HA510" s="75"/>
      <c r="HB510" s="75"/>
      <c r="HC510" s="75"/>
      <c r="HD510" s="75"/>
      <c r="HE510" s="75"/>
      <c r="HF510" s="75"/>
      <c r="HG510" s="75"/>
      <c r="HH510" s="75"/>
      <c r="HI510" s="75"/>
      <c r="HJ510" s="75"/>
      <c r="HK510" s="75"/>
      <c r="HL510" s="75"/>
      <c r="HM510" s="75"/>
      <c r="HN510" s="75"/>
      <c r="HO510" s="75"/>
      <c r="HP510" s="75"/>
      <c r="HQ510" s="75"/>
      <c r="HR510" s="75"/>
      <c r="HS510" s="75"/>
      <c r="HT510" s="75"/>
      <c r="HU510" s="75"/>
      <c r="HV510" s="75"/>
      <c r="HW510" s="75"/>
      <c r="HX510" s="75"/>
      <c r="HY510" s="75"/>
      <c r="HZ510" s="75"/>
      <c r="IA510" s="75"/>
      <c r="IB510" s="75"/>
      <c r="IC510" s="75"/>
      <c r="ID510" s="75"/>
      <c r="IE510" s="75"/>
      <c r="IF510" s="75"/>
      <c r="IG510" s="75"/>
      <c r="IH510" s="75"/>
      <c r="II510" s="75"/>
      <c r="IJ510" s="75"/>
      <c r="IK510" s="75"/>
      <c r="IL510" s="75"/>
      <c r="IM510" s="75"/>
      <c r="IN510" s="75"/>
      <c r="IO510" s="75"/>
      <c r="IP510" s="75"/>
      <c r="IQ510" s="75"/>
      <c r="IR510" s="75"/>
      <c r="IS510" s="75"/>
      <c r="IT510" s="75"/>
      <c r="IU510" s="75"/>
      <c r="IV510" s="75"/>
      <c r="IW510" s="75"/>
      <c r="IX510" s="75"/>
      <c r="IY510" s="75"/>
      <c r="IZ510" s="75"/>
      <c r="JA510" s="75"/>
      <c r="JB510" s="75"/>
      <c r="JC510" s="75"/>
      <c r="JD510" s="75"/>
      <c r="JE510" s="75"/>
      <c r="JF510" s="75"/>
      <c r="JG510" s="75"/>
      <c r="JH510" s="75"/>
      <c r="JI510" s="75"/>
      <c r="JJ510" s="75"/>
      <c r="JK510" s="75"/>
      <c r="JL510" s="75"/>
      <c r="JM510" s="75"/>
      <c r="JN510" s="75"/>
      <c r="JO510" s="75"/>
      <c r="JP510" s="75"/>
      <c r="JQ510" s="75"/>
      <c r="JR510" s="75"/>
      <c r="JS510" s="75"/>
      <c r="JT510" s="75"/>
      <c r="JU510" s="75"/>
      <c r="JV510" s="75"/>
      <c r="JW510" s="75"/>
      <c r="JX510" s="75"/>
      <c r="JY510" s="75"/>
      <c r="JZ510" s="75"/>
      <c r="KA510" s="75"/>
      <c r="KB510" s="75"/>
      <c r="KC510" s="75"/>
      <c r="KD510" s="75"/>
      <c r="KE510" s="75"/>
      <c r="KF510" s="75"/>
      <c r="KG510" s="75"/>
      <c r="KH510" s="75"/>
      <c r="KI510" s="75"/>
      <c r="KJ510" s="75"/>
      <c r="KK510" s="75"/>
      <c r="KL510" s="75"/>
      <c r="KM510" s="75"/>
      <c r="KN510" s="75"/>
      <c r="KO510" s="75"/>
      <c r="KP510" s="75"/>
      <c r="KQ510" s="75"/>
      <c r="KR510" s="75"/>
      <c r="KS510" s="75"/>
      <c r="KT510" s="75"/>
      <c r="KU510" s="75"/>
      <c r="KV510" s="75"/>
      <c r="KW510" s="75"/>
      <c r="KX510" s="75"/>
      <c r="KY510" s="75"/>
      <c r="KZ510" s="75"/>
      <c r="LA510" s="75"/>
      <c r="LB510" s="75"/>
      <c r="LC510" s="75"/>
      <c r="LD510" s="75"/>
      <c r="LE510" s="75"/>
      <c r="LF510" s="75"/>
      <c r="LG510" s="75"/>
      <c r="LH510" s="75"/>
      <c r="LI510" s="75"/>
      <c r="LJ510" s="75"/>
      <c r="LK510" s="75"/>
      <c r="LL510" s="75"/>
      <c r="LM510" s="75"/>
      <c r="LN510" s="75"/>
      <c r="LO510" s="75"/>
      <c r="LP510" s="75"/>
      <c r="LQ510" s="75"/>
      <c r="LR510" s="75"/>
      <c r="LS510" s="75"/>
      <c r="LT510" s="75"/>
      <c r="LU510" s="75"/>
      <c r="LV510" s="75"/>
      <c r="LW510" s="75"/>
      <c r="LX510" s="75"/>
      <c r="LY510" s="75"/>
      <c r="LZ510" s="75"/>
      <c r="MA510" s="75"/>
      <c r="MB510" s="75"/>
      <c r="MC510" s="75"/>
      <c r="MD510" s="75"/>
      <c r="ME510" s="75"/>
      <c r="MF510" s="75"/>
      <c r="MG510" s="75"/>
      <c r="MH510" s="75"/>
      <c r="MI510" s="75"/>
      <c r="MJ510" s="75"/>
      <c r="MK510" s="75"/>
      <c r="ML510" s="75"/>
      <c r="MM510" s="75"/>
      <c r="MN510" s="75"/>
      <c r="MO510" s="75"/>
      <c r="MP510" s="75"/>
      <c r="MQ510" s="75"/>
      <c r="MR510" s="75"/>
      <c r="MS510" s="75"/>
      <c r="MT510" s="75"/>
      <c r="MU510" s="75"/>
      <c r="MV510" s="75"/>
      <c r="MW510" s="75"/>
      <c r="MX510" s="75"/>
      <c r="MY510" s="75"/>
      <c r="MZ510" s="75"/>
      <c r="NA510" s="75"/>
      <c r="NB510" s="75"/>
      <c r="NC510" s="75"/>
      <c r="ND510" s="75"/>
      <c r="NE510" s="75"/>
      <c r="NF510" s="75"/>
      <c r="NG510" s="75"/>
      <c r="NH510" s="75"/>
      <c r="NI510" s="75"/>
      <c r="NJ510" s="75"/>
      <c r="NK510" s="75"/>
      <c r="NL510" s="75"/>
      <c r="NM510" s="75"/>
      <c r="NN510" s="75"/>
      <c r="NO510" s="75"/>
      <c r="NP510" s="75"/>
      <c r="NQ510" s="75"/>
      <c r="NR510" s="75"/>
      <c r="NS510" s="75"/>
      <c r="NT510" s="75"/>
      <c r="NU510" s="75"/>
      <c r="NV510" s="75"/>
      <c r="NW510" s="75"/>
      <c r="NX510" s="75"/>
      <c r="NY510" s="75"/>
      <c r="NZ510" s="75"/>
      <c r="OA510" s="75"/>
      <c r="OB510" s="75"/>
      <c r="OC510" s="75"/>
      <c r="OD510" s="75"/>
      <c r="OE510" s="75"/>
      <c r="OF510" s="75"/>
      <c r="OG510" s="75"/>
      <c r="OH510" s="75"/>
      <c r="OI510" s="75"/>
      <c r="OJ510" s="75"/>
      <c r="OK510" s="75"/>
      <c r="OL510" s="75"/>
      <c r="OM510" s="75"/>
      <c r="ON510" s="75"/>
      <c r="OO510" s="75"/>
      <c r="OP510" s="75"/>
      <c r="OQ510" s="75"/>
      <c r="OR510" s="75"/>
      <c r="OS510" s="75"/>
      <c r="OT510" s="75"/>
      <c r="OU510" s="75"/>
      <c r="OV510" s="75"/>
      <c r="OW510" s="75"/>
      <c r="OX510" s="75"/>
      <c r="OY510" s="75"/>
      <c r="OZ510" s="75"/>
      <c r="PA510" s="75"/>
      <c r="PB510" s="75"/>
      <c r="PC510" s="75"/>
      <c r="PD510" s="75"/>
      <c r="PE510" s="75"/>
      <c r="PF510" s="75"/>
      <c r="PG510" s="75"/>
      <c r="PH510" s="75"/>
      <c r="PI510" s="75"/>
      <c r="PJ510" s="75"/>
      <c r="PK510" s="75"/>
      <c r="PL510" s="75"/>
      <c r="PM510" s="75"/>
      <c r="PN510" s="75"/>
      <c r="PO510" s="75"/>
      <c r="PP510" s="75"/>
      <c r="PQ510" s="75"/>
      <c r="PR510" s="75"/>
      <c r="PS510" s="75"/>
      <c r="PT510" s="75"/>
      <c r="PU510" s="75"/>
      <c r="PV510" s="75"/>
      <c r="PW510" s="75"/>
      <c r="PX510" s="75"/>
      <c r="PY510" s="75"/>
      <c r="PZ510" s="75"/>
      <c r="QA510" s="75"/>
      <c r="QB510" s="75"/>
      <c r="QC510" s="75"/>
      <c r="QD510" s="75"/>
      <c r="QE510" s="75"/>
      <c r="QF510" s="75"/>
      <c r="QG510" s="75"/>
      <c r="QH510" s="75"/>
      <c r="QI510" s="75"/>
      <c r="QJ510" s="75"/>
      <c r="QK510" s="75"/>
      <c r="QL510" s="75"/>
      <c r="QM510" s="75"/>
      <c r="QN510" s="75"/>
      <c r="QO510" s="75"/>
      <c r="QP510" s="75"/>
      <c r="QQ510" s="75"/>
      <c r="QR510" s="75"/>
      <c r="QS510" s="75"/>
      <c r="QT510" s="75"/>
      <c r="QU510" s="75"/>
      <c r="QV510" s="75"/>
      <c r="QW510" s="75"/>
      <c r="QX510" s="75"/>
      <c r="QY510" s="75"/>
      <c r="QZ510" s="75"/>
      <c r="RA510" s="75"/>
      <c r="RB510" s="75"/>
      <c r="RC510" s="75"/>
      <c r="RD510" s="75"/>
      <c r="RE510" s="75"/>
      <c r="RF510" s="75"/>
      <c r="RG510" s="75"/>
      <c r="RH510" s="75"/>
      <c r="RI510" s="75"/>
      <c r="RJ510" s="75"/>
      <c r="RK510" s="75"/>
      <c r="RL510" s="75"/>
      <c r="RM510" s="75"/>
      <c r="RN510" s="75"/>
      <c r="RO510" s="75"/>
      <c r="RP510" s="75"/>
      <c r="RQ510" s="75"/>
      <c r="RR510" s="75"/>
      <c r="RS510" s="75"/>
      <c r="RT510" s="75"/>
      <c r="RU510" s="75"/>
      <c r="RV510" s="75"/>
      <c r="RW510" s="75"/>
      <c r="RX510" s="75"/>
      <c r="RY510" s="75"/>
      <c r="RZ510" s="75"/>
      <c r="SA510" s="75"/>
      <c r="SB510" s="75"/>
      <c r="SC510" s="75"/>
      <c r="SD510" s="75"/>
      <c r="SE510" s="75"/>
      <c r="SF510" s="75"/>
      <c r="SG510" s="75"/>
      <c r="SH510" s="75"/>
      <c r="SI510" s="75"/>
      <c r="SJ510" s="75"/>
      <c r="SK510" s="75"/>
      <c r="SL510" s="75"/>
      <c r="SM510" s="75"/>
      <c r="SN510" s="75"/>
      <c r="SO510" s="75"/>
      <c r="SP510" s="75"/>
      <c r="SQ510" s="75"/>
      <c r="SR510" s="75"/>
      <c r="SS510" s="75"/>
      <c r="ST510" s="75"/>
      <c r="SU510" s="75"/>
      <c r="SV510" s="75"/>
      <c r="SW510" s="75"/>
      <c r="SX510" s="75"/>
      <c r="SY510" s="75"/>
      <c r="SZ510" s="75"/>
      <c r="TA510" s="75"/>
      <c r="TB510" s="75"/>
      <c r="TC510" s="75"/>
      <c r="TD510" s="75"/>
      <c r="TE510" s="75"/>
      <c r="TF510" s="75"/>
      <c r="TG510" s="75"/>
      <c r="TH510" s="75"/>
      <c r="TI510" s="75"/>
      <c r="TJ510" s="75"/>
      <c r="TK510" s="75"/>
      <c r="TL510" s="75"/>
      <c r="TM510" s="75"/>
      <c r="TN510" s="75"/>
      <c r="TO510" s="75"/>
      <c r="TP510" s="75"/>
      <c r="TQ510" s="75"/>
      <c r="TR510" s="75"/>
      <c r="TS510" s="75"/>
      <c r="TT510" s="75"/>
      <c r="TU510" s="75"/>
      <c r="TV510" s="75"/>
      <c r="TW510" s="75"/>
      <c r="TX510" s="75"/>
      <c r="TY510" s="75"/>
      <c r="TZ510" s="75"/>
      <c r="UA510" s="75"/>
      <c r="UB510" s="75"/>
      <c r="UC510" s="75"/>
      <c r="UD510" s="75"/>
      <c r="UE510" s="75"/>
      <c r="UF510" s="75"/>
      <c r="UG510" s="75"/>
      <c r="UH510" s="75"/>
      <c r="UI510" s="75"/>
      <c r="UJ510" s="75"/>
      <c r="UK510" s="75"/>
      <c r="UL510" s="75"/>
      <c r="UM510" s="75"/>
      <c r="UN510" s="75"/>
      <c r="UO510" s="75"/>
      <c r="UP510" s="75"/>
      <c r="UQ510" s="75"/>
      <c r="UR510" s="75"/>
      <c r="US510" s="75"/>
      <c r="UT510" s="75"/>
      <c r="UU510" s="75"/>
      <c r="UV510" s="75"/>
      <c r="UW510" s="75"/>
      <c r="UX510" s="75"/>
      <c r="UY510" s="75"/>
      <c r="UZ510" s="75"/>
      <c r="VA510" s="75"/>
      <c r="VB510" s="75"/>
      <c r="VC510" s="75"/>
      <c r="VD510" s="75"/>
      <c r="VE510" s="75"/>
      <c r="VF510" s="75"/>
      <c r="VG510" s="75"/>
      <c r="VH510" s="75"/>
      <c r="VI510" s="75"/>
      <c r="VJ510" s="75"/>
      <c r="VK510" s="75"/>
      <c r="VL510" s="75"/>
      <c r="VM510" s="75"/>
      <c r="VN510" s="75"/>
      <c r="VO510" s="75"/>
      <c r="VP510" s="75"/>
      <c r="VQ510" s="75"/>
      <c r="VR510" s="75"/>
      <c r="VS510" s="75"/>
      <c r="VT510" s="75"/>
      <c r="VU510" s="75"/>
      <c r="VV510" s="75"/>
      <c r="VW510" s="75"/>
      <c r="VX510" s="75"/>
      <c r="VY510" s="75"/>
      <c r="VZ510" s="75"/>
      <c r="WA510" s="75"/>
      <c r="WB510" s="75"/>
      <c r="WC510" s="75"/>
      <c r="WD510" s="75"/>
      <c r="WE510" s="75"/>
      <c r="WF510" s="75"/>
      <c r="WG510" s="75"/>
      <c r="WH510" s="75"/>
      <c r="WI510" s="75"/>
      <c r="WJ510" s="75"/>
      <c r="WK510" s="75"/>
      <c r="WL510" s="75"/>
      <c r="WM510" s="75"/>
      <c r="WN510" s="75"/>
      <c r="WO510" s="75"/>
      <c r="WP510" s="75"/>
      <c r="WQ510" s="75"/>
      <c r="WR510" s="75"/>
      <c r="WS510" s="75"/>
      <c r="WT510" s="75"/>
      <c r="WU510" s="75"/>
      <c r="WV510" s="75"/>
      <c r="WW510" s="75"/>
      <c r="WX510" s="75"/>
      <c r="WY510" s="75"/>
      <c r="WZ510" s="75"/>
      <c r="XA510" s="75"/>
      <c r="XB510" s="75"/>
      <c r="XC510" s="75"/>
      <c r="XD510" s="75"/>
      <c r="XE510" s="75"/>
      <c r="XF510" s="75"/>
      <c r="XG510" s="75"/>
      <c r="XH510" s="75"/>
      <c r="XI510" s="75"/>
      <c r="XJ510" s="75"/>
      <c r="XK510" s="75"/>
      <c r="XL510" s="75"/>
      <c r="XM510" s="75"/>
      <c r="XN510" s="75"/>
      <c r="XO510" s="75"/>
      <c r="XP510" s="75"/>
      <c r="XQ510" s="75"/>
      <c r="XR510" s="75"/>
      <c r="XS510" s="75"/>
      <c r="XT510" s="75"/>
      <c r="XU510" s="75"/>
      <c r="XV510" s="75"/>
      <c r="XW510" s="75"/>
      <c r="XX510" s="75"/>
      <c r="XY510" s="75"/>
      <c r="XZ510" s="75"/>
      <c r="YA510" s="75"/>
      <c r="YB510" s="75"/>
      <c r="YC510" s="75"/>
      <c r="YD510" s="75"/>
      <c r="YE510" s="75"/>
      <c r="YF510" s="75"/>
      <c r="YG510" s="75"/>
      <c r="YH510" s="75"/>
      <c r="YI510" s="75"/>
      <c r="YJ510" s="75"/>
      <c r="YK510" s="75"/>
      <c r="YL510" s="75"/>
      <c r="YM510" s="75"/>
      <c r="YN510" s="75"/>
      <c r="YO510" s="75"/>
      <c r="YP510" s="75"/>
      <c r="YQ510" s="75"/>
      <c r="YR510" s="75"/>
      <c r="YS510" s="75"/>
      <c r="YT510" s="75"/>
      <c r="YU510" s="75"/>
      <c r="YV510" s="75"/>
      <c r="YW510" s="75"/>
      <c r="YX510" s="75"/>
      <c r="YY510" s="75"/>
      <c r="YZ510" s="75"/>
      <c r="ZA510" s="75"/>
      <c r="ZB510" s="75"/>
      <c r="ZC510" s="75"/>
      <c r="ZD510" s="75"/>
      <c r="ZE510" s="75"/>
      <c r="ZF510" s="75"/>
      <c r="ZG510" s="75"/>
      <c r="ZH510" s="75"/>
      <c r="ZI510" s="75"/>
      <c r="ZJ510" s="75"/>
      <c r="ZK510" s="75"/>
      <c r="ZL510" s="75"/>
      <c r="ZM510" s="75"/>
      <c r="ZN510" s="75"/>
      <c r="ZO510" s="75"/>
      <c r="ZP510" s="75"/>
      <c r="ZQ510" s="75"/>
      <c r="ZR510" s="75"/>
      <c r="ZS510" s="75"/>
      <c r="ZT510" s="75"/>
      <c r="ZU510" s="75"/>
      <c r="ZV510" s="75"/>
      <c r="ZW510" s="75"/>
      <c r="ZX510" s="75"/>
      <c r="ZY510" s="75"/>
      <c r="ZZ510" s="75"/>
      <c r="AAA510" s="75"/>
      <c r="AAB510" s="75"/>
      <c r="AAC510" s="75"/>
      <c r="AAD510" s="75"/>
      <c r="AAE510" s="75"/>
      <c r="AAF510" s="75"/>
      <c r="AAG510" s="75"/>
      <c r="AAH510" s="75"/>
      <c r="AAI510" s="75"/>
      <c r="AAJ510" s="75"/>
      <c r="AAK510" s="75"/>
      <c r="AAL510" s="75"/>
      <c r="AAM510" s="75"/>
      <c r="AAN510" s="75"/>
      <c r="AAO510" s="75"/>
      <c r="AAP510" s="75"/>
      <c r="AAQ510" s="75"/>
      <c r="AAR510" s="75"/>
      <c r="AAS510" s="75"/>
      <c r="AAT510" s="75"/>
      <c r="AAU510" s="75"/>
      <c r="AAV510" s="75"/>
      <c r="AAW510" s="75"/>
      <c r="AAX510" s="75"/>
      <c r="AAY510" s="75"/>
      <c r="AAZ510" s="75"/>
      <c r="ABA510" s="75"/>
      <c r="ABB510" s="75"/>
      <c r="ABC510" s="75"/>
      <c r="ABD510" s="75"/>
      <c r="ABE510" s="75"/>
      <c r="ABF510" s="75"/>
      <c r="ABG510" s="75"/>
      <c r="ABH510" s="75"/>
      <c r="ABI510" s="75"/>
      <c r="ABJ510" s="75"/>
      <c r="ABK510" s="75"/>
      <c r="ABL510" s="75"/>
      <c r="ABM510" s="75"/>
      <c r="ABN510" s="75"/>
      <c r="ABO510" s="75"/>
      <c r="ABP510" s="75"/>
      <c r="ABQ510" s="75"/>
      <c r="ABR510" s="75"/>
      <c r="ABS510" s="75"/>
      <c r="ABT510" s="75"/>
      <c r="ABU510" s="75"/>
      <c r="ABV510" s="75"/>
      <c r="ABW510" s="75"/>
      <c r="ABX510" s="75"/>
      <c r="ABY510" s="75"/>
      <c r="ABZ510" s="75"/>
      <c r="ACA510" s="75"/>
      <c r="ACB510" s="75"/>
      <c r="ACC510" s="75"/>
      <c r="ACD510" s="75"/>
      <c r="ACE510" s="75"/>
      <c r="ACF510" s="75"/>
      <c r="ACG510" s="75"/>
      <c r="ACH510" s="75"/>
      <c r="ACI510" s="75"/>
      <c r="ACJ510" s="75"/>
      <c r="ACK510" s="75"/>
      <c r="ACL510" s="75"/>
      <c r="ACM510" s="75"/>
      <c r="ACN510" s="75"/>
      <c r="ACO510" s="75"/>
      <c r="ACP510" s="75"/>
      <c r="ACQ510" s="75"/>
      <c r="ACR510" s="75"/>
      <c r="ACS510" s="75"/>
      <c r="ACT510" s="75"/>
      <c r="ACU510" s="75"/>
      <c r="ACV510" s="75"/>
      <c r="ACW510" s="75"/>
      <c r="ACX510" s="75"/>
      <c r="ACY510" s="75"/>
      <c r="ACZ510" s="75"/>
      <c r="ADA510" s="75"/>
      <c r="ADB510" s="75"/>
      <c r="ADC510" s="75"/>
      <c r="ADD510" s="75"/>
      <c r="ADE510" s="75"/>
      <c r="ADF510" s="75"/>
      <c r="ADG510" s="75"/>
      <c r="ADH510" s="75"/>
      <c r="ADI510" s="75"/>
      <c r="ADJ510" s="75"/>
      <c r="ADK510" s="75"/>
      <c r="ADL510" s="75"/>
      <c r="ADM510" s="75"/>
      <c r="ADN510" s="75"/>
      <c r="ADO510" s="75"/>
      <c r="ADP510" s="75"/>
      <c r="ADQ510" s="75"/>
      <c r="ADR510" s="75"/>
      <c r="ADS510" s="75"/>
      <c r="ADT510" s="75"/>
      <c r="ADU510" s="75"/>
      <c r="ADV510" s="75"/>
      <c r="ADW510" s="75"/>
      <c r="ADX510" s="75"/>
      <c r="ADY510" s="75"/>
      <c r="ADZ510" s="75"/>
      <c r="AEA510" s="75"/>
      <c r="AEB510" s="75"/>
      <c r="AEC510" s="75"/>
      <c r="AED510" s="75"/>
      <c r="AEE510" s="75"/>
      <c r="AEF510" s="75"/>
      <c r="AEG510" s="75"/>
      <c r="AEH510" s="75"/>
      <c r="AEI510" s="75"/>
      <c r="AEJ510" s="75"/>
      <c r="AEK510" s="75"/>
      <c r="AEL510" s="75"/>
      <c r="AEM510" s="75"/>
      <c r="AEN510" s="75"/>
      <c r="AEO510" s="75"/>
      <c r="AEP510" s="75"/>
      <c r="AEQ510" s="75"/>
      <c r="AER510" s="75"/>
      <c r="AES510" s="75"/>
      <c r="AET510" s="75"/>
      <c r="AEU510" s="75"/>
      <c r="AEV510" s="75"/>
      <c r="AEW510" s="75"/>
      <c r="AEX510" s="75"/>
      <c r="AEY510" s="75"/>
      <c r="AEZ510" s="75"/>
      <c r="AFA510" s="75"/>
      <c r="AFB510" s="75"/>
      <c r="AFC510" s="75"/>
      <c r="AFD510" s="75"/>
      <c r="AFE510" s="75"/>
      <c r="AFF510" s="75"/>
      <c r="AFG510" s="75"/>
      <c r="AFH510" s="75"/>
      <c r="AFI510" s="75"/>
      <c r="AFJ510" s="75"/>
      <c r="AFK510" s="75"/>
      <c r="AFL510" s="75"/>
      <c r="AFM510" s="75"/>
      <c r="AFN510" s="75"/>
      <c r="AFO510" s="75"/>
      <c r="AFP510" s="75"/>
      <c r="AFQ510" s="75"/>
      <c r="AFR510" s="75"/>
      <c r="AFS510" s="75"/>
      <c r="AFT510" s="75"/>
      <c r="AFU510" s="75"/>
      <c r="AFV510" s="75"/>
      <c r="AFW510" s="75"/>
      <c r="AFX510" s="75"/>
      <c r="AFY510" s="75"/>
      <c r="AFZ510" s="75"/>
      <c r="AGA510" s="75"/>
      <c r="AGB510" s="75"/>
      <c r="AGC510" s="75"/>
      <c r="AGD510" s="75"/>
      <c r="AGE510" s="75"/>
      <c r="AGF510" s="75"/>
      <c r="AGG510" s="75"/>
      <c r="AGH510" s="75"/>
      <c r="AGI510" s="75"/>
      <c r="AGJ510" s="75"/>
      <c r="AGK510" s="75"/>
      <c r="AGL510" s="75"/>
      <c r="AGM510" s="75"/>
      <c r="AGN510" s="75"/>
      <c r="AGO510" s="75"/>
      <c r="AGP510" s="75"/>
      <c r="AGQ510" s="75"/>
      <c r="AGR510" s="75"/>
      <c r="AGS510" s="75"/>
      <c r="AGT510" s="75"/>
      <c r="AGU510" s="75"/>
      <c r="AGV510" s="75"/>
      <c r="AGW510" s="75"/>
      <c r="AGX510" s="75"/>
      <c r="AGY510" s="75"/>
      <c r="AGZ510" s="75"/>
      <c r="AHA510" s="75"/>
      <c r="AHB510" s="75"/>
      <c r="AHC510" s="75"/>
      <c r="AHD510" s="75"/>
      <c r="AHE510" s="75"/>
      <c r="AHF510" s="75"/>
      <c r="AHG510" s="75"/>
      <c r="AHH510" s="75"/>
      <c r="AHI510" s="75"/>
      <c r="AHJ510" s="75"/>
      <c r="AHK510" s="75"/>
      <c r="AHL510" s="75"/>
      <c r="AHM510" s="75"/>
      <c r="AHN510" s="75"/>
      <c r="AHO510" s="75"/>
      <c r="AHP510" s="75"/>
      <c r="AHQ510" s="75"/>
      <c r="AHR510" s="75"/>
      <c r="AHS510" s="75"/>
      <c r="AHT510" s="75"/>
      <c r="AHU510" s="75"/>
      <c r="AHV510" s="75"/>
      <c r="AHW510" s="75"/>
      <c r="AHX510" s="75"/>
      <c r="AHY510" s="75"/>
      <c r="AHZ510" s="75"/>
      <c r="AIA510" s="75"/>
      <c r="AIB510" s="75"/>
      <c r="AIC510" s="75"/>
      <c r="AID510" s="75"/>
      <c r="AIE510" s="75"/>
      <c r="AIF510" s="75"/>
      <c r="AIG510" s="75"/>
      <c r="AIH510" s="75"/>
      <c r="AII510" s="75"/>
      <c r="AIJ510" s="75"/>
      <c r="AIK510" s="75"/>
      <c r="AIL510" s="75"/>
      <c r="AIM510" s="75"/>
      <c r="AIN510" s="75"/>
      <c r="AIO510" s="75"/>
      <c r="AIP510" s="75"/>
      <c r="AIQ510" s="75"/>
      <c r="AIR510" s="75"/>
      <c r="AIS510" s="75"/>
      <c r="AIT510" s="75"/>
      <c r="AIU510" s="75"/>
      <c r="AIV510" s="75"/>
      <c r="AIW510" s="75"/>
      <c r="AIX510" s="75"/>
      <c r="AIY510" s="75"/>
      <c r="AIZ510" s="75"/>
      <c r="AJA510" s="75"/>
      <c r="AJB510" s="75"/>
      <c r="AJC510" s="75"/>
      <c r="AJD510" s="75"/>
      <c r="AJE510" s="75"/>
      <c r="AJF510" s="75"/>
      <c r="AJG510" s="75"/>
      <c r="AJH510" s="75"/>
      <c r="AJI510" s="75"/>
      <c r="AJJ510" s="75"/>
      <c r="AJK510" s="75"/>
      <c r="AJL510" s="75"/>
      <c r="AJM510" s="75"/>
      <c r="AJN510" s="75"/>
      <c r="AJO510" s="75"/>
      <c r="AJP510" s="75"/>
      <c r="AJQ510" s="75"/>
      <c r="AJR510" s="75"/>
      <c r="AJS510" s="75"/>
      <c r="AJT510" s="75"/>
      <c r="AJU510" s="75"/>
      <c r="AJV510" s="75"/>
      <c r="AJW510" s="75"/>
      <c r="AJX510" s="75"/>
      <c r="AJY510" s="75"/>
      <c r="AJZ510" s="75"/>
      <c r="AKA510" s="75"/>
      <c r="AKB510" s="75"/>
      <c r="AKC510" s="75"/>
      <c r="AKD510" s="75"/>
      <c r="AKE510" s="75"/>
      <c r="AKF510" s="75"/>
      <c r="AKG510" s="75"/>
      <c r="AKH510" s="75"/>
      <c r="AKI510" s="75"/>
      <c r="AKJ510" s="75"/>
      <c r="AKK510" s="75"/>
      <c r="AKL510" s="75"/>
      <c r="AKM510" s="75"/>
      <c r="AKN510" s="75"/>
      <c r="AKO510" s="75"/>
      <c r="AKP510" s="75"/>
      <c r="AKQ510" s="75"/>
      <c r="AKR510" s="75"/>
      <c r="AKS510" s="75"/>
      <c r="AKT510" s="75"/>
      <c r="AKU510" s="75"/>
      <c r="AKV510" s="75"/>
      <c r="AKW510" s="75"/>
      <c r="AKX510" s="75"/>
      <c r="AKY510" s="75"/>
      <c r="AKZ510" s="75"/>
      <c r="ALA510" s="75"/>
      <c r="ALB510" s="75"/>
      <c r="ALC510" s="75"/>
      <c r="ALD510" s="75"/>
      <c r="ALE510" s="75"/>
      <c r="ALF510" s="75"/>
      <c r="ALG510" s="75"/>
      <c r="ALH510" s="75"/>
      <c r="ALI510" s="75"/>
      <c r="ALJ510" s="75"/>
      <c r="ALK510" s="75"/>
      <c r="ALL510" s="75"/>
      <c r="ALM510" s="75"/>
      <c r="ALN510" s="75"/>
      <c r="ALO510" s="75"/>
    </row>
    <row r="511" spans="1:1003" s="235" customFormat="1" ht="14.55" customHeight="1" outlineLevel="1" x14ac:dyDescent="0.25">
      <c r="A511" s="230" t="s">
        <v>1422</v>
      </c>
      <c r="B511" s="343" t="str">
        <f>"13.10"</f>
        <v>13.10</v>
      </c>
      <c r="C511" s="75" t="s">
        <v>2206</v>
      </c>
      <c r="D511" s="127" t="s">
        <v>2207</v>
      </c>
      <c r="E511" s="232"/>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c r="AY511" s="75"/>
      <c r="AZ511" s="75"/>
      <c r="BA511" s="75"/>
      <c r="BB511" s="75"/>
      <c r="BC511" s="75"/>
      <c r="BD511" s="75"/>
      <c r="BE511" s="75"/>
      <c r="BF511" s="75"/>
      <c r="BG511" s="75"/>
      <c r="BH511" s="75"/>
      <c r="BI511" s="75"/>
      <c r="BJ511" s="75"/>
      <c r="BK511" s="75"/>
      <c r="BL511" s="75"/>
      <c r="BM511" s="75"/>
      <c r="BN511" s="75"/>
      <c r="BO511" s="75"/>
      <c r="BP511" s="75"/>
      <c r="BQ511" s="75"/>
      <c r="BR511" s="75"/>
      <c r="BS511" s="75"/>
      <c r="BT511" s="75"/>
      <c r="BU511" s="75"/>
      <c r="BV511" s="75"/>
      <c r="BW511" s="75"/>
      <c r="BX511" s="75"/>
      <c r="BY511" s="75"/>
      <c r="BZ511" s="75"/>
      <c r="CA511" s="75"/>
      <c r="CB511" s="75"/>
      <c r="CC511" s="75"/>
      <c r="CD511" s="75"/>
      <c r="CE511" s="75"/>
      <c r="CF511" s="75"/>
      <c r="CG511" s="75"/>
      <c r="CH511" s="75"/>
      <c r="CI511" s="75"/>
      <c r="CJ511" s="75"/>
      <c r="CK511" s="75"/>
      <c r="CL511" s="75"/>
      <c r="CM511" s="75"/>
      <c r="CN511" s="75"/>
      <c r="CO511" s="75"/>
      <c r="CP511" s="75"/>
      <c r="CQ511" s="75"/>
      <c r="CR511" s="75"/>
      <c r="CS511" s="75"/>
      <c r="CT511" s="75"/>
      <c r="CU511" s="75"/>
      <c r="CV511" s="75"/>
      <c r="CW511" s="75"/>
      <c r="CX511" s="75"/>
      <c r="CY511" s="75"/>
      <c r="CZ511" s="75"/>
      <c r="DA511" s="75"/>
      <c r="DB511" s="75"/>
      <c r="DC511" s="75"/>
      <c r="DD511" s="75"/>
      <c r="DE511" s="75"/>
      <c r="DF511" s="75"/>
      <c r="DG511" s="75"/>
      <c r="DH511" s="75"/>
      <c r="DI511" s="75"/>
      <c r="DJ511" s="75"/>
      <c r="DK511" s="75"/>
      <c r="DL511" s="75"/>
      <c r="DM511" s="75"/>
      <c r="DN511" s="75"/>
      <c r="DO511" s="75"/>
      <c r="DP511" s="75"/>
      <c r="DQ511" s="75"/>
      <c r="DR511" s="75"/>
      <c r="DS511" s="75"/>
      <c r="DT511" s="75"/>
      <c r="DU511" s="75"/>
      <c r="DV511" s="75"/>
      <c r="DW511" s="75"/>
      <c r="DX511" s="75"/>
      <c r="DY511" s="75"/>
      <c r="DZ511" s="75"/>
      <c r="EA511" s="75"/>
      <c r="EB511" s="75"/>
      <c r="EC511" s="75"/>
      <c r="ED511" s="75"/>
      <c r="EE511" s="75"/>
      <c r="EF511" s="75"/>
      <c r="EG511" s="75"/>
      <c r="EH511" s="75"/>
      <c r="EI511" s="75"/>
      <c r="EJ511" s="75"/>
      <c r="EK511" s="75"/>
      <c r="EL511" s="75"/>
      <c r="EM511" s="75"/>
      <c r="EN511" s="75"/>
      <c r="EO511" s="75"/>
      <c r="EP511" s="75"/>
      <c r="EQ511" s="75"/>
      <c r="ER511" s="75"/>
      <c r="ES511" s="75"/>
      <c r="ET511" s="75"/>
      <c r="EU511" s="75"/>
      <c r="EV511" s="75"/>
      <c r="EW511" s="75"/>
      <c r="EX511" s="75"/>
      <c r="EY511" s="75"/>
      <c r="EZ511" s="75"/>
      <c r="FA511" s="75"/>
      <c r="FB511" s="75"/>
      <c r="FC511" s="75"/>
      <c r="FD511" s="75"/>
      <c r="FE511" s="75"/>
      <c r="FF511" s="75"/>
      <c r="FG511" s="75"/>
      <c r="FH511" s="75"/>
      <c r="FI511" s="75"/>
      <c r="FJ511" s="75"/>
      <c r="FK511" s="75"/>
      <c r="FL511" s="75"/>
      <c r="FM511" s="75"/>
      <c r="FN511" s="75"/>
      <c r="FO511" s="75"/>
      <c r="FP511" s="75"/>
      <c r="FQ511" s="75"/>
      <c r="FR511" s="75"/>
      <c r="FS511" s="75"/>
      <c r="FT511" s="75"/>
      <c r="FU511" s="75"/>
      <c r="FV511" s="75"/>
      <c r="FW511" s="75"/>
      <c r="FX511" s="75"/>
      <c r="FY511" s="75"/>
      <c r="FZ511" s="75"/>
      <c r="GA511" s="75"/>
      <c r="GB511" s="75"/>
      <c r="GC511" s="75"/>
      <c r="GD511" s="75"/>
      <c r="GE511" s="75"/>
      <c r="GF511" s="75"/>
      <c r="GG511" s="75"/>
      <c r="GH511" s="75"/>
      <c r="GI511" s="75"/>
      <c r="GJ511" s="75"/>
      <c r="GK511" s="75"/>
      <c r="GL511" s="75"/>
      <c r="GM511" s="75"/>
      <c r="GN511" s="75"/>
      <c r="GO511" s="75"/>
      <c r="GP511" s="75"/>
      <c r="GQ511" s="75"/>
      <c r="GR511" s="75"/>
      <c r="GS511" s="75"/>
      <c r="GT511" s="75"/>
      <c r="GU511" s="75"/>
      <c r="GV511" s="75"/>
      <c r="GW511" s="75"/>
      <c r="GX511" s="75"/>
      <c r="GY511" s="75"/>
      <c r="GZ511" s="75"/>
      <c r="HA511" s="75"/>
      <c r="HB511" s="75"/>
      <c r="HC511" s="75"/>
      <c r="HD511" s="75"/>
      <c r="HE511" s="75"/>
      <c r="HF511" s="75"/>
      <c r="HG511" s="75"/>
      <c r="HH511" s="75"/>
      <c r="HI511" s="75"/>
      <c r="HJ511" s="75"/>
      <c r="HK511" s="75"/>
      <c r="HL511" s="75"/>
      <c r="HM511" s="75"/>
      <c r="HN511" s="75"/>
      <c r="HO511" s="75"/>
      <c r="HP511" s="75"/>
      <c r="HQ511" s="75"/>
      <c r="HR511" s="75"/>
      <c r="HS511" s="75"/>
      <c r="HT511" s="75"/>
      <c r="HU511" s="75"/>
      <c r="HV511" s="75"/>
      <c r="HW511" s="75"/>
      <c r="HX511" s="75"/>
      <c r="HY511" s="75"/>
      <c r="HZ511" s="75"/>
      <c r="IA511" s="75"/>
      <c r="IB511" s="75"/>
      <c r="IC511" s="75"/>
      <c r="ID511" s="75"/>
      <c r="IE511" s="75"/>
      <c r="IF511" s="75"/>
      <c r="IG511" s="75"/>
      <c r="IH511" s="75"/>
      <c r="II511" s="75"/>
      <c r="IJ511" s="75"/>
      <c r="IK511" s="75"/>
      <c r="IL511" s="75"/>
      <c r="IM511" s="75"/>
      <c r="IN511" s="75"/>
      <c r="IO511" s="75"/>
      <c r="IP511" s="75"/>
      <c r="IQ511" s="75"/>
      <c r="IR511" s="75"/>
      <c r="IS511" s="75"/>
      <c r="IT511" s="75"/>
      <c r="IU511" s="75"/>
      <c r="IV511" s="75"/>
      <c r="IW511" s="75"/>
      <c r="IX511" s="75"/>
      <c r="IY511" s="75"/>
      <c r="IZ511" s="75"/>
      <c r="JA511" s="75"/>
      <c r="JB511" s="75"/>
      <c r="JC511" s="75"/>
      <c r="JD511" s="75"/>
      <c r="JE511" s="75"/>
      <c r="JF511" s="75"/>
      <c r="JG511" s="75"/>
      <c r="JH511" s="75"/>
      <c r="JI511" s="75"/>
      <c r="JJ511" s="75"/>
      <c r="JK511" s="75"/>
      <c r="JL511" s="75"/>
      <c r="JM511" s="75"/>
      <c r="JN511" s="75"/>
      <c r="JO511" s="75"/>
      <c r="JP511" s="75"/>
      <c r="JQ511" s="75"/>
      <c r="JR511" s="75"/>
      <c r="JS511" s="75"/>
      <c r="JT511" s="75"/>
      <c r="JU511" s="75"/>
      <c r="JV511" s="75"/>
      <c r="JW511" s="75"/>
      <c r="JX511" s="75"/>
      <c r="JY511" s="75"/>
      <c r="JZ511" s="75"/>
      <c r="KA511" s="75"/>
      <c r="KB511" s="75"/>
      <c r="KC511" s="75"/>
      <c r="KD511" s="75"/>
      <c r="KE511" s="75"/>
      <c r="KF511" s="75"/>
      <c r="KG511" s="75"/>
      <c r="KH511" s="75"/>
      <c r="KI511" s="75"/>
      <c r="KJ511" s="75"/>
      <c r="KK511" s="75"/>
      <c r="KL511" s="75"/>
      <c r="KM511" s="75"/>
      <c r="KN511" s="75"/>
      <c r="KO511" s="75"/>
      <c r="KP511" s="75"/>
      <c r="KQ511" s="75"/>
      <c r="KR511" s="75"/>
      <c r="KS511" s="75"/>
      <c r="KT511" s="75"/>
      <c r="KU511" s="75"/>
      <c r="KV511" s="75"/>
      <c r="KW511" s="75"/>
      <c r="KX511" s="75"/>
      <c r="KY511" s="75"/>
      <c r="KZ511" s="75"/>
      <c r="LA511" s="75"/>
      <c r="LB511" s="75"/>
      <c r="LC511" s="75"/>
      <c r="LD511" s="75"/>
      <c r="LE511" s="75"/>
      <c r="LF511" s="75"/>
      <c r="LG511" s="75"/>
      <c r="LH511" s="75"/>
      <c r="LI511" s="75"/>
      <c r="LJ511" s="75"/>
      <c r="LK511" s="75"/>
      <c r="LL511" s="75"/>
      <c r="LM511" s="75"/>
      <c r="LN511" s="75"/>
      <c r="LO511" s="75"/>
      <c r="LP511" s="75"/>
      <c r="LQ511" s="75"/>
      <c r="LR511" s="75"/>
      <c r="LS511" s="75"/>
      <c r="LT511" s="75"/>
      <c r="LU511" s="75"/>
      <c r="LV511" s="75"/>
      <c r="LW511" s="75"/>
      <c r="LX511" s="75"/>
      <c r="LY511" s="75"/>
      <c r="LZ511" s="75"/>
      <c r="MA511" s="75"/>
      <c r="MB511" s="75"/>
      <c r="MC511" s="75"/>
      <c r="MD511" s="75"/>
      <c r="ME511" s="75"/>
      <c r="MF511" s="75"/>
      <c r="MG511" s="75"/>
      <c r="MH511" s="75"/>
      <c r="MI511" s="75"/>
      <c r="MJ511" s="75"/>
      <c r="MK511" s="75"/>
      <c r="ML511" s="75"/>
      <c r="MM511" s="75"/>
      <c r="MN511" s="75"/>
      <c r="MO511" s="75"/>
      <c r="MP511" s="75"/>
      <c r="MQ511" s="75"/>
      <c r="MR511" s="75"/>
      <c r="MS511" s="75"/>
      <c r="MT511" s="75"/>
      <c r="MU511" s="75"/>
      <c r="MV511" s="75"/>
      <c r="MW511" s="75"/>
      <c r="MX511" s="75"/>
      <c r="MY511" s="75"/>
      <c r="MZ511" s="75"/>
      <c r="NA511" s="75"/>
      <c r="NB511" s="75"/>
      <c r="NC511" s="75"/>
      <c r="ND511" s="75"/>
      <c r="NE511" s="75"/>
      <c r="NF511" s="75"/>
      <c r="NG511" s="75"/>
      <c r="NH511" s="75"/>
      <c r="NI511" s="75"/>
      <c r="NJ511" s="75"/>
      <c r="NK511" s="75"/>
      <c r="NL511" s="75"/>
      <c r="NM511" s="75"/>
      <c r="NN511" s="75"/>
      <c r="NO511" s="75"/>
      <c r="NP511" s="75"/>
      <c r="NQ511" s="75"/>
      <c r="NR511" s="75"/>
      <c r="NS511" s="75"/>
      <c r="NT511" s="75"/>
      <c r="NU511" s="75"/>
      <c r="NV511" s="75"/>
      <c r="NW511" s="75"/>
      <c r="NX511" s="75"/>
      <c r="NY511" s="75"/>
      <c r="NZ511" s="75"/>
      <c r="OA511" s="75"/>
      <c r="OB511" s="75"/>
      <c r="OC511" s="75"/>
      <c r="OD511" s="75"/>
      <c r="OE511" s="75"/>
      <c r="OF511" s="75"/>
      <c r="OG511" s="75"/>
      <c r="OH511" s="75"/>
      <c r="OI511" s="75"/>
      <c r="OJ511" s="75"/>
      <c r="OK511" s="75"/>
      <c r="OL511" s="75"/>
      <c r="OM511" s="75"/>
      <c r="ON511" s="75"/>
      <c r="OO511" s="75"/>
      <c r="OP511" s="75"/>
      <c r="OQ511" s="75"/>
      <c r="OR511" s="75"/>
      <c r="OS511" s="75"/>
      <c r="OT511" s="75"/>
      <c r="OU511" s="75"/>
      <c r="OV511" s="75"/>
      <c r="OW511" s="75"/>
      <c r="OX511" s="75"/>
      <c r="OY511" s="75"/>
      <c r="OZ511" s="75"/>
      <c r="PA511" s="75"/>
      <c r="PB511" s="75"/>
      <c r="PC511" s="75"/>
      <c r="PD511" s="75"/>
      <c r="PE511" s="75"/>
      <c r="PF511" s="75"/>
      <c r="PG511" s="75"/>
      <c r="PH511" s="75"/>
      <c r="PI511" s="75"/>
      <c r="PJ511" s="75"/>
      <c r="PK511" s="75"/>
      <c r="PL511" s="75"/>
      <c r="PM511" s="75"/>
      <c r="PN511" s="75"/>
      <c r="PO511" s="75"/>
      <c r="PP511" s="75"/>
      <c r="PQ511" s="75"/>
      <c r="PR511" s="75"/>
      <c r="PS511" s="75"/>
      <c r="PT511" s="75"/>
      <c r="PU511" s="75"/>
      <c r="PV511" s="75"/>
      <c r="PW511" s="75"/>
      <c r="PX511" s="75"/>
      <c r="PY511" s="75"/>
      <c r="PZ511" s="75"/>
      <c r="QA511" s="75"/>
      <c r="QB511" s="75"/>
      <c r="QC511" s="75"/>
      <c r="QD511" s="75"/>
      <c r="QE511" s="75"/>
      <c r="QF511" s="75"/>
      <c r="QG511" s="75"/>
      <c r="QH511" s="75"/>
      <c r="QI511" s="75"/>
      <c r="QJ511" s="75"/>
      <c r="QK511" s="75"/>
      <c r="QL511" s="75"/>
      <c r="QM511" s="75"/>
      <c r="QN511" s="75"/>
      <c r="QO511" s="75"/>
      <c r="QP511" s="75"/>
      <c r="QQ511" s="75"/>
      <c r="QR511" s="75"/>
      <c r="QS511" s="75"/>
      <c r="QT511" s="75"/>
      <c r="QU511" s="75"/>
      <c r="QV511" s="75"/>
      <c r="QW511" s="75"/>
      <c r="QX511" s="75"/>
      <c r="QY511" s="75"/>
      <c r="QZ511" s="75"/>
      <c r="RA511" s="75"/>
      <c r="RB511" s="75"/>
      <c r="RC511" s="75"/>
      <c r="RD511" s="75"/>
      <c r="RE511" s="75"/>
      <c r="RF511" s="75"/>
      <c r="RG511" s="75"/>
      <c r="RH511" s="75"/>
      <c r="RI511" s="75"/>
      <c r="RJ511" s="75"/>
      <c r="RK511" s="75"/>
      <c r="RL511" s="75"/>
      <c r="RM511" s="75"/>
      <c r="RN511" s="75"/>
      <c r="RO511" s="75"/>
      <c r="RP511" s="75"/>
      <c r="RQ511" s="75"/>
      <c r="RR511" s="75"/>
      <c r="RS511" s="75"/>
      <c r="RT511" s="75"/>
      <c r="RU511" s="75"/>
      <c r="RV511" s="75"/>
      <c r="RW511" s="75"/>
      <c r="RX511" s="75"/>
      <c r="RY511" s="75"/>
      <c r="RZ511" s="75"/>
      <c r="SA511" s="75"/>
      <c r="SB511" s="75"/>
      <c r="SC511" s="75"/>
      <c r="SD511" s="75"/>
      <c r="SE511" s="75"/>
      <c r="SF511" s="75"/>
      <c r="SG511" s="75"/>
      <c r="SH511" s="75"/>
      <c r="SI511" s="75"/>
      <c r="SJ511" s="75"/>
      <c r="SK511" s="75"/>
      <c r="SL511" s="75"/>
      <c r="SM511" s="75"/>
      <c r="SN511" s="75"/>
      <c r="SO511" s="75"/>
      <c r="SP511" s="75"/>
      <c r="SQ511" s="75"/>
      <c r="SR511" s="75"/>
      <c r="SS511" s="75"/>
      <c r="ST511" s="75"/>
      <c r="SU511" s="75"/>
      <c r="SV511" s="75"/>
      <c r="SW511" s="75"/>
      <c r="SX511" s="75"/>
      <c r="SY511" s="75"/>
      <c r="SZ511" s="75"/>
      <c r="TA511" s="75"/>
      <c r="TB511" s="75"/>
      <c r="TC511" s="75"/>
      <c r="TD511" s="75"/>
      <c r="TE511" s="75"/>
      <c r="TF511" s="75"/>
      <c r="TG511" s="75"/>
      <c r="TH511" s="75"/>
      <c r="TI511" s="75"/>
      <c r="TJ511" s="75"/>
      <c r="TK511" s="75"/>
      <c r="TL511" s="75"/>
      <c r="TM511" s="75"/>
      <c r="TN511" s="75"/>
      <c r="TO511" s="75"/>
      <c r="TP511" s="75"/>
      <c r="TQ511" s="75"/>
      <c r="TR511" s="75"/>
      <c r="TS511" s="75"/>
      <c r="TT511" s="75"/>
      <c r="TU511" s="75"/>
      <c r="TV511" s="75"/>
      <c r="TW511" s="75"/>
      <c r="TX511" s="75"/>
      <c r="TY511" s="75"/>
      <c r="TZ511" s="75"/>
      <c r="UA511" s="75"/>
      <c r="UB511" s="75"/>
      <c r="UC511" s="75"/>
      <c r="UD511" s="75"/>
      <c r="UE511" s="75"/>
      <c r="UF511" s="75"/>
      <c r="UG511" s="75"/>
      <c r="UH511" s="75"/>
      <c r="UI511" s="75"/>
      <c r="UJ511" s="75"/>
      <c r="UK511" s="75"/>
      <c r="UL511" s="75"/>
      <c r="UM511" s="75"/>
      <c r="UN511" s="75"/>
      <c r="UO511" s="75"/>
      <c r="UP511" s="75"/>
      <c r="UQ511" s="75"/>
      <c r="UR511" s="75"/>
      <c r="US511" s="75"/>
      <c r="UT511" s="75"/>
      <c r="UU511" s="75"/>
      <c r="UV511" s="75"/>
      <c r="UW511" s="75"/>
      <c r="UX511" s="75"/>
      <c r="UY511" s="75"/>
      <c r="UZ511" s="75"/>
      <c r="VA511" s="75"/>
      <c r="VB511" s="75"/>
      <c r="VC511" s="75"/>
      <c r="VD511" s="75"/>
      <c r="VE511" s="75"/>
      <c r="VF511" s="75"/>
      <c r="VG511" s="75"/>
      <c r="VH511" s="75"/>
      <c r="VI511" s="75"/>
      <c r="VJ511" s="75"/>
      <c r="VK511" s="75"/>
      <c r="VL511" s="75"/>
      <c r="VM511" s="75"/>
      <c r="VN511" s="75"/>
      <c r="VO511" s="75"/>
      <c r="VP511" s="75"/>
      <c r="VQ511" s="75"/>
      <c r="VR511" s="75"/>
      <c r="VS511" s="75"/>
      <c r="VT511" s="75"/>
      <c r="VU511" s="75"/>
      <c r="VV511" s="75"/>
      <c r="VW511" s="75"/>
      <c r="VX511" s="75"/>
      <c r="VY511" s="75"/>
      <c r="VZ511" s="75"/>
      <c r="WA511" s="75"/>
      <c r="WB511" s="75"/>
      <c r="WC511" s="75"/>
      <c r="WD511" s="75"/>
      <c r="WE511" s="75"/>
      <c r="WF511" s="75"/>
      <c r="WG511" s="75"/>
      <c r="WH511" s="75"/>
      <c r="WI511" s="75"/>
      <c r="WJ511" s="75"/>
      <c r="WK511" s="75"/>
      <c r="WL511" s="75"/>
      <c r="WM511" s="75"/>
      <c r="WN511" s="75"/>
      <c r="WO511" s="75"/>
      <c r="WP511" s="75"/>
      <c r="WQ511" s="75"/>
      <c r="WR511" s="75"/>
      <c r="WS511" s="75"/>
      <c r="WT511" s="75"/>
      <c r="WU511" s="75"/>
      <c r="WV511" s="75"/>
      <c r="WW511" s="75"/>
      <c r="WX511" s="75"/>
      <c r="WY511" s="75"/>
      <c r="WZ511" s="75"/>
      <c r="XA511" s="75"/>
      <c r="XB511" s="75"/>
      <c r="XC511" s="75"/>
      <c r="XD511" s="75"/>
      <c r="XE511" s="75"/>
      <c r="XF511" s="75"/>
      <c r="XG511" s="75"/>
      <c r="XH511" s="75"/>
      <c r="XI511" s="75"/>
      <c r="XJ511" s="75"/>
      <c r="XK511" s="75"/>
      <c r="XL511" s="75"/>
      <c r="XM511" s="75"/>
      <c r="XN511" s="75"/>
      <c r="XO511" s="75"/>
      <c r="XP511" s="75"/>
      <c r="XQ511" s="75"/>
      <c r="XR511" s="75"/>
      <c r="XS511" s="75"/>
      <c r="XT511" s="75"/>
      <c r="XU511" s="75"/>
      <c r="XV511" s="75"/>
      <c r="XW511" s="75"/>
      <c r="XX511" s="75"/>
      <c r="XY511" s="75"/>
      <c r="XZ511" s="75"/>
      <c r="YA511" s="75"/>
      <c r="YB511" s="75"/>
      <c r="YC511" s="75"/>
      <c r="YD511" s="75"/>
      <c r="YE511" s="75"/>
      <c r="YF511" s="75"/>
      <c r="YG511" s="75"/>
      <c r="YH511" s="75"/>
      <c r="YI511" s="75"/>
      <c r="YJ511" s="75"/>
      <c r="YK511" s="75"/>
      <c r="YL511" s="75"/>
      <c r="YM511" s="75"/>
      <c r="YN511" s="75"/>
      <c r="YO511" s="75"/>
      <c r="YP511" s="75"/>
      <c r="YQ511" s="75"/>
      <c r="YR511" s="75"/>
      <c r="YS511" s="75"/>
      <c r="YT511" s="75"/>
      <c r="YU511" s="75"/>
      <c r="YV511" s="75"/>
      <c r="YW511" s="75"/>
      <c r="YX511" s="75"/>
      <c r="YY511" s="75"/>
      <c r="YZ511" s="75"/>
      <c r="ZA511" s="75"/>
      <c r="ZB511" s="75"/>
      <c r="ZC511" s="75"/>
      <c r="ZD511" s="75"/>
      <c r="ZE511" s="75"/>
      <c r="ZF511" s="75"/>
      <c r="ZG511" s="75"/>
      <c r="ZH511" s="75"/>
      <c r="ZI511" s="75"/>
      <c r="ZJ511" s="75"/>
      <c r="ZK511" s="75"/>
      <c r="ZL511" s="75"/>
      <c r="ZM511" s="75"/>
      <c r="ZN511" s="75"/>
      <c r="ZO511" s="75"/>
      <c r="ZP511" s="75"/>
      <c r="ZQ511" s="75"/>
      <c r="ZR511" s="75"/>
      <c r="ZS511" s="75"/>
      <c r="ZT511" s="75"/>
      <c r="ZU511" s="75"/>
      <c r="ZV511" s="75"/>
      <c r="ZW511" s="75"/>
      <c r="ZX511" s="75"/>
      <c r="ZY511" s="75"/>
      <c r="ZZ511" s="75"/>
      <c r="AAA511" s="75"/>
      <c r="AAB511" s="75"/>
      <c r="AAC511" s="75"/>
      <c r="AAD511" s="75"/>
      <c r="AAE511" s="75"/>
      <c r="AAF511" s="75"/>
      <c r="AAG511" s="75"/>
      <c r="AAH511" s="75"/>
      <c r="AAI511" s="75"/>
      <c r="AAJ511" s="75"/>
      <c r="AAK511" s="75"/>
      <c r="AAL511" s="75"/>
      <c r="AAM511" s="75"/>
      <c r="AAN511" s="75"/>
      <c r="AAO511" s="75"/>
      <c r="AAP511" s="75"/>
      <c r="AAQ511" s="75"/>
      <c r="AAR511" s="75"/>
      <c r="AAS511" s="75"/>
      <c r="AAT511" s="75"/>
      <c r="AAU511" s="75"/>
      <c r="AAV511" s="75"/>
      <c r="AAW511" s="75"/>
      <c r="AAX511" s="75"/>
      <c r="AAY511" s="75"/>
      <c r="AAZ511" s="75"/>
      <c r="ABA511" s="75"/>
      <c r="ABB511" s="75"/>
      <c r="ABC511" s="75"/>
      <c r="ABD511" s="75"/>
      <c r="ABE511" s="75"/>
      <c r="ABF511" s="75"/>
      <c r="ABG511" s="75"/>
      <c r="ABH511" s="75"/>
      <c r="ABI511" s="75"/>
      <c r="ABJ511" s="75"/>
      <c r="ABK511" s="75"/>
      <c r="ABL511" s="75"/>
      <c r="ABM511" s="75"/>
      <c r="ABN511" s="75"/>
      <c r="ABO511" s="75"/>
      <c r="ABP511" s="75"/>
      <c r="ABQ511" s="75"/>
      <c r="ABR511" s="75"/>
      <c r="ABS511" s="75"/>
      <c r="ABT511" s="75"/>
      <c r="ABU511" s="75"/>
      <c r="ABV511" s="75"/>
      <c r="ABW511" s="75"/>
      <c r="ABX511" s="75"/>
      <c r="ABY511" s="75"/>
      <c r="ABZ511" s="75"/>
      <c r="ACA511" s="75"/>
      <c r="ACB511" s="75"/>
      <c r="ACC511" s="75"/>
      <c r="ACD511" s="75"/>
      <c r="ACE511" s="75"/>
      <c r="ACF511" s="75"/>
      <c r="ACG511" s="75"/>
      <c r="ACH511" s="75"/>
      <c r="ACI511" s="75"/>
      <c r="ACJ511" s="75"/>
      <c r="ACK511" s="75"/>
      <c r="ACL511" s="75"/>
      <c r="ACM511" s="75"/>
      <c r="ACN511" s="75"/>
      <c r="ACO511" s="75"/>
      <c r="ACP511" s="75"/>
      <c r="ACQ511" s="75"/>
      <c r="ACR511" s="75"/>
      <c r="ACS511" s="75"/>
      <c r="ACT511" s="75"/>
      <c r="ACU511" s="75"/>
      <c r="ACV511" s="75"/>
      <c r="ACW511" s="75"/>
      <c r="ACX511" s="75"/>
      <c r="ACY511" s="75"/>
      <c r="ACZ511" s="75"/>
      <c r="ADA511" s="75"/>
      <c r="ADB511" s="75"/>
      <c r="ADC511" s="75"/>
      <c r="ADD511" s="75"/>
      <c r="ADE511" s="75"/>
      <c r="ADF511" s="75"/>
      <c r="ADG511" s="75"/>
      <c r="ADH511" s="75"/>
      <c r="ADI511" s="75"/>
      <c r="ADJ511" s="75"/>
      <c r="ADK511" s="75"/>
      <c r="ADL511" s="75"/>
      <c r="ADM511" s="75"/>
      <c r="ADN511" s="75"/>
      <c r="ADO511" s="75"/>
      <c r="ADP511" s="75"/>
      <c r="ADQ511" s="75"/>
      <c r="ADR511" s="75"/>
      <c r="ADS511" s="75"/>
      <c r="ADT511" s="75"/>
      <c r="ADU511" s="75"/>
      <c r="ADV511" s="75"/>
      <c r="ADW511" s="75"/>
      <c r="ADX511" s="75"/>
      <c r="ADY511" s="75"/>
      <c r="ADZ511" s="75"/>
      <c r="AEA511" s="75"/>
      <c r="AEB511" s="75"/>
      <c r="AEC511" s="75"/>
      <c r="AED511" s="75"/>
      <c r="AEE511" s="75"/>
      <c r="AEF511" s="75"/>
      <c r="AEG511" s="75"/>
      <c r="AEH511" s="75"/>
      <c r="AEI511" s="75"/>
      <c r="AEJ511" s="75"/>
      <c r="AEK511" s="75"/>
      <c r="AEL511" s="75"/>
      <c r="AEM511" s="75"/>
      <c r="AEN511" s="75"/>
      <c r="AEO511" s="75"/>
      <c r="AEP511" s="75"/>
      <c r="AEQ511" s="75"/>
      <c r="AER511" s="75"/>
      <c r="AES511" s="75"/>
      <c r="AET511" s="75"/>
      <c r="AEU511" s="75"/>
      <c r="AEV511" s="75"/>
      <c r="AEW511" s="75"/>
      <c r="AEX511" s="75"/>
      <c r="AEY511" s="75"/>
      <c r="AEZ511" s="75"/>
      <c r="AFA511" s="75"/>
      <c r="AFB511" s="75"/>
      <c r="AFC511" s="75"/>
      <c r="AFD511" s="75"/>
      <c r="AFE511" s="75"/>
      <c r="AFF511" s="75"/>
      <c r="AFG511" s="75"/>
      <c r="AFH511" s="75"/>
      <c r="AFI511" s="75"/>
      <c r="AFJ511" s="75"/>
      <c r="AFK511" s="75"/>
      <c r="AFL511" s="75"/>
      <c r="AFM511" s="75"/>
      <c r="AFN511" s="75"/>
      <c r="AFO511" s="75"/>
      <c r="AFP511" s="75"/>
      <c r="AFQ511" s="75"/>
      <c r="AFR511" s="75"/>
      <c r="AFS511" s="75"/>
      <c r="AFT511" s="75"/>
      <c r="AFU511" s="75"/>
      <c r="AFV511" s="75"/>
      <c r="AFW511" s="75"/>
      <c r="AFX511" s="75"/>
      <c r="AFY511" s="75"/>
      <c r="AFZ511" s="75"/>
      <c r="AGA511" s="75"/>
      <c r="AGB511" s="75"/>
      <c r="AGC511" s="75"/>
      <c r="AGD511" s="75"/>
      <c r="AGE511" s="75"/>
      <c r="AGF511" s="75"/>
      <c r="AGG511" s="75"/>
      <c r="AGH511" s="75"/>
      <c r="AGI511" s="75"/>
      <c r="AGJ511" s="75"/>
      <c r="AGK511" s="75"/>
      <c r="AGL511" s="75"/>
      <c r="AGM511" s="75"/>
      <c r="AGN511" s="75"/>
      <c r="AGO511" s="75"/>
      <c r="AGP511" s="75"/>
      <c r="AGQ511" s="75"/>
      <c r="AGR511" s="75"/>
      <c r="AGS511" s="75"/>
      <c r="AGT511" s="75"/>
      <c r="AGU511" s="75"/>
      <c r="AGV511" s="75"/>
      <c r="AGW511" s="75"/>
      <c r="AGX511" s="75"/>
      <c r="AGY511" s="75"/>
      <c r="AGZ511" s="75"/>
      <c r="AHA511" s="75"/>
      <c r="AHB511" s="75"/>
      <c r="AHC511" s="75"/>
      <c r="AHD511" s="75"/>
      <c r="AHE511" s="75"/>
      <c r="AHF511" s="75"/>
      <c r="AHG511" s="75"/>
      <c r="AHH511" s="75"/>
      <c r="AHI511" s="75"/>
      <c r="AHJ511" s="75"/>
      <c r="AHK511" s="75"/>
      <c r="AHL511" s="75"/>
      <c r="AHM511" s="75"/>
      <c r="AHN511" s="75"/>
      <c r="AHO511" s="75"/>
      <c r="AHP511" s="75"/>
      <c r="AHQ511" s="75"/>
      <c r="AHR511" s="75"/>
      <c r="AHS511" s="75"/>
      <c r="AHT511" s="75"/>
      <c r="AHU511" s="75"/>
      <c r="AHV511" s="75"/>
      <c r="AHW511" s="75"/>
      <c r="AHX511" s="75"/>
      <c r="AHY511" s="75"/>
      <c r="AHZ511" s="75"/>
      <c r="AIA511" s="75"/>
      <c r="AIB511" s="75"/>
      <c r="AIC511" s="75"/>
      <c r="AID511" s="75"/>
      <c r="AIE511" s="75"/>
      <c r="AIF511" s="75"/>
      <c r="AIG511" s="75"/>
      <c r="AIH511" s="75"/>
      <c r="AII511" s="75"/>
      <c r="AIJ511" s="75"/>
      <c r="AIK511" s="75"/>
      <c r="AIL511" s="75"/>
      <c r="AIM511" s="75"/>
      <c r="AIN511" s="75"/>
      <c r="AIO511" s="75"/>
      <c r="AIP511" s="75"/>
      <c r="AIQ511" s="75"/>
      <c r="AIR511" s="75"/>
      <c r="AIS511" s="75"/>
      <c r="AIT511" s="75"/>
      <c r="AIU511" s="75"/>
      <c r="AIV511" s="75"/>
      <c r="AIW511" s="75"/>
      <c r="AIX511" s="75"/>
      <c r="AIY511" s="75"/>
      <c r="AIZ511" s="75"/>
      <c r="AJA511" s="75"/>
      <c r="AJB511" s="75"/>
      <c r="AJC511" s="75"/>
      <c r="AJD511" s="75"/>
      <c r="AJE511" s="75"/>
      <c r="AJF511" s="75"/>
      <c r="AJG511" s="75"/>
      <c r="AJH511" s="75"/>
      <c r="AJI511" s="75"/>
      <c r="AJJ511" s="75"/>
      <c r="AJK511" s="75"/>
      <c r="AJL511" s="75"/>
      <c r="AJM511" s="75"/>
      <c r="AJN511" s="75"/>
      <c r="AJO511" s="75"/>
      <c r="AJP511" s="75"/>
      <c r="AJQ511" s="75"/>
      <c r="AJR511" s="75"/>
      <c r="AJS511" s="75"/>
      <c r="AJT511" s="75"/>
      <c r="AJU511" s="75"/>
      <c r="AJV511" s="75"/>
      <c r="AJW511" s="75"/>
      <c r="AJX511" s="75"/>
      <c r="AJY511" s="75"/>
      <c r="AJZ511" s="75"/>
      <c r="AKA511" s="75"/>
      <c r="AKB511" s="75"/>
      <c r="AKC511" s="75"/>
      <c r="AKD511" s="75"/>
      <c r="AKE511" s="75"/>
      <c r="AKF511" s="75"/>
      <c r="AKG511" s="75"/>
      <c r="AKH511" s="75"/>
      <c r="AKI511" s="75"/>
      <c r="AKJ511" s="75"/>
      <c r="AKK511" s="75"/>
      <c r="AKL511" s="75"/>
      <c r="AKM511" s="75"/>
      <c r="AKN511" s="75"/>
      <c r="AKO511" s="75"/>
      <c r="AKP511" s="75"/>
      <c r="AKQ511" s="75"/>
      <c r="AKR511" s="75"/>
      <c r="AKS511" s="75"/>
      <c r="AKT511" s="75"/>
      <c r="AKU511" s="75"/>
      <c r="AKV511" s="75"/>
      <c r="AKW511" s="75"/>
      <c r="AKX511" s="75"/>
      <c r="AKY511" s="75"/>
      <c r="AKZ511" s="75"/>
      <c r="ALA511" s="75"/>
      <c r="ALB511" s="75"/>
      <c r="ALC511" s="75"/>
      <c r="ALD511" s="75"/>
      <c r="ALE511" s="75"/>
      <c r="ALF511" s="75"/>
      <c r="ALG511" s="75"/>
      <c r="ALH511" s="75"/>
      <c r="ALI511" s="75"/>
      <c r="ALJ511" s="75"/>
      <c r="ALK511" s="75"/>
      <c r="ALL511" s="75"/>
      <c r="ALM511" s="75"/>
      <c r="ALN511" s="75"/>
      <c r="ALO511" s="75"/>
    </row>
    <row r="512" spans="1:1003" s="235" customFormat="1" ht="14.55" customHeight="1" outlineLevel="1" x14ac:dyDescent="0.25">
      <c r="A512" s="230" t="s">
        <v>1422</v>
      </c>
      <c r="B512" s="343" t="str">
        <f>"13.1001"</f>
        <v>13.1001</v>
      </c>
      <c r="C512" s="75" t="s">
        <v>2208</v>
      </c>
      <c r="D512" s="127" t="s">
        <v>2209</v>
      </c>
      <c r="E512" s="232"/>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c r="AY512" s="75"/>
      <c r="AZ512" s="75"/>
      <c r="BA512" s="75"/>
      <c r="BB512" s="75"/>
      <c r="BC512" s="75"/>
      <c r="BD512" s="75"/>
      <c r="BE512" s="75"/>
      <c r="BF512" s="75"/>
      <c r="BG512" s="75"/>
      <c r="BH512" s="75"/>
      <c r="BI512" s="75"/>
      <c r="BJ512" s="75"/>
      <c r="BK512" s="75"/>
      <c r="BL512" s="75"/>
      <c r="BM512" s="75"/>
      <c r="BN512" s="75"/>
      <c r="BO512" s="75"/>
      <c r="BP512" s="75"/>
      <c r="BQ512" s="75"/>
      <c r="BR512" s="75"/>
      <c r="BS512" s="75"/>
      <c r="BT512" s="75"/>
      <c r="BU512" s="75"/>
      <c r="BV512" s="75"/>
      <c r="BW512" s="75"/>
      <c r="BX512" s="75"/>
      <c r="BY512" s="75"/>
      <c r="BZ512" s="75"/>
      <c r="CA512" s="75"/>
      <c r="CB512" s="75"/>
      <c r="CC512" s="75"/>
      <c r="CD512" s="75"/>
      <c r="CE512" s="75"/>
      <c r="CF512" s="75"/>
      <c r="CG512" s="75"/>
      <c r="CH512" s="75"/>
      <c r="CI512" s="75"/>
      <c r="CJ512" s="75"/>
      <c r="CK512" s="75"/>
      <c r="CL512" s="75"/>
      <c r="CM512" s="75"/>
      <c r="CN512" s="75"/>
      <c r="CO512" s="75"/>
      <c r="CP512" s="75"/>
      <c r="CQ512" s="75"/>
      <c r="CR512" s="75"/>
      <c r="CS512" s="75"/>
      <c r="CT512" s="75"/>
      <c r="CU512" s="75"/>
      <c r="CV512" s="75"/>
      <c r="CW512" s="75"/>
      <c r="CX512" s="75"/>
      <c r="CY512" s="75"/>
      <c r="CZ512" s="75"/>
      <c r="DA512" s="75"/>
      <c r="DB512" s="75"/>
      <c r="DC512" s="75"/>
      <c r="DD512" s="75"/>
      <c r="DE512" s="75"/>
      <c r="DF512" s="75"/>
      <c r="DG512" s="75"/>
      <c r="DH512" s="75"/>
      <c r="DI512" s="75"/>
      <c r="DJ512" s="75"/>
      <c r="DK512" s="75"/>
      <c r="DL512" s="75"/>
      <c r="DM512" s="75"/>
      <c r="DN512" s="75"/>
      <c r="DO512" s="75"/>
      <c r="DP512" s="75"/>
      <c r="DQ512" s="75"/>
      <c r="DR512" s="75"/>
      <c r="DS512" s="75"/>
      <c r="DT512" s="75"/>
      <c r="DU512" s="75"/>
      <c r="DV512" s="75"/>
      <c r="DW512" s="75"/>
      <c r="DX512" s="75"/>
      <c r="DY512" s="75"/>
      <c r="DZ512" s="75"/>
      <c r="EA512" s="75"/>
      <c r="EB512" s="75"/>
      <c r="EC512" s="75"/>
      <c r="ED512" s="75"/>
      <c r="EE512" s="75"/>
      <c r="EF512" s="75"/>
      <c r="EG512" s="75"/>
      <c r="EH512" s="75"/>
      <c r="EI512" s="75"/>
      <c r="EJ512" s="75"/>
      <c r="EK512" s="75"/>
      <c r="EL512" s="75"/>
      <c r="EM512" s="75"/>
      <c r="EN512" s="75"/>
      <c r="EO512" s="75"/>
      <c r="EP512" s="75"/>
      <c r="EQ512" s="75"/>
      <c r="ER512" s="75"/>
      <c r="ES512" s="75"/>
      <c r="ET512" s="75"/>
      <c r="EU512" s="75"/>
      <c r="EV512" s="75"/>
      <c r="EW512" s="75"/>
      <c r="EX512" s="75"/>
      <c r="EY512" s="75"/>
      <c r="EZ512" s="75"/>
      <c r="FA512" s="75"/>
      <c r="FB512" s="75"/>
      <c r="FC512" s="75"/>
      <c r="FD512" s="75"/>
      <c r="FE512" s="75"/>
      <c r="FF512" s="75"/>
      <c r="FG512" s="75"/>
      <c r="FH512" s="75"/>
      <c r="FI512" s="75"/>
      <c r="FJ512" s="75"/>
      <c r="FK512" s="75"/>
      <c r="FL512" s="75"/>
      <c r="FM512" s="75"/>
      <c r="FN512" s="75"/>
      <c r="FO512" s="75"/>
      <c r="FP512" s="75"/>
      <c r="FQ512" s="75"/>
      <c r="FR512" s="75"/>
      <c r="FS512" s="75"/>
      <c r="FT512" s="75"/>
      <c r="FU512" s="75"/>
      <c r="FV512" s="75"/>
      <c r="FW512" s="75"/>
      <c r="FX512" s="75"/>
      <c r="FY512" s="75"/>
      <c r="FZ512" s="75"/>
      <c r="GA512" s="75"/>
      <c r="GB512" s="75"/>
      <c r="GC512" s="75"/>
      <c r="GD512" s="75"/>
      <c r="GE512" s="75"/>
      <c r="GF512" s="75"/>
      <c r="GG512" s="75"/>
      <c r="GH512" s="75"/>
      <c r="GI512" s="75"/>
      <c r="GJ512" s="75"/>
      <c r="GK512" s="75"/>
      <c r="GL512" s="75"/>
      <c r="GM512" s="75"/>
      <c r="GN512" s="75"/>
      <c r="GO512" s="75"/>
      <c r="GP512" s="75"/>
      <c r="GQ512" s="75"/>
      <c r="GR512" s="75"/>
      <c r="GS512" s="75"/>
      <c r="GT512" s="75"/>
      <c r="GU512" s="75"/>
      <c r="GV512" s="75"/>
      <c r="GW512" s="75"/>
      <c r="GX512" s="75"/>
      <c r="GY512" s="75"/>
      <c r="GZ512" s="75"/>
      <c r="HA512" s="75"/>
      <c r="HB512" s="75"/>
      <c r="HC512" s="75"/>
      <c r="HD512" s="75"/>
      <c r="HE512" s="75"/>
      <c r="HF512" s="75"/>
      <c r="HG512" s="75"/>
      <c r="HH512" s="75"/>
      <c r="HI512" s="75"/>
      <c r="HJ512" s="75"/>
      <c r="HK512" s="75"/>
      <c r="HL512" s="75"/>
      <c r="HM512" s="75"/>
      <c r="HN512" s="75"/>
      <c r="HO512" s="75"/>
      <c r="HP512" s="75"/>
      <c r="HQ512" s="75"/>
      <c r="HR512" s="75"/>
      <c r="HS512" s="75"/>
      <c r="HT512" s="75"/>
      <c r="HU512" s="75"/>
      <c r="HV512" s="75"/>
      <c r="HW512" s="75"/>
      <c r="HX512" s="75"/>
      <c r="HY512" s="75"/>
      <c r="HZ512" s="75"/>
      <c r="IA512" s="75"/>
      <c r="IB512" s="75"/>
      <c r="IC512" s="75"/>
      <c r="ID512" s="75"/>
      <c r="IE512" s="75"/>
      <c r="IF512" s="75"/>
      <c r="IG512" s="75"/>
      <c r="IH512" s="75"/>
      <c r="II512" s="75"/>
      <c r="IJ512" s="75"/>
      <c r="IK512" s="75"/>
      <c r="IL512" s="75"/>
      <c r="IM512" s="75"/>
      <c r="IN512" s="75"/>
      <c r="IO512" s="75"/>
      <c r="IP512" s="75"/>
      <c r="IQ512" s="75"/>
      <c r="IR512" s="75"/>
      <c r="IS512" s="75"/>
      <c r="IT512" s="75"/>
      <c r="IU512" s="75"/>
      <c r="IV512" s="75"/>
      <c r="IW512" s="75"/>
      <c r="IX512" s="75"/>
      <c r="IY512" s="75"/>
      <c r="IZ512" s="75"/>
      <c r="JA512" s="75"/>
      <c r="JB512" s="75"/>
      <c r="JC512" s="75"/>
      <c r="JD512" s="75"/>
      <c r="JE512" s="75"/>
      <c r="JF512" s="75"/>
      <c r="JG512" s="75"/>
      <c r="JH512" s="75"/>
      <c r="JI512" s="75"/>
      <c r="JJ512" s="75"/>
      <c r="JK512" s="75"/>
      <c r="JL512" s="75"/>
      <c r="JM512" s="75"/>
      <c r="JN512" s="75"/>
      <c r="JO512" s="75"/>
      <c r="JP512" s="75"/>
      <c r="JQ512" s="75"/>
      <c r="JR512" s="75"/>
      <c r="JS512" s="75"/>
      <c r="JT512" s="75"/>
      <c r="JU512" s="75"/>
      <c r="JV512" s="75"/>
      <c r="JW512" s="75"/>
      <c r="JX512" s="75"/>
      <c r="JY512" s="75"/>
      <c r="JZ512" s="75"/>
      <c r="KA512" s="75"/>
      <c r="KB512" s="75"/>
      <c r="KC512" s="75"/>
      <c r="KD512" s="75"/>
      <c r="KE512" s="75"/>
      <c r="KF512" s="75"/>
      <c r="KG512" s="75"/>
      <c r="KH512" s="75"/>
      <c r="KI512" s="75"/>
      <c r="KJ512" s="75"/>
      <c r="KK512" s="75"/>
      <c r="KL512" s="75"/>
      <c r="KM512" s="75"/>
      <c r="KN512" s="75"/>
      <c r="KO512" s="75"/>
      <c r="KP512" s="75"/>
      <c r="KQ512" s="75"/>
      <c r="KR512" s="75"/>
      <c r="KS512" s="75"/>
      <c r="KT512" s="75"/>
      <c r="KU512" s="75"/>
      <c r="KV512" s="75"/>
      <c r="KW512" s="75"/>
      <c r="KX512" s="75"/>
      <c r="KY512" s="75"/>
      <c r="KZ512" s="75"/>
      <c r="LA512" s="75"/>
      <c r="LB512" s="75"/>
      <c r="LC512" s="75"/>
      <c r="LD512" s="75"/>
      <c r="LE512" s="75"/>
      <c r="LF512" s="75"/>
      <c r="LG512" s="75"/>
      <c r="LH512" s="75"/>
      <c r="LI512" s="75"/>
      <c r="LJ512" s="75"/>
      <c r="LK512" s="75"/>
      <c r="LL512" s="75"/>
      <c r="LM512" s="75"/>
      <c r="LN512" s="75"/>
      <c r="LO512" s="75"/>
      <c r="LP512" s="75"/>
      <c r="LQ512" s="75"/>
      <c r="LR512" s="75"/>
      <c r="LS512" s="75"/>
      <c r="LT512" s="75"/>
      <c r="LU512" s="75"/>
      <c r="LV512" s="75"/>
      <c r="LW512" s="75"/>
      <c r="LX512" s="75"/>
      <c r="LY512" s="75"/>
      <c r="LZ512" s="75"/>
      <c r="MA512" s="75"/>
      <c r="MB512" s="75"/>
      <c r="MC512" s="75"/>
      <c r="MD512" s="75"/>
      <c r="ME512" s="75"/>
      <c r="MF512" s="75"/>
      <c r="MG512" s="75"/>
      <c r="MH512" s="75"/>
      <c r="MI512" s="75"/>
      <c r="MJ512" s="75"/>
      <c r="MK512" s="75"/>
      <c r="ML512" s="75"/>
      <c r="MM512" s="75"/>
      <c r="MN512" s="75"/>
      <c r="MO512" s="75"/>
      <c r="MP512" s="75"/>
      <c r="MQ512" s="75"/>
      <c r="MR512" s="75"/>
      <c r="MS512" s="75"/>
      <c r="MT512" s="75"/>
      <c r="MU512" s="75"/>
      <c r="MV512" s="75"/>
      <c r="MW512" s="75"/>
      <c r="MX512" s="75"/>
      <c r="MY512" s="75"/>
      <c r="MZ512" s="75"/>
      <c r="NA512" s="75"/>
      <c r="NB512" s="75"/>
      <c r="NC512" s="75"/>
      <c r="ND512" s="75"/>
      <c r="NE512" s="75"/>
      <c r="NF512" s="75"/>
      <c r="NG512" s="75"/>
      <c r="NH512" s="75"/>
      <c r="NI512" s="75"/>
      <c r="NJ512" s="75"/>
      <c r="NK512" s="75"/>
      <c r="NL512" s="75"/>
      <c r="NM512" s="75"/>
      <c r="NN512" s="75"/>
      <c r="NO512" s="75"/>
      <c r="NP512" s="75"/>
      <c r="NQ512" s="75"/>
      <c r="NR512" s="75"/>
      <c r="NS512" s="75"/>
      <c r="NT512" s="75"/>
      <c r="NU512" s="75"/>
      <c r="NV512" s="75"/>
      <c r="NW512" s="75"/>
      <c r="NX512" s="75"/>
      <c r="NY512" s="75"/>
      <c r="NZ512" s="75"/>
      <c r="OA512" s="75"/>
      <c r="OB512" s="75"/>
      <c r="OC512" s="75"/>
      <c r="OD512" s="75"/>
      <c r="OE512" s="75"/>
      <c r="OF512" s="75"/>
      <c r="OG512" s="75"/>
      <c r="OH512" s="75"/>
      <c r="OI512" s="75"/>
      <c r="OJ512" s="75"/>
      <c r="OK512" s="75"/>
      <c r="OL512" s="75"/>
      <c r="OM512" s="75"/>
      <c r="ON512" s="75"/>
      <c r="OO512" s="75"/>
      <c r="OP512" s="75"/>
      <c r="OQ512" s="75"/>
      <c r="OR512" s="75"/>
      <c r="OS512" s="75"/>
      <c r="OT512" s="75"/>
      <c r="OU512" s="75"/>
      <c r="OV512" s="75"/>
      <c r="OW512" s="75"/>
      <c r="OX512" s="75"/>
      <c r="OY512" s="75"/>
      <c r="OZ512" s="75"/>
      <c r="PA512" s="75"/>
      <c r="PB512" s="75"/>
      <c r="PC512" s="75"/>
      <c r="PD512" s="75"/>
      <c r="PE512" s="75"/>
      <c r="PF512" s="75"/>
      <c r="PG512" s="75"/>
      <c r="PH512" s="75"/>
      <c r="PI512" s="75"/>
      <c r="PJ512" s="75"/>
      <c r="PK512" s="75"/>
      <c r="PL512" s="75"/>
      <c r="PM512" s="75"/>
      <c r="PN512" s="75"/>
      <c r="PO512" s="75"/>
      <c r="PP512" s="75"/>
      <c r="PQ512" s="75"/>
      <c r="PR512" s="75"/>
      <c r="PS512" s="75"/>
      <c r="PT512" s="75"/>
      <c r="PU512" s="75"/>
      <c r="PV512" s="75"/>
      <c r="PW512" s="75"/>
      <c r="PX512" s="75"/>
      <c r="PY512" s="75"/>
      <c r="PZ512" s="75"/>
      <c r="QA512" s="75"/>
      <c r="QB512" s="75"/>
      <c r="QC512" s="75"/>
      <c r="QD512" s="75"/>
      <c r="QE512" s="75"/>
      <c r="QF512" s="75"/>
      <c r="QG512" s="75"/>
      <c r="QH512" s="75"/>
      <c r="QI512" s="75"/>
      <c r="QJ512" s="75"/>
      <c r="QK512" s="75"/>
      <c r="QL512" s="75"/>
      <c r="QM512" s="75"/>
      <c r="QN512" s="75"/>
      <c r="QO512" s="75"/>
      <c r="QP512" s="75"/>
      <c r="QQ512" s="75"/>
      <c r="QR512" s="75"/>
      <c r="QS512" s="75"/>
      <c r="QT512" s="75"/>
      <c r="QU512" s="75"/>
      <c r="QV512" s="75"/>
      <c r="QW512" s="75"/>
      <c r="QX512" s="75"/>
      <c r="QY512" s="75"/>
      <c r="QZ512" s="75"/>
      <c r="RA512" s="75"/>
      <c r="RB512" s="75"/>
      <c r="RC512" s="75"/>
      <c r="RD512" s="75"/>
      <c r="RE512" s="75"/>
      <c r="RF512" s="75"/>
      <c r="RG512" s="75"/>
      <c r="RH512" s="75"/>
      <c r="RI512" s="75"/>
      <c r="RJ512" s="75"/>
      <c r="RK512" s="75"/>
      <c r="RL512" s="75"/>
      <c r="RM512" s="75"/>
      <c r="RN512" s="75"/>
      <c r="RO512" s="75"/>
      <c r="RP512" s="75"/>
      <c r="RQ512" s="75"/>
      <c r="RR512" s="75"/>
      <c r="RS512" s="75"/>
      <c r="RT512" s="75"/>
      <c r="RU512" s="75"/>
      <c r="RV512" s="75"/>
      <c r="RW512" s="75"/>
      <c r="RX512" s="75"/>
      <c r="RY512" s="75"/>
      <c r="RZ512" s="75"/>
      <c r="SA512" s="75"/>
      <c r="SB512" s="75"/>
      <c r="SC512" s="75"/>
      <c r="SD512" s="75"/>
      <c r="SE512" s="75"/>
      <c r="SF512" s="75"/>
      <c r="SG512" s="75"/>
      <c r="SH512" s="75"/>
      <c r="SI512" s="75"/>
      <c r="SJ512" s="75"/>
      <c r="SK512" s="75"/>
      <c r="SL512" s="75"/>
      <c r="SM512" s="75"/>
      <c r="SN512" s="75"/>
      <c r="SO512" s="75"/>
      <c r="SP512" s="75"/>
      <c r="SQ512" s="75"/>
      <c r="SR512" s="75"/>
      <c r="SS512" s="75"/>
      <c r="ST512" s="75"/>
      <c r="SU512" s="75"/>
      <c r="SV512" s="75"/>
      <c r="SW512" s="75"/>
      <c r="SX512" s="75"/>
      <c r="SY512" s="75"/>
      <c r="SZ512" s="75"/>
      <c r="TA512" s="75"/>
      <c r="TB512" s="75"/>
      <c r="TC512" s="75"/>
      <c r="TD512" s="75"/>
      <c r="TE512" s="75"/>
      <c r="TF512" s="75"/>
      <c r="TG512" s="75"/>
      <c r="TH512" s="75"/>
      <c r="TI512" s="75"/>
      <c r="TJ512" s="75"/>
      <c r="TK512" s="75"/>
      <c r="TL512" s="75"/>
      <c r="TM512" s="75"/>
      <c r="TN512" s="75"/>
      <c r="TO512" s="75"/>
      <c r="TP512" s="75"/>
      <c r="TQ512" s="75"/>
      <c r="TR512" s="75"/>
      <c r="TS512" s="75"/>
      <c r="TT512" s="75"/>
      <c r="TU512" s="75"/>
      <c r="TV512" s="75"/>
      <c r="TW512" s="75"/>
      <c r="TX512" s="75"/>
      <c r="TY512" s="75"/>
      <c r="TZ512" s="75"/>
      <c r="UA512" s="75"/>
      <c r="UB512" s="75"/>
      <c r="UC512" s="75"/>
      <c r="UD512" s="75"/>
      <c r="UE512" s="75"/>
      <c r="UF512" s="75"/>
      <c r="UG512" s="75"/>
      <c r="UH512" s="75"/>
      <c r="UI512" s="75"/>
      <c r="UJ512" s="75"/>
      <c r="UK512" s="75"/>
      <c r="UL512" s="75"/>
      <c r="UM512" s="75"/>
      <c r="UN512" s="75"/>
      <c r="UO512" s="75"/>
      <c r="UP512" s="75"/>
      <c r="UQ512" s="75"/>
      <c r="UR512" s="75"/>
      <c r="US512" s="75"/>
      <c r="UT512" s="75"/>
      <c r="UU512" s="75"/>
      <c r="UV512" s="75"/>
      <c r="UW512" s="75"/>
      <c r="UX512" s="75"/>
      <c r="UY512" s="75"/>
      <c r="UZ512" s="75"/>
      <c r="VA512" s="75"/>
      <c r="VB512" s="75"/>
      <c r="VC512" s="75"/>
      <c r="VD512" s="75"/>
      <c r="VE512" s="75"/>
      <c r="VF512" s="75"/>
      <c r="VG512" s="75"/>
      <c r="VH512" s="75"/>
      <c r="VI512" s="75"/>
      <c r="VJ512" s="75"/>
      <c r="VK512" s="75"/>
      <c r="VL512" s="75"/>
      <c r="VM512" s="75"/>
      <c r="VN512" s="75"/>
      <c r="VO512" s="75"/>
      <c r="VP512" s="75"/>
      <c r="VQ512" s="75"/>
      <c r="VR512" s="75"/>
      <c r="VS512" s="75"/>
      <c r="VT512" s="75"/>
      <c r="VU512" s="75"/>
      <c r="VV512" s="75"/>
      <c r="VW512" s="75"/>
      <c r="VX512" s="75"/>
      <c r="VY512" s="75"/>
      <c r="VZ512" s="75"/>
      <c r="WA512" s="75"/>
      <c r="WB512" s="75"/>
      <c r="WC512" s="75"/>
      <c r="WD512" s="75"/>
      <c r="WE512" s="75"/>
      <c r="WF512" s="75"/>
      <c r="WG512" s="75"/>
      <c r="WH512" s="75"/>
      <c r="WI512" s="75"/>
      <c r="WJ512" s="75"/>
      <c r="WK512" s="75"/>
      <c r="WL512" s="75"/>
      <c r="WM512" s="75"/>
      <c r="WN512" s="75"/>
      <c r="WO512" s="75"/>
      <c r="WP512" s="75"/>
      <c r="WQ512" s="75"/>
      <c r="WR512" s="75"/>
      <c r="WS512" s="75"/>
      <c r="WT512" s="75"/>
      <c r="WU512" s="75"/>
      <c r="WV512" s="75"/>
      <c r="WW512" s="75"/>
      <c r="WX512" s="75"/>
      <c r="WY512" s="75"/>
      <c r="WZ512" s="75"/>
      <c r="XA512" s="75"/>
      <c r="XB512" s="75"/>
      <c r="XC512" s="75"/>
      <c r="XD512" s="75"/>
      <c r="XE512" s="75"/>
      <c r="XF512" s="75"/>
      <c r="XG512" s="75"/>
      <c r="XH512" s="75"/>
      <c r="XI512" s="75"/>
      <c r="XJ512" s="75"/>
      <c r="XK512" s="75"/>
      <c r="XL512" s="75"/>
      <c r="XM512" s="75"/>
      <c r="XN512" s="75"/>
      <c r="XO512" s="75"/>
      <c r="XP512" s="75"/>
      <c r="XQ512" s="75"/>
      <c r="XR512" s="75"/>
      <c r="XS512" s="75"/>
      <c r="XT512" s="75"/>
      <c r="XU512" s="75"/>
      <c r="XV512" s="75"/>
      <c r="XW512" s="75"/>
      <c r="XX512" s="75"/>
      <c r="XY512" s="75"/>
      <c r="XZ512" s="75"/>
      <c r="YA512" s="75"/>
      <c r="YB512" s="75"/>
      <c r="YC512" s="75"/>
      <c r="YD512" s="75"/>
      <c r="YE512" s="75"/>
      <c r="YF512" s="75"/>
      <c r="YG512" s="75"/>
      <c r="YH512" s="75"/>
      <c r="YI512" s="75"/>
      <c r="YJ512" s="75"/>
      <c r="YK512" s="75"/>
      <c r="YL512" s="75"/>
      <c r="YM512" s="75"/>
      <c r="YN512" s="75"/>
      <c r="YO512" s="75"/>
      <c r="YP512" s="75"/>
      <c r="YQ512" s="75"/>
      <c r="YR512" s="75"/>
      <c r="YS512" s="75"/>
      <c r="YT512" s="75"/>
      <c r="YU512" s="75"/>
      <c r="YV512" s="75"/>
      <c r="YW512" s="75"/>
      <c r="YX512" s="75"/>
      <c r="YY512" s="75"/>
      <c r="YZ512" s="75"/>
      <c r="ZA512" s="75"/>
      <c r="ZB512" s="75"/>
      <c r="ZC512" s="75"/>
      <c r="ZD512" s="75"/>
      <c r="ZE512" s="75"/>
      <c r="ZF512" s="75"/>
      <c r="ZG512" s="75"/>
      <c r="ZH512" s="75"/>
      <c r="ZI512" s="75"/>
      <c r="ZJ512" s="75"/>
      <c r="ZK512" s="75"/>
      <c r="ZL512" s="75"/>
      <c r="ZM512" s="75"/>
      <c r="ZN512" s="75"/>
      <c r="ZO512" s="75"/>
      <c r="ZP512" s="75"/>
      <c r="ZQ512" s="75"/>
      <c r="ZR512" s="75"/>
      <c r="ZS512" s="75"/>
      <c r="ZT512" s="75"/>
      <c r="ZU512" s="75"/>
      <c r="ZV512" s="75"/>
      <c r="ZW512" s="75"/>
      <c r="ZX512" s="75"/>
      <c r="ZY512" s="75"/>
      <c r="ZZ512" s="75"/>
      <c r="AAA512" s="75"/>
      <c r="AAB512" s="75"/>
      <c r="AAC512" s="75"/>
      <c r="AAD512" s="75"/>
      <c r="AAE512" s="75"/>
      <c r="AAF512" s="75"/>
      <c r="AAG512" s="75"/>
      <c r="AAH512" s="75"/>
      <c r="AAI512" s="75"/>
      <c r="AAJ512" s="75"/>
      <c r="AAK512" s="75"/>
      <c r="AAL512" s="75"/>
      <c r="AAM512" s="75"/>
      <c r="AAN512" s="75"/>
      <c r="AAO512" s="75"/>
      <c r="AAP512" s="75"/>
      <c r="AAQ512" s="75"/>
      <c r="AAR512" s="75"/>
      <c r="AAS512" s="75"/>
      <c r="AAT512" s="75"/>
      <c r="AAU512" s="75"/>
      <c r="AAV512" s="75"/>
      <c r="AAW512" s="75"/>
      <c r="AAX512" s="75"/>
      <c r="AAY512" s="75"/>
      <c r="AAZ512" s="75"/>
      <c r="ABA512" s="75"/>
      <c r="ABB512" s="75"/>
      <c r="ABC512" s="75"/>
      <c r="ABD512" s="75"/>
      <c r="ABE512" s="75"/>
      <c r="ABF512" s="75"/>
      <c r="ABG512" s="75"/>
      <c r="ABH512" s="75"/>
      <c r="ABI512" s="75"/>
      <c r="ABJ512" s="75"/>
      <c r="ABK512" s="75"/>
      <c r="ABL512" s="75"/>
      <c r="ABM512" s="75"/>
      <c r="ABN512" s="75"/>
      <c r="ABO512" s="75"/>
      <c r="ABP512" s="75"/>
      <c r="ABQ512" s="75"/>
      <c r="ABR512" s="75"/>
      <c r="ABS512" s="75"/>
      <c r="ABT512" s="75"/>
      <c r="ABU512" s="75"/>
      <c r="ABV512" s="75"/>
      <c r="ABW512" s="75"/>
      <c r="ABX512" s="75"/>
      <c r="ABY512" s="75"/>
      <c r="ABZ512" s="75"/>
      <c r="ACA512" s="75"/>
      <c r="ACB512" s="75"/>
      <c r="ACC512" s="75"/>
      <c r="ACD512" s="75"/>
      <c r="ACE512" s="75"/>
      <c r="ACF512" s="75"/>
      <c r="ACG512" s="75"/>
      <c r="ACH512" s="75"/>
      <c r="ACI512" s="75"/>
      <c r="ACJ512" s="75"/>
      <c r="ACK512" s="75"/>
      <c r="ACL512" s="75"/>
      <c r="ACM512" s="75"/>
      <c r="ACN512" s="75"/>
      <c r="ACO512" s="75"/>
      <c r="ACP512" s="75"/>
      <c r="ACQ512" s="75"/>
      <c r="ACR512" s="75"/>
      <c r="ACS512" s="75"/>
      <c r="ACT512" s="75"/>
      <c r="ACU512" s="75"/>
      <c r="ACV512" s="75"/>
      <c r="ACW512" s="75"/>
      <c r="ACX512" s="75"/>
      <c r="ACY512" s="75"/>
      <c r="ACZ512" s="75"/>
      <c r="ADA512" s="75"/>
      <c r="ADB512" s="75"/>
      <c r="ADC512" s="75"/>
      <c r="ADD512" s="75"/>
      <c r="ADE512" s="75"/>
      <c r="ADF512" s="75"/>
      <c r="ADG512" s="75"/>
      <c r="ADH512" s="75"/>
      <c r="ADI512" s="75"/>
      <c r="ADJ512" s="75"/>
      <c r="ADK512" s="75"/>
      <c r="ADL512" s="75"/>
      <c r="ADM512" s="75"/>
      <c r="ADN512" s="75"/>
      <c r="ADO512" s="75"/>
      <c r="ADP512" s="75"/>
      <c r="ADQ512" s="75"/>
      <c r="ADR512" s="75"/>
      <c r="ADS512" s="75"/>
      <c r="ADT512" s="75"/>
      <c r="ADU512" s="75"/>
      <c r="ADV512" s="75"/>
      <c r="ADW512" s="75"/>
      <c r="ADX512" s="75"/>
      <c r="ADY512" s="75"/>
      <c r="ADZ512" s="75"/>
      <c r="AEA512" s="75"/>
      <c r="AEB512" s="75"/>
      <c r="AEC512" s="75"/>
      <c r="AED512" s="75"/>
      <c r="AEE512" s="75"/>
      <c r="AEF512" s="75"/>
      <c r="AEG512" s="75"/>
      <c r="AEH512" s="75"/>
      <c r="AEI512" s="75"/>
      <c r="AEJ512" s="75"/>
      <c r="AEK512" s="75"/>
      <c r="AEL512" s="75"/>
      <c r="AEM512" s="75"/>
      <c r="AEN512" s="75"/>
      <c r="AEO512" s="75"/>
      <c r="AEP512" s="75"/>
      <c r="AEQ512" s="75"/>
      <c r="AER512" s="75"/>
      <c r="AES512" s="75"/>
      <c r="AET512" s="75"/>
      <c r="AEU512" s="75"/>
      <c r="AEV512" s="75"/>
      <c r="AEW512" s="75"/>
      <c r="AEX512" s="75"/>
      <c r="AEY512" s="75"/>
      <c r="AEZ512" s="75"/>
      <c r="AFA512" s="75"/>
      <c r="AFB512" s="75"/>
      <c r="AFC512" s="75"/>
      <c r="AFD512" s="75"/>
      <c r="AFE512" s="75"/>
      <c r="AFF512" s="75"/>
      <c r="AFG512" s="75"/>
      <c r="AFH512" s="75"/>
      <c r="AFI512" s="75"/>
      <c r="AFJ512" s="75"/>
      <c r="AFK512" s="75"/>
      <c r="AFL512" s="75"/>
      <c r="AFM512" s="75"/>
      <c r="AFN512" s="75"/>
      <c r="AFO512" s="75"/>
      <c r="AFP512" s="75"/>
      <c r="AFQ512" s="75"/>
      <c r="AFR512" s="75"/>
      <c r="AFS512" s="75"/>
      <c r="AFT512" s="75"/>
      <c r="AFU512" s="75"/>
      <c r="AFV512" s="75"/>
      <c r="AFW512" s="75"/>
      <c r="AFX512" s="75"/>
      <c r="AFY512" s="75"/>
      <c r="AFZ512" s="75"/>
      <c r="AGA512" s="75"/>
      <c r="AGB512" s="75"/>
      <c r="AGC512" s="75"/>
      <c r="AGD512" s="75"/>
      <c r="AGE512" s="75"/>
      <c r="AGF512" s="75"/>
      <c r="AGG512" s="75"/>
      <c r="AGH512" s="75"/>
      <c r="AGI512" s="75"/>
      <c r="AGJ512" s="75"/>
      <c r="AGK512" s="75"/>
      <c r="AGL512" s="75"/>
      <c r="AGM512" s="75"/>
      <c r="AGN512" s="75"/>
      <c r="AGO512" s="75"/>
      <c r="AGP512" s="75"/>
      <c r="AGQ512" s="75"/>
      <c r="AGR512" s="75"/>
      <c r="AGS512" s="75"/>
      <c r="AGT512" s="75"/>
      <c r="AGU512" s="75"/>
      <c r="AGV512" s="75"/>
      <c r="AGW512" s="75"/>
      <c r="AGX512" s="75"/>
      <c r="AGY512" s="75"/>
      <c r="AGZ512" s="75"/>
      <c r="AHA512" s="75"/>
      <c r="AHB512" s="75"/>
      <c r="AHC512" s="75"/>
      <c r="AHD512" s="75"/>
      <c r="AHE512" s="75"/>
      <c r="AHF512" s="75"/>
      <c r="AHG512" s="75"/>
      <c r="AHH512" s="75"/>
      <c r="AHI512" s="75"/>
      <c r="AHJ512" s="75"/>
      <c r="AHK512" s="75"/>
      <c r="AHL512" s="75"/>
      <c r="AHM512" s="75"/>
      <c r="AHN512" s="75"/>
      <c r="AHO512" s="75"/>
      <c r="AHP512" s="75"/>
      <c r="AHQ512" s="75"/>
      <c r="AHR512" s="75"/>
      <c r="AHS512" s="75"/>
      <c r="AHT512" s="75"/>
      <c r="AHU512" s="75"/>
      <c r="AHV512" s="75"/>
      <c r="AHW512" s="75"/>
      <c r="AHX512" s="75"/>
      <c r="AHY512" s="75"/>
      <c r="AHZ512" s="75"/>
      <c r="AIA512" s="75"/>
      <c r="AIB512" s="75"/>
      <c r="AIC512" s="75"/>
      <c r="AID512" s="75"/>
      <c r="AIE512" s="75"/>
      <c r="AIF512" s="75"/>
      <c r="AIG512" s="75"/>
      <c r="AIH512" s="75"/>
      <c r="AII512" s="75"/>
      <c r="AIJ512" s="75"/>
      <c r="AIK512" s="75"/>
      <c r="AIL512" s="75"/>
      <c r="AIM512" s="75"/>
      <c r="AIN512" s="75"/>
      <c r="AIO512" s="75"/>
      <c r="AIP512" s="75"/>
      <c r="AIQ512" s="75"/>
      <c r="AIR512" s="75"/>
      <c r="AIS512" s="75"/>
      <c r="AIT512" s="75"/>
      <c r="AIU512" s="75"/>
      <c r="AIV512" s="75"/>
      <c r="AIW512" s="75"/>
      <c r="AIX512" s="75"/>
      <c r="AIY512" s="75"/>
      <c r="AIZ512" s="75"/>
      <c r="AJA512" s="75"/>
      <c r="AJB512" s="75"/>
      <c r="AJC512" s="75"/>
      <c r="AJD512" s="75"/>
      <c r="AJE512" s="75"/>
      <c r="AJF512" s="75"/>
      <c r="AJG512" s="75"/>
      <c r="AJH512" s="75"/>
      <c r="AJI512" s="75"/>
      <c r="AJJ512" s="75"/>
      <c r="AJK512" s="75"/>
      <c r="AJL512" s="75"/>
      <c r="AJM512" s="75"/>
      <c r="AJN512" s="75"/>
      <c r="AJO512" s="75"/>
      <c r="AJP512" s="75"/>
      <c r="AJQ512" s="75"/>
      <c r="AJR512" s="75"/>
      <c r="AJS512" s="75"/>
      <c r="AJT512" s="75"/>
      <c r="AJU512" s="75"/>
      <c r="AJV512" s="75"/>
      <c r="AJW512" s="75"/>
      <c r="AJX512" s="75"/>
      <c r="AJY512" s="75"/>
      <c r="AJZ512" s="75"/>
      <c r="AKA512" s="75"/>
      <c r="AKB512" s="75"/>
      <c r="AKC512" s="75"/>
      <c r="AKD512" s="75"/>
      <c r="AKE512" s="75"/>
      <c r="AKF512" s="75"/>
      <c r="AKG512" s="75"/>
      <c r="AKH512" s="75"/>
      <c r="AKI512" s="75"/>
      <c r="AKJ512" s="75"/>
      <c r="AKK512" s="75"/>
      <c r="AKL512" s="75"/>
      <c r="AKM512" s="75"/>
      <c r="AKN512" s="75"/>
      <c r="AKO512" s="75"/>
      <c r="AKP512" s="75"/>
      <c r="AKQ512" s="75"/>
      <c r="AKR512" s="75"/>
      <c r="AKS512" s="75"/>
      <c r="AKT512" s="75"/>
      <c r="AKU512" s="75"/>
      <c r="AKV512" s="75"/>
      <c r="AKW512" s="75"/>
      <c r="AKX512" s="75"/>
      <c r="AKY512" s="75"/>
      <c r="AKZ512" s="75"/>
      <c r="ALA512" s="75"/>
      <c r="ALB512" s="75"/>
      <c r="ALC512" s="75"/>
      <c r="ALD512" s="75"/>
      <c r="ALE512" s="75"/>
      <c r="ALF512" s="75"/>
      <c r="ALG512" s="75"/>
      <c r="ALH512" s="75"/>
      <c r="ALI512" s="75"/>
      <c r="ALJ512" s="75"/>
      <c r="ALK512" s="75"/>
      <c r="ALL512" s="75"/>
      <c r="ALM512" s="75"/>
      <c r="ALN512" s="75"/>
      <c r="ALO512" s="75"/>
    </row>
    <row r="513" spans="1:1003" s="235" customFormat="1" ht="14.55" customHeight="1" outlineLevel="1" x14ac:dyDescent="0.25">
      <c r="A513" s="230" t="s">
        <v>1422</v>
      </c>
      <c r="B513" s="343" t="str">
        <f>"13.1003"</f>
        <v>13.1003</v>
      </c>
      <c r="C513" s="75" t="s">
        <v>2210</v>
      </c>
      <c r="D513" s="127" t="s">
        <v>2211</v>
      </c>
      <c r="E513" s="232"/>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c r="AY513" s="75"/>
      <c r="AZ513" s="75"/>
      <c r="BA513" s="75"/>
      <c r="BB513" s="75"/>
      <c r="BC513" s="75"/>
      <c r="BD513" s="75"/>
      <c r="BE513" s="75"/>
      <c r="BF513" s="75"/>
      <c r="BG513" s="75"/>
      <c r="BH513" s="75"/>
      <c r="BI513" s="75"/>
      <c r="BJ513" s="75"/>
      <c r="BK513" s="75"/>
      <c r="BL513" s="75"/>
      <c r="BM513" s="75"/>
      <c r="BN513" s="75"/>
      <c r="BO513" s="75"/>
      <c r="BP513" s="75"/>
      <c r="BQ513" s="75"/>
      <c r="BR513" s="75"/>
      <c r="BS513" s="75"/>
      <c r="BT513" s="75"/>
      <c r="BU513" s="75"/>
      <c r="BV513" s="75"/>
      <c r="BW513" s="75"/>
      <c r="BX513" s="75"/>
      <c r="BY513" s="75"/>
      <c r="BZ513" s="75"/>
      <c r="CA513" s="75"/>
      <c r="CB513" s="75"/>
      <c r="CC513" s="75"/>
      <c r="CD513" s="75"/>
      <c r="CE513" s="75"/>
      <c r="CF513" s="75"/>
      <c r="CG513" s="75"/>
      <c r="CH513" s="75"/>
      <c r="CI513" s="75"/>
      <c r="CJ513" s="75"/>
      <c r="CK513" s="75"/>
      <c r="CL513" s="75"/>
      <c r="CM513" s="75"/>
      <c r="CN513" s="75"/>
      <c r="CO513" s="75"/>
      <c r="CP513" s="75"/>
      <c r="CQ513" s="75"/>
      <c r="CR513" s="75"/>
      <c r="CS513" s="75"/>
      <c r="CT513" s="75"/>
      <c r="CU513" s="75"/>
      <c r="CV513" s="75"/>
      <c r="CW513" s="75"/>
      <c r="CX513" s="75"/>
      <c r="CY513" s="75"/>
      <c r="CZ513" s="75"/>
      <c r="DA513" s="75"/>
      <c r="DB513" s="75"/>
      <c r="DC513" s="75"/>
      <c r="DD513" s="75"/>
      <c r="DE513" s="75"/>
      <c r="DF513" s="75"/>
      <c r="DG513" s="75"/>
      <c r="DH513" s="75"/>
      <c r="DI513" s="75"/>
      <c r="DJ513" s="75"/>
      <c r="DK513" s="75"/>
      <c r="DL513" s="75"/>
      <c r="DM513" s="75"/>
      <c r="DN513" s="75"/>
      <c r="DO513" s="75"/>
      <c r="DP513" s="75"/>
      <c r="DQ513" s="75"/>
      <c r="DR513" s="75"/>
      <c r="DS513" s="75"/>
      <c r="DT513" s="75"/>
      <c r="DU513" s="75"/>
      <c r="DV513" s="75"/>
      <c r="DW513" s="75"/>
      <c r="DX513" s="75"/>
      <c r="DY513" s="75"/>
      <c r="DZ513" s="75"/>
      <c r="EA513" s="75"/>
      <c r="EB513" s="75"/>
      <c r="EC513" s="75"/>
      <c r="ED513" s="75"/>
      <c r="EE513" s="75"/>
      <c r="EF513" s="75"/>
      <c r="EG513" s="75"/>
      <c r="EH513" s="75"/>
      <c r="EI513" s="75"/>
      <c r="EJ513" s="75"/>
      <c r="EK513" s="75"/>
      <c r="EL513" s="75"/>
      <c r="EM513" s="75"/>
      <c r="EN513" s="75"/>
      <c r="EO513" s="75"/>
      <c r="EP513" s="75"/>
      <c r="EQ513" s="75"/>
      <c r="ER513" s="75"/>
      <c r="ES513" s="75"/>
      <c r="ET513" s="75"/>
      <c r="EU513" s="75"/>
      <c r="EV513" s="75"/>
      <c r="EW513" s="75"/>
      <c r="EX513" s="75"/>
      <c r="EY513" s="75"/>
      <c r="EZ513" s="75"/>
      <c r="FA513" s="75"/>
      <c r="FB513" s="75"/>
      <c r="FC513" s="75"/>
      <c r="FD513" s="75"/>
      <c r="FE513" s="75"/>
      <c r="FF513" s="75"/>
      <c r="FG513" s="75"/>
      <c r="FH513" s="75"/>
      <c r="FI513" s="75"/>
      <c r="FJ513" s="75"/>
      <c r="FK513" s="75"/>
      <c r="FL513" s="75"/>
      <c r="FM513" s="75"/>
      <c r="FN513" s="75"/>
      <c r="FO513" s="75"/>
      <c r="FP513" s="75"/>
      <c r="FQ513" s="75"/>
      <c r="FR513" s="75"/>
      <c r="FS513" s="75"/>
      <c r="FT513" s="75"/>
      <c r="FU513" s="75"/>
      <c r="FV513" s="75"/>
      <c r="FW513" s="75"/>
      <c r="FX513" s="75"/>
      <c r="FY513" s="75"/>
      <c r="FZ513" s="75"/>
      <c r="GA513" s="75"/>
      <c r="GB513" s="75"/>
      <c r="GC513" s="75"/>
      <c r="GD513" s="75"/>
      <c r="GE513" s="75"/>
      <c r="GF513" s="75"/>
      <c r="GG513" s="75"/>
      <c r="GH513" s="75"/>
      <c r="GI513" s="75"/>
      <c r="GJ513" s="75"/>
      <c r="GK513" s="75"/>
      <c r="GL513" s="75"/>
      <c r="GM513" s="75"/>
      <c r="GN513" s="75"/>
      <c r="GO513" s="75"/>
      <c r="GP513" s="75"/>
      <c r="GQ513" s="75"/>
      <c r="GR513" s="75"/>
      <c r="GS513" s="75"/>
      <c r="GT513" s="75"/>
      <c r="GU513" s="75"/>
      <c r="GV513" s="75"/>
      <c r="GW513" s="75"/>
      <c r="GX513" s="75"/>
      <c r="GY513" s="75"/>
      <c r="GZ513" s="75"/>
      <c r="HA513" s="75"/>
      <c r="HB513" s="75"/>
      <c r="HC513" s="75"/>
      <c r="HD513" s="75"/>
      <c r="HE513" s="75"/>
      <c r="HF513" s="75"/>
      <c r="HG513" s="75"/>
      <c r="HH513" s="75"/>
      <c r="HI513" s="75"/>
      <c r="HJ513" s="75"/>
      <c r="HK513" s="75"/>
      <c r="HL513" s="75"/>
      <c r="HM513" s="75"/>
      <c r="HN513" s="75"/>
      <c r="HO513" s="75"/>
      <c r="HP513" s="75"/>
      <c r="HQ513" s="75"/>
      <c r="HR513" s="75"/>
      <c r="HS513" s="75"/>
      <c r="HT513" s="75"/>
      <c r="HU513" s="75"/>
      <c r="HV513" s="75"/>
      <c r="HW513" s="75"/>
      <c r="HX513" s="75"/>
      <c r="HY513" s="75"/>
      <c r="HZ513" s="75"/>
      <c r="IA513" s="75"/>
      <c r="IB513" s="75"/>
      <c r="IC513" s="75"/>
      <c r="ID513" s="75"/>
      <c r="IE513" s="75"/>
      <c r="IF513" s="75"/>
      <c r="IG513" s="75"/>
      <c r="IH513" s="75"/>
      <c r="II513" s="75"/>
      <c r="IJ513" s="75"/>
      <c r="IK513" s="75"/>
      <c r="IL513" s="75"/>
      <c r="IM513" s="75"/>
      <c r="IN513" s="75"/>
      <c r="IO513" s="75"/>
      <c r="IP513" s="75"/>
      <c r="IQ513" s="75"/>
      <c r="IR513" s="75"/>
      <c r="IS513" s="75"/>
      <c r="IT513" s="75"/>
      <c r="IU513" s="75"/>
      <c r="IV513" s="75"/>
      <c r="IW513" s="75"/>
      <c r="IX513" s="75"/>
      <c r="IY513" s="75"/>
      <c r="IZ513" s="75"/>
      <c r="JA513" s="75"/>
      <c r="JB513" s="75"/>
      <c r="JC513" s="75"/>
      <c r="JD513" s="75"/>
      <c r="JE513" s="75"/>
      <c r="JF513" s="75"/>
      <c r="JG513" s="75"/>
      <c r="JH513" s="75"/>
      <c r="JI513" s="75"/>
      <c r="JJ513" s="75"/>
      <c r="JK513" s="75"/>
      <c r="JL513" s="75"/>
      <c r="JM513" s="75"/>
      <c r="JN513" s="75"/>
      <c r="JO513" s="75"/>
      <c r="JP513" s="75"/>
      <c r="JQ513" s="75"/>
      <c r="JR513" s="75"/>
      <c r="JS513" s="75"/>
      <c r="JT513" s="75"/>
      <c r="JU513" s="75"/>
      <c r="JV513" s="75"/>
      <c r="JW513" s="75"/>
      <c r="JX513" s="75"/>
      <c r="JY513" s="75"/>
      <c r="JZ513" s="75"/>
      <c r="KA513" s="75"/>
      <c r="KB513" s="75"/>
      <c r="KC513" s="75"/>
      <c r="KD513" s="75"/>
      <c r="KE513" s="75"/>
      <c r="KF513" s="75"/>
      <c r="KG513" s="75"/>
      <c r="KH513" s="75"/>
      <c r="KI513" s="75"/>
      <c r="KJ513" s="75"/>
      <c r="KK513" s="75"/>
      <c r="KL513" s="75"/>
      <c r="KM513" s="75"/>
      <c r="KN513" s="75"/>
      <c r="KO513" s="75"/>
      <c r="KP513" s="75"/>
      <c r="KQ513" s="75"/>
      <c r="KR513" s="75"/>
      <c r="KS513" s="75"/>
      <c r="KT513" s="75"/>
      <c r="KU513" s="75"/>
      <c r="KV513" s="75"/>
      <c r="KW513" s="75"/>
      <c r="KX513" s="75"/>
      <c r="KY513" s="75"/>
      <c r="KZ513" s="75"/>
      <c r="LA513" s="75"/>
      <c r="LB513" s="75"/>
      <c r="LC513" s="75"/>
      <c r="LD513" s="75"/>
      <c r="LE513" s="75"/>
      <c r="LF513" s="75"/>
      <c r="LG513" s="75"/>
      <c r="LH513" s="75"/>
      <c r="LI513" s="75"/>
      <c r="LJ513" s="75"/>
      <c r="LK513" s="75"/>
      <c r="LL513" s="75"/>
      <c r="LM513" s="75"/>
      <c r="LN513" s="75"/>
      <c r="LO513" s="75"/>
      <c r="LP513" s="75"/>
      <c r="LQ513" s="75"/>
      <c r="LR513" s="75"/>
      <c r="LS513" s="75"/>
      <c r="LT513" s="75"/>
      <c r="LU513" s="75"/>
      <c r="LV513" s="75"/>
      <c r="LW513" s="75"/>
      <c r="LX513" s="75"/>
      <c r="LY513" s="75"/>
      <c r="LZ513" s="75"/>
      <c r="MA513" s="75"/>
      <c r="MB513" s="75"/>
      <c r="MC513" s="75"/>
      <c r="MD513" s="75"/>
      <c r="ME513" s="75"/>
      <c r="MF513" s="75"/>
      <c r="MG513" s="75"/>
      <c r="MH513" s="75"/>
      <c r="MI513" s="75"/>
      <c r="MJ513" s="75"/>
      <c r="MK513" s="75"/>
      <c r="ML513" s="75"/>
      <c r="MM513" s="75"/>
      <c r="MN513" s="75"/>
      <c r="MO513" s="75"/>
      <c r="MP513" s="75"/>
      <c r="MQ513" s="75"/>
      <c r="MR513" s="75"/>
      <c r="MS513" s="75"/>
      <c r="MT513" s="75"/>
      <c r="MU513" s="75"/>
      <c r="MV513" s="75"/>
      <c r="MW513" s="75"/>
      <c r="MX513" s="75"/>
      <c r="MY513" s="75"/>
      <c r="MZ513" s="75"/>
      <c r="NA513" s="75"/>
      <c r="NB513" s="75"/>
      <c r="NC513" s="75"/>
      <c r="ND513" s="75"/>
      <c r="NE513" s="75"/>
      <c r="NF513" s="75"/>
      <c r="NG513" s="75"/>
      <c r="NH513" s="75"/>
      <c r="NI513" s="75"/>
      <c r="NJ513" s="75"/>
      <c r="NK513" s="75"/>
      <c r="NL513" s="75"/>
      <c r="NM513" s="75"/>
      <c r="NN513" s="75"/>
      <c r="NO513" s="75"/>
      <c r="NP513" s="75"/>
      <c r="NQ513" s="75"/>
      <c r="NR513" s="75"/>
      <c r="NS513" s="75"/>
      <c r="NT513" s="75"/>
      <c r="NU513" s="75"/>
      <c r="NV513" s="75"/>
      <c r="NW513" s="75"/>
      <c r="NX513" s="75"/>
      <c r="NY513" s="75"/>
      <c r="NZ513" s="75"/>
      <c r="OA513" s="75"/>
      <c r="OB513" s="75"/>
      <c r="OC513" s="75"/>
      <c r="OD513" s="75"/>
      <c r="OE513" s="75"/>
      <c r="OF513" s="75"/>
      <c r="OG513" s="75"/>
      <c r="OH513" s="75"/>
      <c r="OI513" s="75"/>
      <c r="OJ513" s="75"/>
      <c r="OK513" s="75"/>
      <c r="OL513" s="75"/>
      <c r="OM513" s="75"/>
      <c r="ON513" s="75"/>
      <c r="OO513" s="75"/>
      <c r="OP513" s="75"/>
      <c r="OQ513" s="75"/>
      <c r="OR513" s="75"/>
      <c r="OS513" s="75"/>
      <c r="OT513" s="75"/>
      <c r="OU513" s="75"/>
      <c r="OV513" s="75"/>
      <c r="OW513" s="75"/>
      <c r="OX513" s="75"/>
      <c r="OY513" s="75"/>
      <c r="OZ513" s="75"/>
      <c r="PA513" s="75"/>
      <c r="PB513" s="75"/>
      <c r="PC513" s="75"/>
      <c r="PD513" s="75"/>
      <c r="PE513" s="75"/>
      <c r="PF513" s="75"/>
      <c r="PG513" s="75"/>
      <c r="PH513" s="75"/>
      <c r="PI513" s="75"/>
      <c r="PJ513" s="75"/>
      <c r="PK513" s="75"/>
      <c r="PL513" s="75"/>
      <c r="PM513" s="75"/>
      <c r="PN513" s="75"/>
      <c r="PO513" s="75"/>
      <c r="PP513" s="75"/>
      <c r="PQ513" s="75"/>
      <c r="PR513" s="75"/>
      <c r="PS513" s="75"/>
      <c r="PT513" s="75"/>
      <c r="PU513" s="75"/>
      <c r="PV513" s="75"/>
      <c r="PW513" s="75"/>
      <c r="PX513" s="75"/>
      <c r="PY513" s="75"/>
      <c r="PZ513" s="75"/>
      <c r="QA513" s="75"/>
      <c r="QB513" s="75"/>
      <c r="QC513" s="75"/>
      <c r="QD513" s="75"/>
      <c r="QE513" s="75"/>
      <c r="QF513" s="75"/>
      <c r="QG513" s="75"/>
      <c r="QH513" s="75"/>
      <c r="QI513" s="75"/>
      <c r="QJ513" s="75"/>
      <c r="QK513" s="75"/>
      <c r="QL513" s="75"/>
      <c r="QM513" s="75"/>
      <c r="QN513" s="75"/>
      <c r="QO513" s="75"/>
      <c r="QP513" s="75"/>
      <c r="QQ513" s="75"/>
      <c r="QR513" s="75"/>
      <c r="QS513" s="75"/>
      <c r="QT513" s="75"/>
      <c r="QU513" s="75"/>
      <c r="QV513" s="75"/>
      <c r="QW513" s="75"/>
      <c r="QX513" s="75"/>
      <c r="QY513" s="75"/>
      <c r="QZ513" s="75"/>
      <c r="RA513" s="75"/>
      <c r="RB513" s="75"/>
      <c r="RC513" s="75"/>
      <c r="RD513" s="75"/>
      <c r="RE513" s="75"/>
      <c r="RF513" s="75"/>
      <c r="RG513" s="75"/>
      <c r="RH513" s="75"/>
      <c r="RI513" s="75"/>
      <c r="RJ513" s="75"/>
      <c r="RK513" s="75"/>
      <c r="RL513" s="75"/>
      <c r="RM513" s="75"/>
      <c r="RN513" s="75"/>
      <c r="RO513" s="75"/>
      <c r="RP513" s="75"/>
      <c r="RQ513" s="75"/>
      <c r="RR513" s="75"/>
      <c r="RS513" s="75"/>
      <c r="RT513" s="75"/>
      <c r="RU513" s="75"/>
      <c r="RV513" s="75"/>
      <c r="RW513" s="75"/>
      <c r="RX513" s="75"/>
      <c r="RY513" s="75"/>
      <c r="RZ513" s="75"/>
      <c r="SA513" s="75"/>
      <c r="SB513" s="75"/>
      <c r="SC513" s="75"/>
      <c r="SD513" s="75"/>
      <c r="SE513" s="75"/>
      <c r="SF513" s="75"/>
      <c r="SG513" s="75"/>
      <c r="SH513" s="75"/>
      <c r="SI513" s="75"/>
      <c r="SJ513" s="75"/>
      <c r="SK513" s="75"/>
      <c r="SL513" s="75"/>
      <c r="SM513" s="75"/>
      <c r="SN513" s="75"/>
      <c r="SO513" s="75"/>
      <c r="SP513" s="75"/>
      <c r="SQ513" s="75"/>
      <c r="SR513" s="75"/>
      <c r="SS513" s="75"/>
      <c r="ST513" s="75"/>
      <c r="SU513" s="75"/>
      <c r="SV513" s="75"/>
      <c r="SW513" s="75"/>
      <c r="SX513" s="75"/>
      <c r="SY513" s="75"/>
      <c r="SZ513" s="75"/>
      <c r="TA513" s="75"/>
      <c r="TB513" s="75"/>
      <c r="TC513" s="75"/>
      <c r="TD513" s="75"/>
      <c r="TE513" s="75"/>
      <c r="TF513" s="75"/>
      <c r="TG513" s="75"/>
      <c r="TH513" s="75"/>
      <c r="TI513" s="75"/>
      <c r="TJ513" s="75"/>
      <c r="TK513" s="75"/>
      <c r="TL513" s="75"/>
      <c r="TM513" s="75"/>
      <c r="TN513" s="75"/>
      <c r="TO513" s="75"/>
      <c r="TP513" s="75"/>
      <c r="TQ513" s="75"/>
      <c r="TR513" s="75"/>
      <c r="TS513" s="75"/>
      <c r="TT513" s="75"/>
      <c r="TU513" s="75"/>
      <c r="TV513" s="75"/>
      <c r="TW513" s="75"/>
      <c r="TX513" s="75"/>
      <c r="TY513" s="75"/>
      <c r="TZ513" s="75"/>
      <c r="UA513" s="75"/>
      <c r="UB513" s="75"/>
      <c r="UC513" s="75"/>
      <c r="UD513" s="75"/>
      <c r="UE513" s="75"/>
      <c r="UF513" s="75"/>
      <c r="UG513" s="75"/>
      <c r="UH513" s="75"/>
      <c r="UI513" s="75"/>
      <c r="UJ513" s="75"/>
      <c r="UK513" s="75"/>
      <c r="UL513" s="75"/>
      <c r="UM513" s="75"/>
      <c r="UN513" s="75"/>
      <c r="UO513" s="75"/>
      <c r="UP513" s="75"/>
      <c r="UQ513" s="75"/>
      <c r="UR513" s="75"/>
      <c r="US513" s="75"/>
      <c r="UT513" s="75"/>
      <c r="UU513" s="75"/>
      <c r="UV513" s="75"/>
      <c r="UW513" s="75"/>
      <c r="UX513" s="75"/>
      <c r="UY513" s="75"/>
      <c r="UZ513" s="75"/>
      <c r="VA513" s="75"/>
      <c r="VB513" s="75"/>
      <c r="VC513" s="75"/>
      <c r="VD513" s="75"/>
      <c r="VE513" s="75"/>
      <c r="VF513" s="75"/>
      <c r="VG513" s="75"/>
      <c r="VH513" s="75"/>
      <c r="VI513" s="75"/>
      <c r="VJ513" s="75"/>
      <c r="VK513" s="75"/>
      <c r="VL513" s="75"/>
      <c r="VM513" s="75"/>
      <c r="VN513" s="75"/>
      <c r="VO513" s="75"/>
      <c r="VP513" s="75"/>
      <c r="VQ513" s="75"/>
      <c r="VR513" s="75"/>
      <c r="VS513" s="75"/>
      <c r="VT513" s="75"/>
      <c r="VU513" s="75"/>
      <c r="VV513" s="75"/>
      <c r="VW513" s="75"/>
      <c r="VX513" s="75"/>
      <c r="VY513" s="75"/>
      <c r="VZ513" s="75"/>
      <c r="WA513" s="75"/>
      <c r="WB513" s="75"/>
      <c r="WC513" s="75"/>
      <c r="WD513" s="75"/>
      <c r="WE513" s="75"/>
      <c r="WF513" s="75"/>
      <c r="WG513" s="75"/>
      <c r="WH513" s="75"/>
      <c r="WI513" s="75"/>
      <c r="WJ513" s="75"/>
      <c r="WK513" s="75"/>
      <c r="WL513" s="75"/>
      <c r="WM513" s="75"/>
      <c r="WN513" s="75"/>
      <c r="WO513" s="75"/>
      <c r="WP513" s="75"/>
      <c r="WQ513" s="75"/>
      <c r="WR513" s="75"/>
      <c r="WS513" s="75"/>
      <c r="WT513" s="75"/>
      <c r="WU513" s="75"/>
      <c r="WV513" s="75"/>
      <c r="WW513" s="75"/>
      <c r="WX513" s="75"/>
      <c r="WY513" s="75"/>
      <c r="WZ513" s="75"/>
      <c r="XA513" s="75"/>
      <c r="XB513" s="75"/>
      <c r="XC513" s="75"/>
      <c r="XD513" s="75"/>
      <c r="XE513" s="75"/>
      <c r="XF513" s="75"/>
      <c r="XG513" s="75"/>
      <c r="XH513" s="75"/>
      <c r="XI513" s="75"/>
      <c r="XJ513" s="75"/>
      <c r="XK513" s="75"/>
      <c r="XL513" s="75"/>
      <c r="XM513" s="75"/>
      <c r="XN513" s="75"/>
      <c r="XO513" s="75"/>
      <c r="XP513" s="75"/>
      <c r="XQ513" s="75"/>
      <c r="XR513" s="75"/>
      <c r="XS513" s="75"/>
      <c r="XT513" s="75"/>
      <c r="XU513" s="75"/>
      <c r="XV513" s="75"/>
      <c r="XW513" s="75"/>
      <c r="XX513" s="75"/>
      <c r="XY513" s="75"/>
      <c r="XZ513" s="75"/>
      <c r="YA513" s="75"/>
      <c r="YB513" s="75"/>
      <c r="YC513" s="75"/>
      <c r="YD513" s="75"/>
      <c r="YE513" s="75"/>
      <c r="YF513" s="75"/>
      <c r="YG513" s="75"/>
      <c r="YH513" s="75"/>
      <c r="YI513" s="75"/>
      <c r="YJ513" s="75"/>
      <c r="YK513" s="75"/>
      <c r="YL513" s="75"/>
      <c r="YM513" s="75"/>
      <c r="YN513" s="75"/>
      <c r="YO513" s="75"/>
      <c r="YP513" s="75"/>
      <c r="YQ513" s="75"/>
      <c r="YR513" s="75"/>
      <c r="YS513" s="75"/>
      <c r="YT513" s="75"/>
      <c r="YU513" s="75"/>
      <c r="YV513" s="75"/>
      <c r="YW513" s="75"/>
      <c r="YX513" s="75"/>
      <c r="YY513" s="75"/>
      <c r="YZ513" s="75"/>
      <c r="ZA513" s="75"/>
      <c r="ZB513" s="75"/>
      <c r="ZC513" s="75"/>
      <c r="ZD513" s="75"/>
      <c r="ZE513" s="75"/>
      <c r="ZF513" s="75"/>
      <c r="ZG513" s="75"/>
      <c r="ZH513" s="75"/>
      <c r="ZI513" s="75"/>
      <c r="ZJ513" s="75"/>
      <c r="ZK513" s="75"/>
      <c r="ZL513" s="75"/>
      <c r="ZM513" s="75"/>
      <c r="ZN513" s="75"/>
      <c r="ZO513" s="75"/>
      <c r="ZP513" s="75"/>
      <c r="ZQ513" s="75"/>
      <c r="ZR513" s="75"/>
      <c r="ZS513" s="75"/>
      <c r="ZT513" s="75"/>
      <c r="ZU513" s="75"/>
      <c r="ZV513" s="75"/>
      <c r="ZW513" s="75"/>
      <c r="ZX513" s="75"/>
      <c r="ZY513" s="75"/>
      <c r="ZZ513" s="75"/>
      <c r="AAA513" s="75"/>
      <c r="AAB513" s="75"/>
      <c r="AAC513" s="75"/>
      <c r="AAD513" s="75"/>
      <c r="AAE513" s="75"/>
      <c r="AAF513" s="75"/>
      <c r="AAG513" s="75"/>
      <c r="AAH513" s="75"/>
      <c r="AAI513" s="75"/>
      <c r="AAJ513" s="75"/>
      <c r="AAK513" s="75"/>
      <c r="AAL513" s="75"/>
      <c r="AAM513" s="75"/>
      <c r="AAN513" s="75"/>
      <c r="AAO513" s="75"/>
      <c r="AAP513" s="75"/>
      <c r="AAQ513" s="75"/>
      <c r="AAR513" s="75"/>
      <c r="AAS513" s="75"/>
      <c r="AAT513" s="75"/>
      <c r="AAU513" s="75"/>
      <c r="AAV513" s="75"/>
      <c r="AAW513" s="75"/>
      <c r="AAX513" s="75"/>
      <c r="AAY513" s="75"/>
      <c r="AAZ513" s="75"/>
      <c r="ABA513" s="75"/>
      <c r="ABB513" s="75"/>
      <c r="ABC513" s="75"/>
      <c r="ABD513" s="75"/>
      <c r="ABE513" s="75"/>
      <c r="ABF513" s="75"/>
      <c r="ABG513" s="75"/>
      <c r="ABH513" s="75"/>
      <c r="ABI513" s="75"/>
      <c r="ABJ513" s="75"/>
      <c r="ABK513" s="75"/>
      <c r="ABL513" s="75"/>
      <c r="ABM513" s="75"/>
      <c r="ABN513" s="75"/>
      <c r="ABO513" s="75"/>
      <c r="ABP513" s="75"/>
      <c r="ABQ513" s="75"/>
      <c r="ABR513" s="75"/>
      <c r="ABS513" s="75"/>
      <c r="ABT513" s="75"/>
      <c r="ABU513" s="75"/>
      <c r="ABV513" s="75"/>
      <c r="ABW513" s="75"/>
      <c r="ABX513" s="75"/>
      <c r="ABY513" s="75"/>
      <c r="ABZ513" s="75"/>
      <c r="ACA513" s="75"/>
      <c r="ACB513" s="75"/>
      <c r="ACC513" s="75"/>
      <c r="ACD513" s="75"/>
      <c r="ACE513" s="75"/>
      <c r="ACF513" s="75"/>
      <c r="ACG513" s="75"/>
      <c r="ACH513" s="75"/>
      <c r="ACI513" s="75"/>
      <c r="ACJ513" s="75"/>
      <c r="ACK513" s="75"/>
      <c r="ACL513" s="75"/>
      <c r="ACM513" s="75"/>
      <c r="ACN513" s="75"/>
      <c r="ACO513" s="75"/>
      <c r="ACP513" s="75"/>
      <c r="ACQ513" s="75"/>
      <c r="ACR513" s="75"/>
      <c r="ACS513" s="75"/>
      <c r="ACT513" s="75"/>
      <c r="ACU513" s="75"/>
      <c r="ACV513" s="75"/>
      <c r="ACW513" s="75"/>
      <c r="ACX513" s="75"/>
      <c r="ACY513" s="75"/>
      <c r="ACZ513" s="75"/>
      <c r="ADA513" s="75"/>
      <c r="ADB513" s="75"/>
      <c r="ADC513" s="75"/>
      <c r="ADD513" s="75"/>
      <c r="ADE513" s="75"/>
      <c r="ADF513" s="75"/>
      <c r="ADG513" s="75"/>
      <c r="ADH513" s="75"/>
      <c r="ADI513" s="75"/>
      <c r="ADJ513" s="75"/>
      <c r="ADK513" s="75"/>
      <c r="ADL513" s="75"/>
      <c r="ADM513" s="75"/>
      <c r="ADN513" s="75"/>
      <c r="ADO513" s="75"/>
      <c r="ADP513" s="75"/>
      <c r="ADQ513" s="75"/>
      <c r="ADR513" s="75"/>
      <c r="ADS513" s="75"/>
      <c r="ADT513" s="75"/>
      <c r="ADU513" s="75"/>
      <c r="ADV513" s="75"/>
      <c r="ADW513" s="75"/>
      <c r="ADX513" s="75"/>
      <c r="ADY513" s="75"/>
      <c r="ADZ513" s="75"/>
      <c r="AEA513" s="75"/>
      <c r="AEB513" s="75"/>
      <c r="AEC513" s="75"/>
      <c r="AED513" s="75"/>
      <c r="AEE513" s="75"/>
      <c r="AEF513" s="75"/>
      <c r="AEG513" s="75"/>
      <c r="AEH513" s="75"/>
      <c r="AEI513" s="75"/>
      <c r="AEJ513" s="75"/>
      <c r="AEK513" s="75"/>
      <c r="AEL513" s="75"/>
      <c r="AEM513" s="75"/>
      <c r="AEN513" s="75"/>
      <c r="AEO513" s="75"/>
      <c r="AEP513" s="75"/>
      <c r="AEQ513" s="75"/>
      <c r="AER513" s="75"/>
      <c r="AES513" s="75"/>
      <c r="AET513" s="75"/>
      <c r="AEU513" s="75"/>
      <c r="AEV513" s="75"/>
      <c r="AEW513" s="75"/>
      <c r="AEX513" s="75"/>
      <c r="AEY513" s="75"/>
      <c r="AEZ513" s="75"/>
      <c r="AFA513" s="75"/>
      <c r="AFB513" s="75"/>
      <c r="AFC513" s="75"/>
      <c r="AFD513" s="75"/>
      <c r="AFE513" s="75"/>
      <c r="AFF513" s="75"/>
      <c r="AFG513" s="75"/>
      <c r="AFH513" s="75"/>
      <c r="AFI513" s="75"/>
      <c r="AFJ513" s="75"/>
      <c r="AFK513" s="75"/>
      <c r="AFL513" s="75"/>
      <c r="AFM513" s="75"/>
      <c r="AFN513" s="75"/>
      <c r="AFO513" s="75"/>
      <c r="AFP513" s="75"/>
      <c r="AFQ513" s="75"/>
      <c r="AFR513" s="75"/>
      <c r="AFS513" s="75"/>
      <c r="AFT513" s="75"/>
      <c r="AFU513" s="75"/>
      <c r="AFV513" s="75"/>
      <c r="AFW513" s="75"/>
      <c r="AFX513" s="75"/>
      <c r="AFY513" s="75"/>
      <c r="AFZ513" s="75"/>
      <c r="AGA513" s="75"/>
      <c r="AGB513" s="75"/>
      <c r="AGC513" s="75"/>
      <c r="AGD513" s="75"/>
      <c r="AGE513" s="75"/>
      <c r="AGF513" s="75"/>
      <c r="AGG513" s="75"/>
      <c r="AGH513" s="75"/>
      <c r="AGI513" s="75"/>
      <c r="AGJ513" s="75"/>
      <c r="AGK513" s="75"/>
      <c r="AGL513" s="75"/>
      <c r="AGM513" s="75"/>
      <c r="AGN513" s="75"/>
      <c r="AGO513" s="75"/>
      <c r="AGP513" s="75"/>
      <c r="AGQ513" s="75"/>
      <c r="AGR513" s="75"/>
      <c r="AGS513" s="75"/>
      <c r="AGT513" s="75"/>
      <c r="AGU513" s="75"/>
      <c r="AGV513" s="75"/>
      <c r="AGW513" s="75"/>
      <c r="AGX513" s="75"/>
      <c r="AGY513" s="75"/>
      <c r="AGZ513" s="75"/>
      <c r="AHA513" s="75"/>
      <c r="AHB513" s="75"/>
      <c r="AHC513" s="75"/>
      <c r="AHD513" s="75"/>
      <c r="AHE513" s="75"/>
      <c r="AHF513" s="75"/>
      <c r="AHG513" s="75"/>
      <c r="AHH513" s="75"/>
      <c r="AHI513" s="75"/>
      <c r="AHJ513" s="75"/>
      <c r="AHK513" s="75"/>
      <c r="AHL513" s="75"/>
      <c r="AHM513" s="75"/>
      <c r="AHN513" s="75"/>
      <c r="AHO513" s="75"/>
      <c r="AHP513" s="75"/>
      <c r="AHQ513" s="75"/>
      <c r="AHR513" s="75"/>
      <c r="AHS513" s="75"/>
      <c r="AHT513" s="75"/>
      <c r="AHU513" s="75"/>
      <c r="AHV513" s="75"/>
      <c r="AHW513" s="75"/>
      <c r="AHX513" s="75"/>
      <c r="AHY513" s="75"/>
      <c r="AHZ513" s="75"/>
      <c r="AIA513" s="75"/>
      <c r="AIB513" s="75"/>
      <c r="AIC513" s="75"/>
      <c r="AID513" s="75"/>
      <c r="AIE513" s="75"/>
      <c r="AIF513" s="75"/>
      <c r="AIG513" s="75"/>
      <c r="AIH513" s="75"/>
      <c r="AII513" s="75"/>
      <c r="AIJ513" s="75"/>
      <c r="AIK513" s="75"/>
      <c r="AIL513" s="75"/>
      <c r="AIM513" s="75"/>
      <c r="AIN513" s="75"/>
      <c r="AIO513" s="75"/>
      <c r="AIP513" s="75"/>
      <c r="AIQ513" s="75"/>
      <c r="AIR513" s="75"/>
      <c r="AIS513" s="75"/>
      <c r="AIT513" s="75"/>
      <c r="AIU513" s="75"/>
      <c r="AIV513" s="75"/>
      <c r="AIW513" s="75"/>
      <c r="AIX513" s="75"/>
      <c r="AIY513" s="75"/>
      <c r="AIZ513" s="75"/>
      <c r="AJA513" s="75"/>
      <c r="AJB513" s="75"/>
      <c r="AJC513" s="75"/>
      <c r="AJD513" s="75"/>
      <c r="AJE513" s="75"/>
      <c r="AJF513" s="75"/>
      <c r="AJG513" s="75"/>
      <c r="AJH513" s="75"/>
      <c r="AJI513" s="75"/>
      <c r="AJJ513" s="75"/>
      <c r="AJK513" s="75"/>
      <c r="AJL513" s="75"/>
      <c r="AJM513" s="75"/>
      <c r="AJN513" s="75"/>
      <c r="AJO513" s="75"/>
      <c r="AJP513" s="75"/>
      <c r="AJQ513" s="75"/>
      <c r="AJR513" s="75"/>
      <c r="AJS513" s="75"/>
      <c r="AJT513" s="75"/>
      <c r="AJU513" s="75"/>
      <c r="AJV513" s="75"/>
      <c r="AJW513" s="75"/>
      <c r="AJX513" s="75"/>
      <c r="AJY513" s="75"/>
      <c r="AJZ513" s="75"/>
      <c r="AKA513" s="75"/>
      <c r="AKB513" s="75"/>
      <c r="AKC513" s="75"/>
      <c r="AKD513" s="75"/>
      <c r="AKE513" s="75"/>
      <c r="AKF513" s="75"/>
      <c r="AKG513" s="75"/>
      <c r="AKH513" s="75"/>
      <c r="AKI513" s="75"/>
      <c r="AKJ513" s="75"/>
      <c r="AKK513" s="75"/>
      <c r="AKL513" s="75"/>
      <c r="AKM513" s="75"/>
      <c r="AKN513" s="75"/>
      <c r="AKO513" s="75"/>
      <c r="AKP513" s="75"/>
      <c r="AKQ513" s="75"/>
      <c r="AKR513" s="75"/>
      <c r="AKS513" s="75"/>
      <c r="AKT513" s="75"/>
      <c r="AKU513" s="75"/>
      <c r="AKV513" s="75"/>
      <c r="AKW513" s="75"/>
      <c r="AKX513" s="75"/>
      <c r="AKY513" s="75"/>
      <c r="AKZ513" s="75"/>
      <c r="ALA513" s="75"/>
      <c r="ALB513" s="75"/>
      <c r="ALC513" s="75"/>
      <c r="ALD513" s="75"/>
      <c r="ALE513" s="75"/>
      <c r="ALF513" s="75"/>
      <c r="ALG513" s="75"/>
      <c r="ALH513" s="75"/>
      <c r="ALI513" s="75"/>
      <c r="ALJ513" s="75"/>
      <c r="ALK513" s="75"/>
      <c r="ALL513" s="75"/>
      <c r="ALM513" s="75"/>
      <c r="ALN513" s="75"/>
      <c r="ALO513" s="75"/>
    </row>
    <row r="514" spans="1:1003" s="234" customFormat="1" ht="14.55" customHeight="1" outlineLevel="1" x14ac:dyDescent="0.25">
      <c r="A514" s="230" t="s">
        <v>1422</v>
      </c>
      <c r="B514" s="343" t="str">
        <f>"13.1004"</f>
        <v>13.1004</v>
      </c>
      <c r="C514" s="75" t="s">
        <v>2212</v>
      </c>
      <c r="D514" s="127" t="s">
        <v>2213</v>
      </c>
      <c r="E514" s="232"/>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75"/>
      <c r="BL514" s="75"/>
      <c r="BM514" s="75"/>
      <c r="BN514" s="75"/>
      <c r="BO514" s="75"/>
      <c r="BP514" s="75"/>
      <c r="BQ514" s="75"/>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c r="CY514" s="75"/>
      <c r="CZ514" s="75"/>
      <c r="DA514" s="75"/>
      <c r="DB514" s="75"/>
      <c r="DC514" s="75"/>
      <c r="DD514" s="75"/>
      <c r="DE514" s="75"/>
      <c r="DF514" s="75"/>
      <c r="DG514" s="75"/>
      <c r="DH514" s="75"/>
      <c r="DI514" s="75"/>
      <c r="DJ514" s="75"/>
      <c r="DK514" s="75"/>
      <c r="DL514" s="75"/>
      <c r="DM514" s="75"/>
      <c r="DN514" s="75"/>
      <c r="DO514" s="75"/>
      <c r="DP514" s="75"/>
      <c r="DQ514" s="75"/>
      <c r="DR514" s="75"/>
      <c r="DS514" s="75"/>
      <c r="DT514" s="75"/>
      <c r="DU514" s="75"/>
      <c r="DV514" s="75"/>
      <c r="DW514" s="75"/>
      <c r="DX514" s="75"/>
      <c r="DY514" s="75"/>
      <c r="DZ514" s="75"/>
      <c r="EA514" s="75"/>
      <c r="EB514" s="75"/>
      <c r="EC514" s="75"/>
      <c r="ED514" s="75"/>
      <c r="EE514" s="75"/>
      <c r="EF514" s="75"/>
      <c r="EG514" s="75"/>
      <c r="EH514" s="75"/>
      <c r="EI514" s="75"/>
      <c r="EJ514" s="75"/>
      <c r="EK514" s="75"/>
      <c r="EL514" s="75"/>
      <c r="EM514" s="75"/>
      <c r="EN514" s="75"/>
      <c r="EO514" s="75"/>
      <c r="EP514" s="75"/>
      <c r="EQ514" s="75"/>
      <c r="ER514" s="75"/>
      <c r="ES514" s="75"/>
      <c r="ET514" s="75"/>
      <c r="EU514" s="75"/>
      <c r="EV514" s="75"/>
      <c r="EW514" s="75"/>
      <c r="EX514" s="75"/>
      <c r="EY514" s="75"/>
      <c r="EZ514" s="75"/>
      <c r="FA514" s="75"/>
      <c r="FB514" s="75"/>
      <c r="FC514" s="75"/>
      <c r="FD514" s="75"/>
      <c r="FE514" s="75"/>
      <c r="FF514" s="75"/>
      <c r="FG514" s="75"/>
      <c r="FH514" s="75"/>
      <c r="FI514" s="75"/>
      <c r="FJ514" s="75"/>
      <c r="FK514" s="75"/>
      <c r="FL514" s="75"/>
      <c r="FM514" s="75"/>
      <c r="FN514" s="75"/>
      <c r="FO514" s="75"/>
      <c r="FP514" s="75"/>
      <c r="FQ514" s="75"/>
      <c r="FR514" s="75"/>
      <c r="FS514" s="75"/>
      <c r="FT514" s="75"/>
      <c r="FU514" s="75"/>
      <c r="FV514" s="75"/>
      <c r="FW514" s="75"/>
      <c r="FX514" s="75"/>
      <c r="FY514" s="75"/>
      <c r="FZ514" s="75"/>
      <c r="GA514" s="75"/>
      <c r="GB514" s="75"/>
      <c r="GC514" s="75"/>
      <c r="GD514" s="75"/>
      <c r="GE514" s="75"/>
      <c r="GF514" s="75"/>
      <c r="GG514" s="75"/>
      <c r="GH514" s="75"/>
      <c r="GI514" s="75"/>
      <c r="GJ514" s="75"/>
      <c r="GK514" s="75"/>
      <c r="GL514" s="75"/>
      <c r="GM514" s="75"/>
      <c r="GN514" s="75"/>
      <c r="GO514" s="75"/>
      <c r="GP514" s="75"/>
      <c r="GQ514" s="75"/>
      <c r="GR514" s="75"/>
      <c r="GS514" s="75"/>
      <c r="GT514" s="75"/>
      <c r="GU514" s="75"/>
      <c r="GV514" s="75"/>
      <c r="GW514" s="75"/>
      <c r="GX514" s="75"/>
      <c r="GY514" s="75"/>
      <c r="GZ514" s="75"/>
      <c r="HA514" s="75"/>
      <c r="HB514" s="75"/>
      <c r="HC514" s="75"/>
      <c r="HD514" s="75"/>
      <c r="HE514" s="75"/>
      <c r="HF514" s="75"/>
      <c r="HG514" s="75"/>
      <c r="HH514" s="75"/>
      <c r="HI514" s="75"/>
      <c r="HJ514" s="75"/>
      <c r="HK514" s="75"/>
      <c r="HL514" s="75"/>
      <c r="HM514" s="75"/>
      <c r="HN514" s="75"/>
      <c r="HO514" s="75"/>
      <c r="HP514" s="75"/>
      <c r="HQ514" s="75"/>
      <c r="HR514" s="75"/>
      <c r="HS514" s="75"/>
      <c r="HT514" s="75"/>
      <c r="HU514" s="75"/>
      <c r="HV514" s="75"/>
      <c r="HW514" s="75"/>
      <c r="HX514" s="75"/>
      <c r="HY514" s="75"/>
      <c r="HZ514" s="75"/>
      <c r="IA514" s="75"/>
      <c r="IB514" s="75"/>
      <c r="IC514" s="75"/>
      <c r="ID514" s="75"/>
      <c r="IE514" s="75"/>
      <c r="IF514" s="75"/>
      <c r="IG514" s="75"/>
      <c r="IH514" s="75"/>
      <c r="II514" s="75"/>
      <c r="IJ514" s="75"/>
      <c r="IK514" s="75"/>
      <c r="IL514" s="75"/>
      <c r="IM514" s="75"/>
      <c r="IN514" s="75"/>
      <c r="IO514" s="75"/>
      <c r="IP514" s="75"/>
      <c r="IQ514" s="75"/>
      <c r="IR514" s="75"/>
      <c r="IS514" s="75"/>
      <c r="IT514" s="75"/>
      <c r="IU514" s="75"/>
      <c r="IV514" s="75"/>
      <c r="IW514" s="75"/>
      <c r="IX514" s="75"/>
      <c r="IY514" s="75"/>
      <c r="IZ514" s="75"/>
      <c r="JA514" s="75"/>
      <c r="JB514" s="75"/>
      <c r="JC514" s="75"/>
      <c r="JD514" s="75"/>
      <c r="JE514" s="75"/>
      <c r="JF514" s="75"/>
      <c r="JG514" s="75"/>
      <c r="JH514" s="75"/>
      <c r="JI514" s="75"/>
      <c r="JJ514" s="75"/>
      <c r="JK514" s="75"/>
      <c r="JL514" s="75"/>
      <c r="JM514" s="75"/>
      <c r="JN514" s="75"/>
      <c r="JO514" s="75"/>
      <c r="JP514" s="75"/>
      <c r="JQ514" s="75"/>
      <c r="JR514" s="75"/>
      <c r="JS514" s="75"/>
      <c r="JT514" s="75"/>
      <c r="JU514" s="75"/>
      <c r="JV514" s="75"/>
      <c r="JW514" s="75"/>
      <c r="JX514" s="75"/>
      <c r="JY514" s="75"/>
      <c r="JZ514" s="75"/>
      <c r="KA514" s="75"/>
      <c r="KB514" s="75"/>
      <c r="KC514" s="75"/>
      <c r="KD514" s="75"/>
      <c r="KE514" s="75"/>
      <c r="KF514" s="75"/>
      <c r="KG514" s="75"/>
      <c r="KH514" s="75"/>
      <c r="KI514" s="75"/>
      <c r="KJ514" s="75"/>
      <c r="KK514" s="75"/>
      <c r="KL514" s="75"/>
      <c r="KM514" s="75"/>
      <c r="KN514" s="75"/>
      <c r="KO514" s="75"/>
      <c r="KP514" s="75"/>
      <c r="KQ514" s="75"/>
      <c r="KR514" s="75"/>
      <c r="KS514" s="75"/>
      <c r="KT514" s="75"/>
      <c r="KU514" s="75"/>
      <c r="KV514" s="75"/>
      <c r="KW514" s="75"/>
      <c r="KX514" s="75"/>
      <c r="KY514" s="75"/>
      <c r="KZ514" s="75"/>
      <c r="LA514" s="75"/>
      <c r="LB514" s="75"/>
      <c r="LC514" s="75"/>
      <c r="LD514" s="75"/>
      <c r="LE514" s="75"/>
      <c r="LF514" s="75"/>
      <c r="LG514" s="75"/>
      <c r="LH514" s="75"/>
      <c r="LI514" s="75"/>
      <c r="LJ514" s="75"/>
      <c r="LK514" s="75"/>
      <c r="LL514" s="75"/>
      <c r="LM514" s="75"/>
      <c r="LN514" s="75"/>
      <c r="LO514" s="75"/>
      <c r="LP514" s="75"/>
      <c r="LQ514" s="75"/>
      <c r="LR514" s="75"/>
      <c r="LS514" s="75"/>
      <c r="LT514" s="75"/>
      <c r="LU514" s="75"/>
      <c r="LV514" s="75"/>
      <c r="LW514" s="75"/>
      <c r="LX514" s="75"/>
      <c r="LY514" s="75"/>
      <c r="LZ514" s="75"/>
      <c r="MA514" s="75"/>
      <c r="MB514" s="75"/>
      <c r="MC514" s="75"/>
      <c r="MD514" s="75"/>
      <c r="ME514" s="75"/>
      <c r="MF514" s="75"/>
      <c r="MG514" s="75"/>
      <c r="MH514" s="75"/>
      <c r="MI514" s="75"/>
      <c r="MJ514" s="75"/>
      <c r="MK514" s="75"/>
      <c r="ML514" s="75"/>
      <c r="MM514" s="75"/>
      <c r="MN514" s="75"/>
      <c r="MO514" s="75"/>
      <c r="MP514" s="75"/>
      <c r="MQ514" s="75"/>
      <c r="MR514" s="75"/>
      <c r="MS514" s="75"/>
      <c r="MT514" s="75"/>
      <c r="MU514" s="75"/>
      <c r="MV514" s="75"/>
      <c r="MW514" s="75"/>
      <c r="MX514" s="75"/>
      <c r="MY514" s="75"/>
      <c r="MZ514" s="75"/>
      <c r="NA514" s="75"/>
      <c r="NB514" s="75"/>
      <c r="NC514" s="75"/>
      <c r="ND514" s="75"/>
      <c r="NE514" s="75"/>
      <c r="NF514" s="75"/>
      <c r="NG514" s="75"/>
      <c r="NH514" s="75"/>
      <c r="NI514" s="75"/>
      <c r="NJ514" s="75"/>
      <c r="NK514" s="75"/>
      <c r="NL514" s="75"/>
      <c r="NM514" s="75"/>
      <c r="NN514" s="75"/>
      <c r="NO514" s="75"/>
      <c r="NP514" s="75"/>
      <c r="NQ514" s="75"/>
      <c r="NR514" s="75"/>
      <c r="NS514" s="75"/>
      <c r="NT514" s="75"/>
      <c r="NU514" s="75"/>
      <c r="NV514" s="75"/>
      <c r="NW514" s="75"/>
      <c r="NX514" s="75"/>
      <c r="NY514" s="75"/>
      <c r="NZ514" s="75"/>
      <c r="OA514" s="75"/>
      <c r="OB514" s="75"/>
      <c r="OC514" s="75"/>
      <c r="OD514" s="75"/>
      <c r="OE514" s="75"/>
      <c r="OF514" s="75"/>
      <c r="OG514" s="75"/>
      <c r="OH514" s="75"/>
      <c r="OI514" s="75"/>
      <c r="OJ514" s="75"/>
      <c r="OK514" s="75"/>
      <c r="OL514" s="75"/>
      <c r="OM514" s="75"/>
      <c r="ON514" s="75"/>
      <c r="OO514" s="75"/>
      <c r="OP514" s="75"/>
      <c r="OQ514" s="75"/>
      <c r="OR514" s="75"/>
      <c r="OS514" s="75"/>
      <c r="OT514" s="75"/>
      <c r="OU514" s="75"/>
      <c r="OV514" s="75"/>
      <c r="OW514" s="75"/>
      <c r="OX514" s="75"/>
      <c r="OY514" s="75"/>
      <c r="OZ514" s="75"/>
      <c r="PA514" s="75"/>
      <c r="PB514" s="75"/>
      <c r="PC514" s="75"/>
      <c r="PD514" s="75"/>
      <c r="PE514" s="75"/>
      <c r="PF514" s="75"/>
      <c r="PG514" s="75"/>
      <c r="PH514" s="75"/>
      <c r="PI514" s="75"/>
      <c r="PJ514" s="75"/>
      <c r="PK514" s="75"/>
      <c r="PL514" s="75"/>
      <c r="PM514" s="75"/>
      <c r="PN514" s="75"/>
      <c r="PO514" s="75"/>
      <c r="PP514" s="75"/>
      <c r="PQ514" s="75"/>
      <c r="PR514" s="75"/>
      <c r="PS514" s="75"/>
      <c r="PT514" s="75"/>
      <c r="PU514" s="75"/>
      <c r="PV514" s="75"/>
      <c r="PW514" s="75"/>
      <c r="PX514" s="75"/>
      <c r="PY514" s="75"/>
      <c r="PZ514" s="75"/>
      <c r="QA514" s="75"/>
      <c r="QB514" s="75"/>
      <c r="QC514" s="75"/>
      <c r="QD514" s="75"/>
      <c r="QE514" s="75"/>
      <c r="QF514" s="75"/>
      <c r="QG514" s="75"/>
      <c r="QH514" s="75"/>
      <c r="QI514" s="75"/>
      <c r="QJ514" s="75"/>
      <c r="QK514" s="75"/>
      <c r="QL514" s="75"/>
      <c r="QM514" s="75"/>
      <c r="QN514" s="75"/>
      <c r="QO514" s="75"/>
      <c r="QP514" s="75"/>
      <c r="QQ514" s="75"/>
      <c r="QR514" s="75"/>
      <c r="QS514" s="75"/>
      <c r="QT514" s="75"/>
      <c r="QU514" s="75"/>
      <c r="QV514" s="75"/>
      <c r="QW514" s="75"/>
      <c r="QX514" s="75"/>
      <c r="QY514" s="75"/>
      <c r="QZ514" s="75"/>
      <c r="RA514" s="75"/>
      <c r="RB514" s="75"/>
      <c r="RC514" s="75"/>
      <c r="RD514" s="75"/>
      <c r="RE514" s="75"/>
      <c r="RF514" s="75"/>
      <c r="RG514" s="75"/>
      <c r="RH514" s="75"/>
      <c r="RI514" s="75"/>
      <c r="RJ514" s="75"/>
      <c r="RK514" s="75"/>
      <c r="RL514" s="75"/>
      <c r="RM514" s="75"/>
      <c r="RN514" s="75"/>
      <c r="RO514" s="75"/>
      <c r="RP514" s="75"/>
      <c r="RQ514" s="75"/>
      <c r="RR514" s="75"/>
      <c r="RS514" s="75"/>
      <c r="RT514" s="75"/>
      <c r="RU514" s="75"/>
      <c r="RV514" s="75"/>
      <c r="RW514" s="75"/>
      <c r="RX514" s="75"/>
      <c r="RY514" s="75"/>
      <c r="RZ514" s="75"/>
      <c r="SA514" s="75"/>
      <c r="SB514" s="75"/>
      <c r="SC514" s="75"/>
      <c r="SD514" s="75"/>
      <c r="SE514" s="75"/>
      <c r="SF514" s="75"/>
      <c r="SG514" s="75"/>
      <c r="SH514" s="75"/>
      <c r="SI514" s="75"/>
      <c r="SJ514" s="75"/>
      <c r="SK514" s="75"/>
      <c r="SL514" s="75"/>
      <c r="SM514" s="75"/>
      <c r="SN514" s="75"/>
      <c r="SO514" s="75"/>
      <c r="SP514" s="75"/>
      <c r="SQ514" s="75"/>
      <c r="SR514" s="75"/>
      <c r="SS514" s="75"/>
      <c r="ST514" s="75"/>
      <c r="SU514" s="75"/>
      <c r="SV514" s="75"/>
      <c r="SW514" s="75"/>
      <c r="SX514" s="75"/>
      <c r="SY514" s="75"/>
      <c r="SZ514" s="75"/>
      <c r="TA514" s="75"/>
      <c r="TB514" s="75"/>
      <c r="TC514" s="75"/>
      <c r="TD514" s="75"/>
      <c r="TE514" s="75"/>
      <c r="TF514" s="75"/>
      <c r="TG514" s="75"/>
      <c r="TH514" s="75"/>
      <c r="TI514" s="75"/>
      <c r="TJ514" s="75"/>
      <c r="TK514" s="75"/>
      <c r="TL514" s="75"/>
      <c r="TM514" s="75"/>
      <c r="TN514" s="75"/>
      <c r="TO514" s="75"/>
      <c r="TP514" s="75"/>
      <c r="TQ514" s="75"/>
      <c r="TR514" s="75"/>
      <c r="TS514" s="75"/>
      <c r="TT514" s="75"/>
      <c r="TU514" s="75"/>
      <c r="TV514" s="75"/>
      <c r="TW514" s="75"/>
      <c r="TX514" s="75"/>
      <c r="TY514" s="75"/>
      <c r="TZ514" s="75"/>
      <c r="UA514" s="75"/>
      <c r="UB514" s="75"/>
      <c r="UC514" s="75"/>
      <c r="UD514" s="75"/>
      <c r="UE514" s="75"/>
      <c r="UF514" s="75"/>
      <c r="UG514" s="75"/>
      <c r="UH514" s="75"/>
      <c r="UI514" s="75"/>
      <c r="UJ514" s="75"/>
      <c r="UK514" s="75"/>
      <c r="UL514" s="75"/>
      <c r="UM514" s="75"/>
      <c r="UN514" s="75"/>
      <c r="UO514" s="75"/>
      <c r="UP514" s="75"/>
      <c r="UQ514" s="75"/>
      <c r="UR514" s="75"/>
      <c r="US514" s="75"/>
      <c r="UT514" s="75"/>
      <c r="UU514" s="75"/>
      <c r="UV514" s="75"/>
      <c r="UW514" s="75"/>
      <c r="UX514" s="75"/>
      <c r="UY514" s="75"/>
      <c r="UZ514" s="75"/>
      <c r="VA514" s="75"/>
      <c r="VB514" s="75"/>
      <c r="VC514" s="75"/>
      <c r="VD514" s="75"/>
      <c r="VE514" s="75"/>
      <c r="VF514" s="75"/>
      <c r="VG514" s="75"/>
      <c r="VH514" s="75"/>
      <c r="VI514" s="75"/>
      <c r="VJ514" s="75"/>
      <c r="VK514" s="75"/>
      <c r="VL514" s="75"/>
      <c r="VM514" s="75"/>
      <c r="VN514" s="75"/>
      <c r="VO514" s="75"/>
      <c r="VP514" s="75"/>
      <c r="VQ514" s="75"/>
      <c r="VR514" s="75"/>
      <c r="VS514" s="75"/>
      <c r="VT514" s="75"/>
      <c r="VU514" s="75"/>
      <c r="VV514" s="75"/>
      <c r="VW514" s="75"/>
      <c r="VX514" s="75"/>
      <c r="VY514" s="75"/>
      <c r="VZ514" s="75"/>
      <c r="WA514" s="75"/>
      <c r="WB514" s="75"/>
      <c r="WC514" s="75"/>
      <c r="WD514" s="75"/>
      <c r="WE514" s="75"/>
      <c r="WF514" s="75"/>
      <c r="WG514" s="75"/>
      <c r="WH514" s="75"/>
      <c r="WI514" s="75"/>
      <c r="WJ514" s="75"/>
      <c r="WK514" s="75"/>
      <c r="WL514" s="75"/>
      <c r="WM514" s="75"/>
      <c r="WN514" s="75"/>
      <c r="WO514" s="75"/>
      <c r="WP514" s="75"/>
      <c r="WQ514" s="75"/>
      <c r="WR514" s="75"/>
      <c r="WS514" s="75"/>
      <c r="WT514" s="75"/>
      <c r="WU514" s="75"/>
      <c r="WV514" s="75"/>
      <c r="WW514" s="75"/>
      <c r="WX514" s="75"/>
      <c r="WY514" s="75"/>
      <c r="WZ514" s="75"/>
      <c r="XA514" s="75"/>
      <c r="XB514" s="75"/>
      <c r="XC514" s="75"/>
      <c r="XD514" s="75"/>
      <c r="XE514" s="75"/>
      <c r="XF514" s="75"/>
      <c r="XG514" s="75"/>
      <c r="XH514" s="75"/>
      <c r="XI514" s="75"/>
      <c r="XJ514" s="75"/>
      <c r="XK514" s="75"/>
      <c r="XL514" s="75"/>
      <c r="XM514" s="75"/>
      <c r="XN514" s="75"/>
      <c r="XO514" s="75"/>
      <c r="XP514" s="75"/>
      <c r="XQ514" s="75"/>
      <c r="XR514" s="75"/>
      <c r="XS514" s="75"/>
      <c r="XT514" s="75"/>
      <c r="XU514" s="75"/>
      <c r="XV514" s="75"/>
      <c r="XW514" s="75"/>
      <c r="XX514" s="75"/>
      <c r="XY514" s="75"/>
      <c r="XZ514" s="75"/>
      <c r="YA514" s="75"/>
      <c r="YB514" s="75"/>
      <c r="YC514" s="75"/>
      <c r="YD514" s="75"/>
      <c r="YE514" s="75"/>
      <c r="YF514" s="75"/>
      <c r="YG514" s="75"/>
      <c r="YH514" s="75"/>
      <c r="YI514" s="75"/>
      <c r="YJ514" s="75"/>
      <c r="YK514" s="75"/>
      <c r="YL514" s="75"/>
      <c r="YM514" s="75"/>
      <c r="YN514" s="75"/>
      <c r="YO514" s="75"/>
      <c r="YP514" s="75"/>
      <c r="YQ514" s="75"/>
      <c r="YR514" s="75"/>
      <c r="YS514" s="75"/>
      <c r="YT514" s="75"/>
      <c r="YU514" s="75"/>
      <c r="YV514" s="75"/>
      <c r="YW514" s="75"/>
      <c r="YX514" s="75"/>
      <c r="YY514" s="75"/>
      <c r="YZ514" s="75"/>
      <c r="ZA514" s="75"/>
      <c r="ZB514" s="75"/>
      <c r="ZC514" s="75"/>
      <c r="ZD514" s="75"/>
      <c r="ZE514" s="75"/>
      <c r="ZF514" s="75"/>
      <c r="ZG514" s="75"/>
      <c r="ZH514" s="75"/>
      <c r="ZI514" s="75"/>
      <c r="ZJ514" s="75"/>
      <c r="ZK514" s="75"/>
      <c r="ZL514" s="75"/>
      <c r="ZM514" s="75"/>
      <c r="ZN514" s="75"/>
      <c r="ZO514" s="75"/>
      <c r="ZP514" s="75"/>
      <c r="ZQ514" s="75"/>
      <c r="ZR514" s="75"/>
      <c r="ZS514" s="75"/>
      <c r="ZT514" s="75"/>
      <c r="ZU514" s="75"/>
      <c r="ZV514" s="75"/>
      <c r="ZW514" s="75"/>
      <c r="ZX514" s="75"/>
      <c r="ZY514" s="75"/>
      <c r="ZZ514" s="75"/>
      <c r="AAA514" s="75"/>
      <c r="AAB514" s="75"/>
      <c r="AAC514" s="75"/>
      <c r="AAD514" s="75"/>
      <c r="AAE514" s="75"/>
      <c r="AAF514" s="75"/>
      <c r="AAG514" s="75"/>
      <c r="AAH514" s="75"/>
      <c r="AAI514" s="75"/>
      <c r="AAJ514" s="75"/>
      <c r="AAK514" s="75"/>
      <c r="AAL514" s="75"/>
      <c r="AAM514" s="75"/>
      <c r="AAN514" s="75"/>
      <c r="AAO514" s="75"/>
      <c r="AAP514" s="75"/>
      <c r="AAQ514" s="75"/>
      <c r="AAR514" s="75"/>
      <c r="AAS514" s="75"/>
      <c r="AAT514" s="75"/>
      <c r="AAU514" s="75"/>
      <c r="AAV514" s="75"/>
      <c r="AAW514" s="75"/>
      <c r="AAX514" s="75"/>
      <c r="AAY514" s="75"/>
      <c r="AAZ514" s="75"/>
      <c r="ABA514" s="75"/>
      <c r="ABB514" s="75"/>
      <c r="ABC514" s="75"/>
      <c r="ABD514" s="75"/>
      <c r="ABE514" s="75"/>
      <c r="ABF514" s="75"/>
      <c r="ABG514" s="75"/>
      <c r="ABH514" s="75"/>
      <c r="ABI514" s="75"/>
      <c r="ABJ514" s="75"/>
      <c r="ABK514" s="75"/>
      <c r="ABL514" s="75"/>
      <c r="ABM514" s="75"/>
      <c r="ABN514" s="75"/>
      <c r="ABO514" s="75"/>
      <c r="ABP514" s="75"/>
      <c r="ABQ514" s="75"/>
      <c r="ABR514" s="75"/>
      <c r="ABS514" s="75"/>
      <c r="ABT514" s="75"/>
      <c r="ABU514" s="75"/>
      <c r="ABV514" s="75"/>
      <c r="ABW514" s="75"/>
      <c r="ABX514" s="75"/>
      <c r="ABY514" s="75"/>
      <c r="ABZ514" s="75"/>
      <c r="ACA514" s="75"/>
      <c r="ACB514" s="75"/>
      <c r="ACC514" s="75"/>
      <c r="ACD514" s="75"/>
      <c r="ACE514" s="75"/>
      <c r="ACF514" s="75"/>
      <c r="ACG514" s="75"/>
      <c r="ACH514" s="75"/>
      <c r="ACI514" s="75"/>
      <c r="ACJ514" s="75"/>
      <c r="ACK514" s="75"/>
      <c r="ACL514" s="75"/>
      <c r="ACM514" s="75"/>
      <c r="ACN514" s="75"/>
      <c r="ACO514" s="75"/>
      <c r="ACP514" s="75"/>
      <c r="ACQ514" s="75"/>
      <c r="ACR514" s="75"/>
      <c r="ACS514" s="75"/>
      <c r="ACT514" s="75"/>
      <c r="ACU514" s="75"/>
      <c r="ACV514" s="75"/>
      <c r="ACW514" s="75"/>
      <c r="ACX514" s="75"/>
      <c r="ACY514" s="75"/>
      <c r="ACZ514" s="75"/>
      <c r="ADA514" s="75"/>
      <c r="ADB514" s="75"/>
      <c r="ADC514" s="75"/>
      <c r="ADD514" s="75"/>
      <c r="ADE514" s="75"/>
      <c r="ADF514" s="75"/>
      <c r="ADG514" s="75"/>
      <c r="ADH514" s="75"/>
      <c r="ADI514" s="75"/>
      <c r="ADJ514" s="75"/>
      <c r="ADK514" s="75"/>
      <c r="ADL514" s="75"/>
      <c r="ADM514" s="75"/>
      <c r="ADN514" s="75"/>
      <c r="ADO514" s="75"/>
      <c r="ADP514" s="75"/>
      <c r="ADQ514" s="75"/>
      <c r="ADR514" s="75"/>
      <c r="ADS514" s="75"/>
      <c r="ADT514" s="75"/>
      <c r="ADU514" s="75"/>
      <c r="ADV514" s="75"/>
      <c r="ADW514" s="75"/>
      <c r="ADX514" s="75"/>
      <c r="ADY514" s="75"/>
      <c r="ADZ514" s="75"/>
      <c r="AEA514" s="75"/>
      <c r="AEB514" s="75"/>
      <c r="AEC514" s="75"/>
      <c r="AED514" s="75"/>
      <c r="AEE514" s="75"/>
      <c r="AEF514" s="75"/>
      <c r="AEG514" s="75"/>
      <c r="AEH514" s="75"/>
      <c r="AEI514" s="75"/>
      <c r="AEJ514" s="75"/>
      <c r="AEK514" s="75"/>
      <c r="AEL514" s="75"/>
      <c r="AEM514" s="75"/>
      <c r="AEN514" s="75"/>
      <c r="AEO514" s="75"/>
      <c r="AEP514" s="75"/>
      <c r="AEQ514" s="75"/>
      <c r="AER514" s="75"/>
      <c r="AES514" s="75"/>
      <c r="AET514" s="75"/>
      <c r="AEU514" s="75"/>
      <c r="AEV514" s="75"/>
      <c r="AEW514" s="75"/>
      <c r="AEX514" s="75"/>
      <c r="AEY514" s="75"/>
      <c r="AEZ514" s="75"/>
      <c r="AFA514" s="75"/>
      <c r="AFB514" s="75"/>
      <c r="AFC514" s="75"/>
      <c r="AFD514" s="75"/>
      <c r="AFE514" s="75"/>
      <c r="AFF514" s="75"/>
      <c r="AFG514" s="75"/>
      <c r="AFH514" s="75"/>
      <c r="AFI514" s="75"/>
      <c r="AFJ514" s="75"/>
      <c r="AFK514" s="75"/>
      <c r="AFL514" s="75"/>
      <c r="AFM514" s="75"/>
      <c r="AFN514" s="75"/>
      <c r="AFO514" s="75"/>
      <c r="AFP514" s="75"/>
      <c r="AFQ514" s="75"/>
      <c r="AFR514" s="75"/>
      <c r="AFS514" s="75"/>
      <c r="AFT514" s="75"/>
      <c r="AFU514" s="75"/>
      <c r="AFV514" s="75"/>
      <c r="AFW514" s="75"/>
      <c r="AFX514" s="75"/>
      <c r="AFY514" s="75"/>
      <c r="AFZ514" s="75"/>
      <c r="AGA514" s="75"/>
      <c r="AGB514" s="75"/>
      <c r="AGC514" s="75"/>
      <c r="AGD514" s="75"/>
      <c r="AGE514" s="75"/>
      <c r="AGF514" s="75"/>
      <c r="AGG514" s="75"/>
      <c r="AGH514" s="75"/>
      <c r="AGI514" s="75"/>
      <c r="AGJ514" s="75"/>
      <c r="AGK514" s="75"/>
      <c r="AGL514" s="75"/>
      <c r="AGM514" s="75"/>
      <c r="AGN514" s="75"/>
      <c r="AGO514" s="75"/>
      <c r="AGP514" s="75"/>
      <c r="AGQ514" s="75"/>
      <c r="AGR514" s="75"/>
      <c r="AGS514" s="75"/>
      <c r="AGT514" s="75"/>
      <c r="AGU514" s="75"/>
      <c r="AGV514" s="75"/>
      <c r="AGW514" s="75"/>
      <c r="AGX514" s="75"/>
      <c r="AGY514" s="75"/>
      <c r="AGZ514" s="75"/>
      <c r="AHA514" s="75"/>
      <c r="AHB514" s="75"/>
      <c r="AHC514" s="75"/>
      <c r="AHD514" s="75"/>
      <c r="AHE514" s="75"/>
      <c r="AHF514" s="75"/>
      <c r="AHG514" s="75"/>
      <c r="AHH514" s="75"/>
      <c r="AHI514" s="75"/>
      <c r="AHJ514" s="75"/>
      <c r="AHK514" s="75"/>
      <c r="AHL514" s="75"/>
      <c r="AHM514" s="75"/>
      <c r="AHN514" s="75"/>
      <c r="AHO514" s="75"/>
      <c r="AHP514" s="75"/>
      <c r="AHQ514" s="75"/>
      <c r="AHR514" s="75"/>
      <c r="AHS514" s="75"/>
      <c r="AHT514" s="75"/>
      <c r="AHU514" s="75"/>
      <c r="AHV514" s="75"/>
      <c r="AHW514" s="75"/>
      <c r="AHX514" s="75"/>
      <c r="AHY514" s="75"/>
      <c r="AHZ514" s="75"/>
      <c r="AIA514" s="75"/>
      <c r="AIB514" s="75"/>
      <c r="AIC514" s="75"/>
      <c r="AID514" s="75"/>
      <c r="AIE514" s="75"/>
      <c r="AIF514" s="75"/>
      <c r="AIG514" s="75"/>
      <c r="AIH514" s="75"/>
      <c r="AII514" s="75"/>
      <c r="AIJ514" s="75"/>
      <c r="AIK514" s="75"/>
      <c r="AIL514" s="75"/>
      <c r="AIM514" s="75"/>
      <c r="AIN514" s="75"/>
      <c r="AIO514" s="75"/>
      <c r="AIP514" s="75"/>
      <c r="AIQ514" s="75"/>
      <c r="AIR514" s="75"/>
      <c r="AIS514" s="75"/>
      <c r="AIT514" s="75"/>
      <c r="AIU514" s="75"/>
      <c r="AIV514" s="75"/>
      <c r="AIW514" s="75"/>
      <c r="AIX514" s="75"/>
      <c r="AIY514" s="75"/>
      <c r="AIZ514" s="75"/>
      <c r="AJA514" s="75"/>
      <c r="AJB514" s="75"/>
      <c r="AJC514" s="75"/>
      <c r="AJD514" s="75"/>
      <c r="AJE514" s="75"/>
      <c r="AJF514" s="75"/>
      <c r="AJG514" s="75"/>
      <c r="AJH514" s="75"/>
      <c r="AJI514" s="75"/>
      <c r="AJJ514" s="75"/>
      <c r="AJK514" s="75"/>
      <c r="AJL514" s="75"/>
      <c r="AJM514" s="75"/>
      <c r="AJN514" s="75"/>
      <c r="AJO514" s="75"/>
      <c r="AJP514" s="75"/>
      <c r="AJQ514" s="75"/>
      <c r="AJR514" s="75"/>
      <c r="AJS514" s="75"/>
      <c r="AJT514" s="75"/>
      <c r="AJU514" s="75"/>
      <c r="AJV514" s="75"/>
      <c r="AJW514" s="75"/>
      <c r="AJX514" s="75"/>
      <c r="AJY514" s="75"/>
      <c r="AJZ514" s="75"/>
      <c r="AKA514" s="75"/>
      <c r="AKB514" s="75"/>
      <c r="AKC514" s="75"/>
      <c r="AKD514" s="75"/>
      <c r="AKE514" s="75"/>
      <c r="AKF514" s="75"/>
      <c r="AKG514" s="75"/>
      <c r="AKH514" s="75"/>
      <c r="AKI514" s="75"/>
      <c r="AKJ514" s="75"/>
      <c r="AKK514" s="75"/>
      <c r="AKL514" s="75"/>
      <c r="AKM514" s="75"/>
      <c r="AKN514" s="75"/>
      <c r="AKO514" s="75"/>
      <c r="AKP514" s="75"/>
      <c r="AKQ514" s="75"/>
      <c r="AKR514" s="75"/>
      <c r="AKS514" s="75"/>
      <c r="AKT514" s="75"/>
      <c r="AKU514" s="75"/>
      <c r="AKV514" s="75"/>
      <c r="AKW514" s="75"/>
      <c r="AKX514" s="75"/>
      <c r="AKY514" s="75"/>
      <c r="AKZ514" s="75"/>
      <c r="ALA514" s="75"/>
      <c r="ALB514" s="75"/>
      <c r="ALC514" s="75"/>
      <c r="ALD514" s="75"/>
      <c r="ALE514" s="75"/>
      <c r="ALF514" s="75"/>
      <c r="ALG514" s="75"/>
      <c r="ALH514" s="75"/>
      <c r="ALI514" s="75"/>
      <c r="ALJ514" s="75"/>
      <c r="ALK514" s="75"/>
      <c r="ALL514" s="75"/>
      <c r="ALM514" s="75"/>
      <c r="ALN514" s="75"/>
      <c r="ALO514" s="75"/>
    </row>
    <row r="515" spans="1:1003" s="234" customFormat="1" ht="14.55" customHeight="1" outlineLevel="1" x14ac:dyDescent="0.25">
      <c r="A515" s="230" t="s">
        <v>1422</v>
      </c>
      <c r="B515" s="343" t="str">
        <f>"13.1005"</f>
        <v>13.1005</v>
      </c>
      <c r="C515" s="75" t="s">
        <v>2214</v>
      </c>
      <c r="D515" s="127" t="s">
        <v>2215</v>
      </c>
      <c r="E515" s="232"/>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5"/>
      <c r="AS515" s="75"/>
      <c r="AT515" s="75"/>
      <c r="AU515" s="75"/>
      <c r="AV515" s="75"/>
      <c r="AW515" s="75"/>
      <c r="AX515" s="75"/>
      <c r="AY515" s="75"/>
      <c r="AZ515" s="75"/>
      <c r="BA515" s="75"/>
      <c r="BB515" s="75"/>
      <c r="BC515" s="75"/>
      <c r="BD515" s="75"/>
      <c r="BE515" s="75"/>
      <c r="BF515" s="75"/>
      <c r="BG515" s="75"/>
      <c r="BH515" s="75"/>
      <c r="BI515" s="75"/>
      <c r="BJ515" s="75"/>
      <c r="BK515" s="75"/>
      <c r="BL515" s="75"/>
      <c r="BM515" s="75"/>
      <c r="BN515" s="75"/>
      <c r="BO515" s="75"/>
      <c r="BP515" s="75"/>
      <c r="BQ515" s="75"/>
      <c r="BR515" s="75"/>
      <c r="BS515" s="75"/>
      <c r="BT515" s="75"/>
      <c r="BU515" s="75"/>
      <c r="BV515" s="75"/>
      <c r="BW515" s="75"/>
      <c r="BX515" s="75"/>
      <c r="BY515" s="75"/>
      <c r="BZ515" s="75"/>
      <c r="CA515" s="75"/>
      <c r="CB515" s="75"/>
      <c r="CC515" s="75"/>
      <c r="CD515" s="75"/>
      <c r="CE515" s="75"/>
      <c r="CF515" s="75"/>
      <c r="CG515" s="75"/>
      <c r="CH515" s="75"/>
      <c r="CI515" s="75"/>
      <c r="CJ515" s="75"/>
      <c r="CK515" s="75"/>
      <c r="CL515" s="75"/>
      <c r="CM515" s="75"/>
      <c r="CN515" s="75"/>
      <c r="CO515" s="75"/>
      <c r="CP515" s="75"/>
      <c r="CQ515" s="75"/>
      <c r="CR515" s="75"/>
      <c r="CS515" s="75"/>
      <c r="CT515" s="75"/>
      <c r="CU515" s="75"/>
      <c r="CV515" s="75"/>
      <c r="CW515" s="75"/>
      <c r="CX515" s="75"/>
      <c r="CY515" s="75"/>
      <c r="CZ515" s="75"/>
      <c r="DA515" s="75"/>
      <c r="DB515" s="75"/>
      <c r="DC515" s="75"/>
      <c r="DD515" s="75"/>
      <c r="DE515" s="75"/>
      <c r="DF515" s="75"/>
      <c r="DG515" s="75"/>
      <c r="DH515" s="75"/>
      <c r="DI515" s="75"/>
      <c r="DJ515" s="75"/>
      <c r="DK515" s="75"/>
      <c r="DL515" s="75"/>
      <c r="DM515" s="75"/>
      <c r="DN515" s="75"/>
      <c r="DO515" s="75"/>
      <c r="DP515" s="75"/>
      <c r="DQ515" s="75"/>
      <c r="DR515" s="75"/>
      <c r="DS515" s="75"/>
      <c r="DT515" s="75"/>
      <c r="DU515" s="75"/>
      <c r="DV515" s="75"/>
      <c r="DW515" s="75"/>
      <c r="DX515" s="75"/>
      <c r="DY515" s="75"/>
      <c r="DZ515" s="75"/>
      <c r="EA515" s="75"/>
      <c r="EB515" s="75"/>
      <c r="EC515" s="75"/>
      <c r="ED515" s="75"/>
      <c r="EE515" s="75"/>
      <c r="EF515" s="75"/>
      <c r="EG515" s="75"/>
      <c r="EH515" s="75"/>
      <c r="EI515" s="75"/>
      <c r="EJ515" s="75"/>
      <c r="EK515" s="75"/>
      <c r="EL515" s="75"/>
      <c r="EM515" s="75"/>
      <c r="EN515" s="75"/>
      <c r="EO515" s="75"/>
      <c r="EP515" s="75"/>
      <c r="EQ515" s="75"/>
      <c r="ER515" s="75"/>
      <c r="ES515" s="75"/>
      <c r="ET515" s="75"/>
      <c r="EU515" s="75"/>
      <c r="EV515" s="75"/>
      <c r="EW515" s="75"/>
      <c r="EX515" s="75"/>
      <c r="EY515" s="75"/>
      <c r="EZ515" s="75"/>
      <c r="FA515" s="75"/>
      <c r="FB515" s="75"/>
      <c r="FC515" s="75"/>
      <c r="FD515" s="75"/>
      <c r="FE515" s="75"/>
      <c r="FF515" s="75"/>
      <c r="FG515" s="75"/>
      <c r="FH515" s="75"/>
      <c r="FI515" s="75"/>
      <c r="FJ515" s="75"/>
      <c r="FK515" s="75"/>
      <c r="FL515" s="75"/>
      <c r="FM515" s="75"/>
      <c r="FN515" s="75"/>
      <c r="FO515" s="75"/>
      <c r="FP515" s="75"/>
      <c r="FQ515" s="75"/>
      <c r="FR515" s="75"/>
      <c r="FS515" s="75"/>
      <c r="FT515" s="75"/>
      <c r="FU515" s="75"/>
      <c r="FV515" s="75"/>
      <c r="FW515" s="75"/>
      <c r="FX515" s="75"/>
      <c r="FY515" s="75"/>
      <c r="FZ515" s="75"/>
      <c r="GA515" s="75"/>
      <c r="GB515" s="75"/>
      <c r="GC515" s="75"/>
      <c r="GD515" s="75"/>
      <c r="GE515" s="75"/>
      <c r="GF515" s="75"/>
      <c r="GG515" s="75"/>
      <c r="GH515" s="75"/>
      <c r="GI515" s="75"/>
      <c r="GJ515" s="75"/>
      <c r="GK515" s="75"/>
      <c r="GL515" s="75"/>
      <c r="GM515" s="75"/>
      <c r="GN515" s="75"/>
      <c r="GO515" s="75"/>
      <c r="GP515" s="75"/>
      <c r="GQ515" s="75"/>
      <c r="GR515" s="75"/>
      <c r="GS515" s="75"/>
      <c r="GT515" s="75"/>
      <c r="GU515" s="75"/>
      <c r="GV515" s="75"/>
      <c r="GW515" s="75"/>
      <c r="GX515" s="75"/>
      <c r="GY515" s="75"/>
      <c r="GZ515" s="75"/>
      <c r="HA515" s="75"/>
      <c r="HB515" s="75"/>
      <c r="HC515" s="75"/>
      <c r="HD515" s="75"/>
      <c r="HE515" s="75"/>
      <c r="HF515" s="75"/>
      <c r="HG515" s="75"/>
      <c r="HH515" s="75"/>
      <c r="HI515" s="75"/>
      <c r="HJ515" s="75"/>
      <c r="HK515" s="75"/>
      <c r="HL515" s="75"/>
      <c r="HM515" s="75"/>
      <c r="HN515" s="75"/>
      <c r="HO515" s="75"/>
      <c r="HP515" s="75"/>
      <c r="HQ515" s="75"/>
      <c r="HR515" s="75"/>
      <c r="HS515" s="75"/>
      <c r="HT515" s="75"/>
      <c r="HU515" s="75"/>
      <c r="HV515" s="75"/>
      <c r="HW515" s="75"/>
      <c r="HX515" s="75"/>
      <c r="HY515" s="75"/>
      <c r="HZ515" s="75"/>
      <c r="IA515" s="75"/>
      <c r="IB515" s="75"/>
      <c r="IC515" s="75"/>
      <c r="ID515" s="75"/>
      <c r="IE515" s="75"/>
      <c r="IF515" s="75"/>
      <c r="IG515" s="75"/>
      <c r="IH515" s="75"/>
      <c r="II515" s="75"/>
      <c r="IJ515" s="75"/>
      <c r="IK515" s="75"/>
      <c r="IL515" s="75"/>
      <c r="IM515" s="75"/>
      <c r="IN515" s="75"/>
      <c r="IO515" s="75"/>
      <c r="IP515" s="75"/>
      <c r="IQ515" s="75"/>
      <c r="IR515" s="75"/>
      <c r="IS515" s="75"/>
      <c r="IT515" s="75"/>
      <c r="IU515" s="75"/>
      <c r="IV515" s="75"/>
      <c r="IW515" s="75"/>
      <c r="IX515" s="75"/>
      <c r="IY515" s="75"/>
      <c r="IZ515" s="75"/>
      <c r="JA515" s="75"/>
      <c r="JB515" s="75"/>
      <c r="JC515" s="75"/>
      <c r="JD515" s="75"/>
      <c r="JE515" s="75"/>
      <c r="JF515" s="75"/>
      <c r="JG515" s="75"/>
      <c r="JH515" s="75"/>
      <c r="JI515" s="75"/>
      <c r="JJ515" s="75"/>
      <c r="JK515" s="75"/>
      <c r="JL515" s="75"/>
      <c r="JM515" s="75"/>
      <c r="JN515" s="75"/>
      <c r="JO515" s="75"/>
      <c r="JP515" s="75"/>
      <c r="JQ515" s="75"/>
      <c r="JR515" s="75"/>
      <c r="JS515" s="75"/>
      <c r="JT515" s="75"/>
      <c r="JU515" s="75"/>
      <c r="JV515" s="75"/>
      <c r="JW515" s="75"/>
      <c r="JX515" s="75"/>
      <c r="JY515" s="75"/>
      <c r="JZ515" s="75"/>
      <c r="KA515" s="75"/>
      <c r="KB515" s="75"/>
      <c r="KC515" s="75"/>
      <c r="KD515" s="75"/>
      <c r="KE515" s="75"/>
      <c r="KF515" s="75"/>
      <c r="KG515" s="75"/>
      <c r="KH515" s="75"/>
      <c r="KI515" s="75"/>
      <c r="KJ515" s="75"/>
      <c r="KK515" s="75"/>
      <c r="KL515" s="75"/>
      <c r="KM515" s="75"/>
      <c r="KN515" s="75"/>
      <c r="KO515" s="75"/>
      <c r="KP515" s="75"/>
      <c r="KQ515" s="75"/>
      <c r="KR515" s="75"/>
      <c r="KS515" s="75"/>
      <c r="KT515" s="75"/>
      <c r="KU515" s="75"/>
      <c r="KV515" s="75"/>
      <c r="KW515" s="75"/>
      <c r="KX515" s="75"/>
      <c r="KY515" s="75"/>
      <c r="KZ515" s="75"/>
      <c r="LA515" s="75"/>
      <c r="LB515" s="75"/>
      <c r="LC515" s="75"/>
      <c r="LD515" s="75"/>
      <c r="LE515" s="75"/>
      <c r="LF515" s="75"/>
      <c r="LG515" s="75"/>
      <c r="LH515" s="75"/>
      <c r="LI515" s="75"/>
      <c r="LJ515" s="75"/>
      <c r="LK515" s="75"/>
      <c r="LL515" s="75"/>
      <c r="LM515" s="75"/>
      <c r="LN515" s="75"/>
      <c r="LO515" s="75"/>
      <c r="LP515" s="75"/>
      <c r="LQ515" s="75"/>
      <c r="LR515" s="75"/>
      <c r="LS515" s="75"/>
      <c r="LT515" s="75"/>
      <c r="LU515" s="75"/>
      <c r="LV515" s="75"/>
      <c r="LW515" s="75"/>
      <c r="LX515" s="75"/>
      <c r="LY515" s="75"/>
      <c r="LZ515" s="75"/>
      <c r="MA515" s="75"/>
      <c r="MB515" s="75"/>
      <c r="MC515" s="75"/>
      <c r="MD515" s="75"/>
      <c r="ME515" s="75"/>
      <c r="MF515" s="75"/>
      <c r="MG515" s="75"/>
      <c r="MH515" s="75"/>
      <c r="MI515" s="75"/>
      <c r="MJ515" s="75"/>
      <c r="MK515" s="75"/>
      <c r="ML515" s="75"/>
      <c r="MM515" s="75"/>
      <c r="MN515" s="75"/>
      <c r="MO515" s="75"/>
      <c r="MP515" s="75"/>
      <c r="MQ515" s="75"/>
      <c r="MR515" s="75"/>
      <c r="MS515" s="75"/>
      <c r="MT515" s="75"/>
      <c r="MU515" s="75"/>
      <c r="MV515" s="75"/>
      <c r="MW515" s="75"/>
      <c r="MX515" s="75"/>
      <c r="MY515" s="75"/>
      <c r="MZ515" s="75"/>
      <c r="NA515" s="75"/>
      <c r="NB515" s="75"/>
      <c r="NC515" s="75"/>
      <c r="ND515" s="75"/>
      <c r="NE515" s="75"/>
      <c r="NF515" s="75"/>
      <c r="NG515" s="75"/>
      <c r="NH515" s="75"/>
      <c r="NI515" s="75"/>
      <c r="NJ515" s="75"/>
      <c r="NK515" s="75"/>
      <c r="NL515" s="75"/>
      <c r="NM515" s="75"/>
      <c r="NN515" s="75"/>
      <c r="NO515" s="75"/>
      <c r="NP515" s="75"/>
      <c r="NQ515" s="75"/>
      <c r="NR515" s="75"/>
      <c r="NS515" s="75"/>
      <c r="NT515" s="75"/>
      <c r="NU515" s="75"/>
      <c r="NV515" s="75"/>
      <c r="NW515" s="75"/>
      <c r="NX515" s="75"/>
      <c r="NY515" s="75"/>
      <c r="NZ515" s="75"/>
      <c r="OA515" s="75"/>
      <c r="OB515" s="75"/>
      <c r="OC515" s="75"/>
      <c r="OD515" s="75"/>
      <c r="OE515" s="75"/>
      <c r="OF515" s="75"/>
      <c r="OG515" s="75"/>
      <c r="OH515" s="75"/>
      <c r="OI515" s="75"/>
      <c r="OJ515" s="75"/>
      <c r="OK515" s="75"/>
      <c r="OL515" s="75"/>
      <c r="OM515" s="75"/>
      <c r="ON515" s="75"/>
      <c r="OO515" s="75"/>
      <c r="OP515" s="75"/>
      <c r="OQ515" s="75"/>
      <c r="OR515" s="75"/>
      <c r="OS515" s="75"/>
      <c r="OT515" s="75"/>
      <c r="OU515" s="75"/>
      <c r="OV515" s="75"/>
      <c r="OW515" s="75"/>
      <c r="OX515" s="75"/>
      <c r="OY515" s="75"/>
      <c r="OZ515" s="75"/>
      <c r="PA515" s="75"/>
      <c r="PB515" s="75"/>
      <c r="PC515" s="75"/>
      <c r="PD515" s="75"/>
      <c r="PE515" s="75"/>
      <c r="PF515" s="75"/>
      <c r="PG515" s="75"/>
      <c r="PH515" s="75"/>
      <c r="PI515" s="75"/>
      <c r="PJ515" s="75"/>
      <c r="PK515" s="75"/>
      <c r="PL515" s="75"/>
      <c r="PM515" s="75"/>
      <c r="PN515" s="75"/>
      <c r="PO515" s="75"/>
      <c r="PP515" s="75"/>
      <c r="PQ515" s="75"/>
      <c r="PR515" s="75"/>
      <c r="PS515" s="75"/>
      <c r="PT515" s="75"/>
      <c r="PU515" s="75"/>
      <c r="PV515" s="75"/>
      <c r="PW515" s="75"/>
      <c r="PX515" s="75"/>
      <c r="PY515" s="75"/>
      <c r="PZ515" s="75"/>
      <c r="QA515" s="75"/>
      <c r="QB515" s="75"/>
      <c r="QC515" s="75"/>
      <c r="QD515" s="75"/>
      <c r="QE515" s="75"/>
      <c r="QF515" s="75"/>
      <c r="QG515" s="75"/>
      <c r="QH515" s="75"/>
      <c r="QI515" s="75"/>
      <c r="QJ515" s="75"/>
      <c r="QK515" s="75"/>
      <c r="QL515" s="75"/>
      <c r="QM515" s="75"/>
      <c r="QN515" s="75"/>
      <c r="QO515" s="75"/>
      <c r="QP515" s="75"/>
      <c r="QQ515" s="75"/>
      <c r="QR515" s="75"/>
      <c r="QS515" s="75"/>
      <c r="QT515" s="75"/>
      <c r="QU515" s="75"/>
      <c r="QV515" s="75"/>
      <c r="QW515" s="75"/>
      <c r="QX515" s="75"/>
      <c r="QY515" s="75"/>
      <c r="QZ515" s="75"/>
      <c r="RA515" s="75"/>
      <c r="RB515" s="75"/>
      <c r="RC515" s="75"/>
      <c r="RD515" s="75"/>
      <c r="RE515" s="75"/>
      <c r="RF515" s="75"/>
      <c r="RG515" s="75"/>
      <c r="RH515" s="75"/>
      <c r="RI515" s="75"/>
      <c r="RJ515" s="75"/>
      <c r="RK515" s="75"/>
      <c r="RL515" s="75"/>
      <c r="RM515" s="75"/>
      <c r="RN515" s="75"/>
      <c r="RO515" s="75"/>
      <c r="RP515" s="75"/>
      <c r="RQ515" s="75"/>
      <c r="RR515" s="75"/>
      <c r="RS515" s="75"/>
      <c r="RT515" s="75"/>
      <c r="RU515" s="75"/>
      <c r="RV515" s="75"/>
      <c r="RW515" s="75"/>
      <c r="RX515" s="75"/>
      <c r="RY515" s="75"/>
      <c r="RZ515" s="75"/>
      <c r="SA515" s="75"/>
      <c r="SB515" s="75"/>
      <c r="SC515" s="75"/>
      <c r="SD515" s="75"/>
      <c r="SE515" s="75"/>
      <c r="SF515" s="75"/>
      <c r="SG515" s="75"/>
      <c r="SH515" s="75"/>
      <c r="SI515" s="75"/>
      <c r="SJ515" s="75"/>
      <c r="SK515" s="75"/>
      <c r="SL515" s="75"/>
      <c r="SM515" s="75"/>
      <c r="SN515" s="75"/>
      <c r="SO515" s="75"/>
      <c r="SP515" s="75"/>
      <c r="SQ515" s="75"/>
      <c r="SR515" s="75"/>
      <c r="SS515" s="75"/>
      <c r="ST515" s="75"/>
      <c r="SU515" s="75"/>
      <c r="SV515" s="75"/>
      <c r="SW515" s="75"/>
      <c r="SX515" s="75"/>
      <c r="SY515" s="75"/>
      <c r="SZ515" s="75"/>
      <c r="TA515" s="75"/>
      <c r="TB515" s="75"/>
      <c r="TC515" s="75"/>
      <c r="TD515" s="75"/>
      <c r="TE515" s="75"/>
      <c r="TF515" s="75"/>
      <c r="TG515" s="75"/>
      <c r="TH515" s="75"/>
      <c r="TI515" s="75"/>
      <c r="TJ515" s="75"/>
      <c r="TK515" s="75"/>
      <c r="TL515" s="75"/>
      <c r="TM515" s="75"/>
      <c r="TN515" s="75"/>
      <c r="TO515" s="75"/>
      <c r="TP515" s="75"/>
      <c r="TQ515" s="75"/>
      <c r="TR515" s="75"/>
      <c r="TS515" s="75"/>
      <c r="TT515" s="75"/>
      <c r="TU515" s="75"/>
      <c r="TV515" s="75"/>
      <c r="TW515" s="75"/>
      <c r="TX515" s="75"/>
      <c r="TY515" s="75"/>
      <c r="TZ515" s="75"/>
      <c r="UA515" s="75"/>
      <c r="UB515" s="75"/>
      <c r="UC515" s="75"/>
      <c r="UD515" s="75"/>
      <c r="UE515" s="75"/>
      <c r="UF515" s="75"/>
      <c r="UG515" s="75"/>
      <c r="UH515" s="75"/>
      <c r="UI515" s="75"/>
      <c r="UJ515" s="75"/>
      <c r="UK515" s="75"/>
      <c r="UL515" s="75"/>
      <c r="UM515" s="75"/>
      <c r="UN515" s="75"/>
      <c r="UO515" s="75"/>
      <c r="UP515" s="75"/>
      <c r="UQ515" s="75"/>
      <c r="UR515" s="75"/>
      <c r="US515" s="75"/>
      <c r="UT515" s="75"/>
      <c r="UU515" s="75"/>
      <c r="UV515" s="75"/>
      <c r="UW515" s="75"/>
      <c r="UX515" s="75"/>
      <c r="UY515" s="75"/>
      <c r="UZ515" s="75"/>
      <c r="VA515" s="75"/>
      <c r="VB515" s="75"/>
      <c r="VC515" s="75"/>
      <c r="VD515" s="75"/>
      <c r="VE515" s="75"/>
      <c r="VF515" s="75"/>
      <c r="VG515" s="75"/>
      <c r="VH515" s="75"/>
      <c r="VI515" s="75"/>
      <c r="VJ515" s="75"/>
      <c r="VK515" s="75"/>
      <c r="VL515" s="75"/>
      <c r="VM515" s="75"/>
      <c r="VN515" s="75"/>
      <c r="VO515" s="75"/>
      <c r="VP515" s="75"/>
      <c r="VQ515" s="75"/>
      <c r="VR515" s="75"/>
      <c r="VS515" s="75"/>
      <c r="VT515" s="75"/>
      <c r="VU515" s="75"/>
      <c r="VV515" s="75"/>
      <c r="VW515" s="75"/>
      <c r="VX515" s="75"/>
      <c r="VY515" s="75"/>
      <c r="VZ515" s="75"/>
      <c r="WA515" s="75"/>
      <c r="WB515" s="75"/>
      <c r="WC515" s="75"/>
      <c r="WD515" s="75"/>
      <c r="WE515" s="75"/>
      <c r="WF515" s="75"/>
      <c r="WG515" s="75"/>
      <c r="WH515" s="75"/>
      <c r="WI515" s="75"/>
      <c r="WJ515" s="75"/>
      <c r="WK515" s="75"/>
      <c r="WL515" s="75"/>
      <c r="WM515" s="75"/>
      <c r="WN515" s="75"/>
      <c r="WO515" s="75"/>
      <c r="WP515" s="75"/>
      <c r="WQ515" s="75"/>
      <c r="WR515" s="75"/>
      <c r="WS515" s="75"/>
      <c r="WT515" s="75"/>
      <c r="WU515" s="75"/>
      <c r="WV515" s="75"/>
      <c r="WW515" s="75"/>
      <c r="WX515" s="75"/>
      <c r="WY515" s="75"/>
      <c r="WZ515" s="75"/>
      <c r="XA515" s="75"/>
      <c r="XB515" s="75"/>
      <c r="XC515" s="75"/>
      <c r="XD515" s="75"/>
      <c r="XE515" s="75"/>
      <c r="XF515" s="75"/>
      <c r="XG515" s="75"/>
      <c r="XH515" s="75"/>
      <c r="XI515" s="75"/>
      <c r="XJ515" s="75"/>
      <c r="XK515" s="75"/>
      <c r="XL515" s="75"/>
      <c r="XM515" s="75"/>
      <c r="XN515" s="75"/>
      <c r="XO515" s="75"/>
      <c r="XP515" s="75"/>
      <c r="XQ515" s="75"/>
      <c r="XR515" s="75"/>
      <c r="XS515" s="75"/>
      <c r="XT515" s="75"/>
      <c r="XU515" s="75"/>
      <c r="XV515" s="75"/>
      <c r="XW515" s="75"/>
      <c r="XX515" s="75"/>
      <c r="XY515" s="75"/>
      <c r="XZ515" s="75"/>
      <c r="YA515" s="75"/>
      <c r="YB515" s="75"/>
      <c r="YC515" s="75"/>
      <c r="YD515" s="75"/>
      <c r="YE515" s="75"/>
      <c r="YF515" s="75"/>
      <c r="YG515" s="75"/>
      <c r="YH515" s="75"/>
      <c r="YI515" s="75"/>
      <c r="YJ515" s="75"/>
      <c r="YK515" s="75"/>
      <c r="YL515" s="75"/>
      <c r="YM515" s="75"/>
      <c r="YN515" s="75"/>
      <c r="YO515" s="75"/>
      <c r="YP515" s="75"/>
      <c r="YQ515" s="75"/>
      <c r="YR515" s="75"/>
      <c r="YS515" s="75"/>
      <c r="YT515" s="75"/>
      <c r="YU515" s="75"/>
      <c r="YV515" s="75"/>
      <c r="YW515" s="75"/>
      <c r="YX515" s="75"/>
      <c r="YY515" s="75"/>
      <c r="YZ515" s="75"/>
      <c r="ZA515" s="75"/>
      <c r="ZB515" s="75"/>
      <c r="ZC515" s="75"/>
      <c r="ZD515" s="75"/>
      <c r="ZE515" s="75"/>
      <c r="ZF515" s="75"/>
      <c r="ZG515" s="75"/>
      <c r="ZH515" s="75"/>
      <c r="ZI515" s="75"/>
      <c r="ZJ515" s="75"/>
      <c r="ZK515" s="75"/>
      <c r="ZL515" s="75"/>
      <c r="ZM515" s="75"/>
      <c r="ZN515" s="75"/>
      <c r="ZO515" s="75"/>
      <c r="ZP515" s="75"/>
      <c r="ZQ515" s="75"/>
      <c r="ZR515" s="75"/>
      <c r="ZS515" s="75"/>
      <c r="ZT515" s="75"/>
      <c r="ZU515" s="75"/>
      <c r="ZV515" s="75"/>
      <c r="ZW515" s="75"/>
      <c r="ZX515" s="75"/>
      <c r="ZY515" s="75"/>
      <c r="ZZ515" s="75"/>
      <c r="AAA515" s="75"/>
      <c r="AAB515" s="75"/>
      <c r="AAC515" s="75"/>
      <c r="AAD515" s="75"/>
      <c r="AAE515" s="75"/>
      <c r="AAF515" s="75"/>
      <c r="AAG515" s="75"/>
      <c r="AAH515" s="75"/>
      <c r="AAI515" s="75"/>
      <c r="AAJ515" s="75"/>
      <c r="AAK515" s="75"/>
      <c r="AAL515" s="75"/>
      <c r="AAM515" s="75"/>
      <c r="AAN515" s="75"/>
      <c r="AAO515" s="75"/>
      <c r="AAP515" s="75"/>
      <c r="AAQ515" s="75"/>
      <c r="AAR515" s="75"/>
      <c r="AAS515" s="75"/>
      <c r="AAT515" s="75"/>
      <c r="AAU515" s="75"/>
      <c r="AAV515" s="75"/>
      <c r="AAW515" s="75"/>
      <c r="AAX515" s="75"/>
      <c r="AAY515" s="75"/>
      <c r="AAZ515" s="75"/>
      <c r="ABA515" s="75"/>
      <c r="ABB515" s="75"/>
      <c r="ABC515" s="75"/>
      <c r="ABD515" s="75"/>
      <c r="ABE515" s="75"/>
      <c r="ABF515" s="75"/>
      <c r="ABG515" s="75"/>
      <c r="ABH515" s="75"/>
      <c r="ABI515" s="75"/>
      <c r="ABJ515" s="75"/>
      <c r="ABK515" s="75"/>
      <c r="ABL515" s="75"/>
      <c r="ABM515" s="75"/>
      <c r="ABN515" s="75"/>
      <c r="ABO515" s="75"/>
      <c r="ABP515" s="75"/>
      <c r="ABQ515" s="75"/>
      <c r="ABR515" s="75"/>
      <c r="ABS515" s="75"/>
      <c r="ABT515" s="75"/>
      <c r="ABU515" s="75"/>
      <c r="ABV515" s="75"/>
      <c r="ABW515" s="75"/>
      <c r="ABX515" s="75"/>
      <c r="ABY515" s="75"/>
      <c r="ABZ515" s="75"/>
      <c r="ACA515" s="75"/>
      <c r="ACB515" s="75"/>
      <c r="ACC515" s="75"/>
      <c r="ACD515" s="75"/>
      <c r="ACE515" s="75"/>
      <c r="ACF515" s="75"/>
      <c r="ACG515" s="75"/>
      <c r="ACH515" s="75"/>
      <c r="ACI515" s="75"/>
      <c r="ACJ515" s="75"/>
      <c r="ACK515" s="75"/>
      <c r="ACL515" s="75"/>
      <c r="ACM515" s="75"/>
      <c r="ACN515" s="75"/>
      <c r="ACO515" s="75"/>
      <c r="ACP515" s="75"/>
      <c r="ACQ515" s="75"/>
      <c r="ACR515" s="75"/>
      <c r="ACS515" s="75"/>
      <c r="ACT515" s="75"/>
      <c r="ACU515" s="75"/>
      <c r="ACV515" s="75"/>
      <c r="ACW515" s="75"/>
      <c r="ACX515" s="75"/>
      <c r="ACY515" s="75"/>
      <c r="ACZ515" s="75"/>
      <c r="ADA515" s="75"/>
      <c r="ADB515" s="75"/>
      <c r="ADC515" s="75"/>
      <c r="ADD515" s="75"/>
      <c r="ADE515" s="75"/>
      <c r="ADF515" s="75"/>
      <c r="ADG515" s="75"/>
      <c r="ADH515" s="75"/>
      <c r="ADI515" s="75"/>
      <c r="ADJ515" s="75"/>
      <c r="ADK515" s="75"/>
      <c r="ADL515" s="75"/>
      <c r="ADM515" s="75"/>
      <c r="ADN515" s="75"/>
      <c r="ADO515" s="75"/>
      <c r="ADP515" s="75"/>
      <c r="ADQ515" s="75"/>
      <c r="ADR515" s="75"/>
      <c r="ADS515" s="75"/>
      <c r="ADT515" s="75"/>
      <c r="ADU515" s="75"/>
      <c r="ADV515" s="75"/>
      <c r="ADW515" s="75"/>
      <c r="ADX515" s="75"/>
      <c r="ADY515" s="75"/>
      <c r="ADZ515" s="75"/>
      <c r="AEA515" s="75"/>
      <c r="AEB515" s="75"/>
      <c r="AEC515" s="75"/>
      <c r="AED515" s="75"/>
      <c r="AEE515" s="75"/>
      <c r="AEF515" s="75"/>
      <c r="AEG515" s="75"/>
      <c r="AEH515" s="75"/>
      <c r="AEI515" s="75"/>
      <c r="AEJ515" s="75"/>
      <c r="AEK515" s="75"/>
      <c r="AEL515" s="75"/>
      <c r="AEM515" s="75"/>
      <c r="AEN515" s="75"/>
      <c r="AEO515" s="75"/>
      <c r="AEP515" s="75"/>
      <c r="AEQ515" s="75"/>
      <c r="AER515" s="75"/>
      <c r="AES515" s="75"/>
      <c r="AET515" s="75"/>
      <c r="AEU515" s="75"/>
      <c r="AEV515" s="75"/>
      <c r="AEW515" s="75"/>
      <c r="AEX515" s="75"/>
      <c r="AEY515" s="75"/>
      <c r="AEZ515" s="75"/>
      <c r="AFA515" s="75"/>
      <c r="AFB515" s="75"/>
      <c r="AFC515" s="75"/>
      <c r="AFD515" s="75"/>
      <c r="AFE515" s="75"/>
      <c r="AFF515" s="75"/>
      <c r="AFG515" s="75"/>
      <c r="AFH515" s="75"/>
      <c r="AFI515" s="75"/>
      <c r="AFJ515" s="75"/>
      <c r="AFK515" s="75"/>
      <c r="AFL515" s="75"/>
      <c r="AFM515" s="75"/>
      <c r="AFN515" s="75"/>
      <c r="AFO515" s="75"/>
      <c r="AFP515" s="75"/>
      <c r="AFQ515" s="75"/>
      <c r="AFR515" s="75"/>
      <c r="AFS515" s="75"/>
      <c r="AFT515" s="75"/>
      <c r="AFU515" s="75"/>
      <c r="AFV515" s="75"/>
      <c r="AFW515" s="75"/>
      <c r="AFX515" s="75"/>
      <c r="AFY515" s="75"/>
      <c r="AFZ515" s="75"/>
      <c r="AGA515" s="75"/>
      <c r="AGB515" s="75"/>
      <c r="AGC515" s="75"/>
      <c r="AGD515" s="75"/>
      <c r="AGE515" s="75"/>
      <c r="AGF515" s="75"/>
      <c r="AGG515" s="75"/>
      <c r="AGH515" s="75"/>
      <c r="AGI515" s="75"/>
      <c r="AGJ515" s="75"/>
      <c r="AGK515" s="75"/>
      <c r="AGL515" s="75"/>
      <c r="AGM515" s="75"/>
      <c r="AGN515" s="75"/>
      <c r="AGO515" s="75"/>
      <c r="AGP515" s="75"/>
      <c r="AGQ515" s="75"/>
      <c r="AGR515" s="75"/>
      <c r="AGS515" s="75"/>
      <c r="AGT515" s="75"/>
      <c r="AGU515" s="75"/>
      <c r="AGV515" s="75"/>
      <c r="AGW515" s="75"/>
      <c r="AGX515" s="75"/>
      <c r="AGY515" s="75"/>
      <c r="AGZ515" s="75"/>
      <c r="AHA515" s="75"/>
      <c r="AHB515" s="75"/>
      <c r="AHC515" s="75"/>
      <c r="AHD515" s="75"/>
      <c r="AHE515" s="75"/>
      <c r="AHF515" s="75"/>
      <c r="AHG515" s="75"/>
      <c r="AHH515" s="75"/>
      <c r="AHI515" s="75"/>
      <c r="AHJ515" s="75"/>
      <c r="AHK515" s="75"/>
      <c r="AHL515" s="75"/>
      <c r="AHM515" s="75"/>
      <c r="AHN515" s="75"/>
      <c r="AHO515" s="75"/>
      <c r="AHP515" s="75"/>
      <c r="AHQ515" s="75"/>
      <c r="AHR515" s="75"/>
      <c r="AHS515" s="75"/>
      <c r="AHT515" s="75"/>
      <c r="AHU515" s="75"/>
      <c r="AHV515" s="75"/>
      <c r="AHW515" s="75"/>
      <c r="AHX515" s="75"/>
      <c r="AHY515" s="75"/>
      <c r="AHZ515" s="75"/>
      <c r="AIA515" s="75"/>
      <c r="AIB515" s="75"/>
      <c r="AIC515" s="75"/>
      <c r="AID515" s="75"/>
      <c r="AIE515" s="75"/>
      <c r="AIF515" s="75"/>
      <c r="AIG515" s="75"/>
      <c r="AIH515" s="75"/>
      <c r="AII515" s="75"/>
      <c r="AIJ515" s="75"/>
      <c r="AIK515" s="75"/>
      <c r="AIL515" s="75"/>
      <c r="AIM515" s="75"/>
      <c r="AIN515" s="75"/>
      <c r="AIO515" s="75"/>
      <c r="AIP515" s="75"/>
      <c r="AIQ515" s="75"/>
      <c r="AIR515" s="75"/>
      <c r="AIS515" s="75"/>
      <c r="AIT515" s="75"/>
      <c r="AIU515" s="75"/>
      <c r="AIV515" s="75"/>
      <c r="AIW515" s="75"/>
      <c r="AIX515" s="75"/>
      <c r="AIY515" s="75"/>
      <c r="AIZ515" s="75"/>
      <c r="AJA515" s="75"/>
      <c r="AJB515" s="75"/>
      <c r="AJC515" s="75"/>
      <c r="AJD515" s="75"/>
      <c r="AJE515" s="75"/>
      <c r="AJF515" s="75"/>
      <c r="AJG515" s="75"/>
      <c r="AJH515" s="75"/>
      <c r="AJI515" s="75"/>
      <c r="AJJ515" s="75"/>
      <c r="AJK515" s="75"/>
      <c r="AJL515" s="75"/>
      <c r="AJM515" s="75"/>
      <c r="AJN515" s="75"/>
      <c r="AJO515" s="75"/>
      <c r="AJP515" s="75"/>
      <c r="AJQ515" s="75"/>
      <c r="AJR515" s="75"/>
      <c r="AJS515" s="75"/>
      <c r="AJT515" s="75"/>
      <c r="AJU515" s="75"/>
      <c r="AJV515" s="75"/>
      <c r="AJW515" s="75"/>
      <c r="AJX515" s="75"/>
      <c r="AJY515" s="75"/>
      <c r="AJZ515" s="75"/>
      <c r="AKA515" s="75"/>
      <c r="AKB515" s="75"/>
      <c r="AKC515" s="75"/>
      <c r="AKD515" s="75"/>
      <c r="AKE515" s="75"/>
      <c r="AKF515" s="75"/>
      <c r="AKG515" s="75"/>
      <c r="AKH515" s="75"/>
      <c r="AKI515" s="75"/>
      <c r="AKJ515" s="75"/>
      <c r="AKK515" s="75"/>
      <c r="AKL515" s="75"/>
      <c r="AKM515" s="75"/>
      <c r="AKN515" s="75"/>
      <c r="AKO515" s="75"/>
      <c r="AKP515" s="75"/>
      <c r="AKQ515" s="75"/>
      <c r="AKR515" s="75"/>
      <c r="AKS515" s="75"/>
      <c r="AKT515" s="75"/>
      <c r="AKU515" s="75"/>
      <c r="AKV515" s="75"/>
      <c r="AKW515" s="75"/>
      <c r="AKX515" s="75"/>
      <c r="AKY515" s="75"/>
      <c r="AKZ515" s="75"/>
      <c r="ALA515" s="75"/>
      <c r="ALB515" s="75"/>
      <c r="ALC515" s="75"/>
      <c r="ALD515" s="75"/>
      <c r="ALE515" s="75"/>
      <c r="ALF515" s="75"/>
      <c r="ALG515" s="75"/>
      <c r="ALH515" s="75"/>
      <c r="ALI515" s="75"/>
      <c r="ALJ515" s="75"/>
      <c r="ALK515" s="75"/>
      <c r="ALL515" s="75"/>
      <c r="ALM515" s="75"/>
      <c r="ALN515" s="75"/>
      <c r="ALO515" s="75"/>
    </row>
    <row r="516" spans="1:1003" s="234" customFormat="1" ht="14.55" customHeight="1" outlineLevel="1" x14ac:dyDescent="0.25">
      <c r="A516" s="230" t="s">
        <v>1422</v>
      </c>
      <c r="B516" s="343" t="str">
        <f>"13.1006"</f>
        <v>13.1006</v>
      </c>
      <c r="C516" s="75" t="s">
        <v>2216</v>
      </c>
      <c r="D516" s="127" t="s">
        <v>2217</v>
      </c>
      <c r="E516" s="232"/>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5"/>
      <c r="AS516" s="75"/>
      <c r="AT516" s="75"/>
      <c r="AU516" s="75"/>
      <c r="AV516" s="75"/>
      <c r="AW516" s="75"/>
      <c r="AX516" s="75"/>
      <c r="AY516" s="75"/>
      <c r="AZ516" s="75"/>
      <c r="BA516" s="75"/>
      <c r="BB516" s="75"/>
      <c r="BC516" s="75"/>
      <c r="BD516" s="75"/>
      <c r="BE516" s="75"/>
      <c r="BF516" s="75"/>
      <c r="BG516" s="75"/>
      <c r="BH516" s="75"/>
      <c r="BI516" s="75"/>
      <c r="BJ516" s="75"/>
      <c r="BK516" s="75"/>
      <c r="BL516" s="75"/>
      <c r="BM516" s="75"/>
      <c r="BN516" s="75"/>
      <c r="BO516" s="75"/>
      <c r="BP516" s="75"/>
      <c r="BQ516" s="75"/>
      <c r="BR516" s="75"/>
      <c r="BS516" s="75"/>
      <c r="BT516" s="75"/>
      <c r="BU516" s="75"/>
      <c r="BV516" s="75"/>
      <c r="BW516" s="75"/>
      <c r="BX516" s="75"/>
      <c r="BY516" s="75"/>
      <c r="BZ516" s="75"/>
      <c r="CA516" s="75"/>
      <c r="CB516" s="75"/>
      <c r="CC516" s="75"/>
      <c r="CD516" s="75"/>
      <c r="CE516" s="75"/>
      <c r="CF516" s="75"/>
      <c r="CG516" s="75"/>
      <c r="CH516" s="75"/>
      <c r="CI516" s="75"/>
      <c r="CJ516" s="75"/>
      <c r="CK516" s="75"/>
      <c r="CL516" s="75"/>
      <c r="CM516" s="75"/>
      <c r="CN516" s="75"/>
      <c r="CO516" s="75"/>
      <c r="CP516" s="75"/>
      <c r="CQ516" s="75"/>
      <c r="CR516" s="75"/>
      <c r="CS516" s="75"/>
      <c r="CT516" s="75"/>
      <c r="CU516" s="75"/>
      <c r="CV516" s="75"/>
      <c r="CW516" s="75"/>
      <c r="CX516" s="75"/>
      <c r="CY516" s="75"/>
      <c r="CZ516" s="75"/>
      <c r="DA516" s="75"/>
      <c r="DB516" s="75"/>
      <c r="DC516" s="75"/>
      <c r="DD516" s="75"/>
      <c r="DE516" s="75"/>
      <c r="DF516" s="75"/>
      <c r="DG516" s="75"/>
      <c r="DH516" s="75"/>
      <c r="DI516" s="75"/>
      <c r="DJ516" s="75"/>
      <c r="DK516" s="75"/>
      <c r="DL516" s="75"/>
      <c r="DM516" s="75"/>
      <c r="DN516" s="75"/>
      <c r="DO516" s="75"/>
      <c r="DP516" s="75"/>
      <c r="DQ516" s="75"/>
      <c r="DR516" s="75"/>
      <c r="DS516" s="75"/>
      <c r="DT516" s="75"/>
      <c r="DU516" s="75"/>
      <c r="DV516" s="75"/>
      <c r="DW516" s="75"/>
      <c r="DX516" s="75"/>
      <c r="DY516" s="75"/>
      <c r="DZ516" s="75"/>
      <c r="EA516" s="75"/>
      <c r="EB516" s="75"/>
      <c r="EC516" s="75"/>
      <c r="ED516" s="75"/>
      <c r="EE516" s="75"/>
      <c r="EF516" s="75"/>
      <c r="EG516" s="75"/>
      <c r="EH516" s="75"/>
      <c r="EI516" s="75"/>
      <c r="EJ516" s="75"/>
      <c r="EK516" s="75"/>
      <c r="EL516" s="75"/>
      <c r="EM516" s="75"/>
      <c r="EN516" s="75"/>
      <c r="EO516" s="75"/>
      <c r="EP516" s="75"/>
      <c r="EQ516" s="75"/>
      <c r="ER516" s="75"/>
      <c r="ES516" s="75"/>
      <c r="ET516" s="75"/>
      <c r="EU516" s="75"/>
      <c r="EV516" s="75"/>
      <c r="EW516" s="75"/>
      <c r="EX516" s="75"/>
      <c r="EY516" s="75"/>
      <c r="EZ516" s="75"/>
      <c r="FA516" s="75"/>
      <c r="FB516" s="75"/>
      <c r="FC516" s="75"/>
      <c r="FD516" s="75"/>
      <c r="FE516" s="75"/>
      <c r="FF516" s="75"/>
      <c r="FG516" s="75"/>
      <c r="FH516" s="75"/>
      <c r="FI516" s="75"/>
      <c r="FJ516" s="75"/>
      <c r="FK516" s="75"/>
      <c r="FL516" s="75"/>
      <c r="FM516" s="75"/>
      <c r="FN516" s="75"/>
      <c r="FO516" s="75"/>
      <c r="FP516" s="75"/>
      <c r="FQ516" s="75"/>
      <c r="FR516" s="75"/>
      <c r="FS516" s="75"/>
      <c r="FT516" s="75"/>
      <c r="FU516" s="75"/>
      <c r="FV516" s="75"/>
      <c r="FW516" s="75"/>
      <c r="FX516" s="75"/>
      <c r="FY516" s="75"/>
      <c r="FZ516" s="75"/>
      <c r="GA516" s="75"/>
      <c r="GB516" s="75"/>
      <c r="GC516" s="75"/>
      <c r="GD516" s="75"/>
      <c r="GE516" s="75"/>
      <c r="GF516" s="75"/>
      <c r="GG516" s="75"/>
      <c r="GH516" s="75"/>
      <c r="GI516" s="75"/>
      <c r="GJ516" s="75"/>
      <c r="GK516" s="75"/>
      <c r="GL516" s="75"/>
      <c r="GM516" s="75"/>
      <c r="GN516" s="75"/>
      <c r="GO516" s="75"/>
      <c r="GP516" s="75"/>
      <c r="GQ516" s="75"/>
      <c r="GR516" s="75"/>
      <c r="GS516" s="75"/>
      <c r="GT516" s="75"/>
      <c r="GU516" s="75"/>
      <c r="GV516" s="75"/>
      <c r="GW516" s="75"/>
      <c r="GX516" s="75"/>
      <c r="GY516" s="75"/>
      <c r="GZ516" s="75"/>
      <c r="HA516" s="75"/>
      <c r="HB516" s="75"/>
      <c r="HC516" s="75"/>
      <c r="HD516" s="75"/>
      <c r="HE516" s="75"/>
      <c r="HF516" s="75"/>
      <c r="HG516" s="75"/>
      <c r="HH516" s="75"/>
      <c r="HI516" s="75"/>
      <c r="HJ516" s="75"/>
      <c r="HK516" s="75"/>
      <c r="HL516" s="75"/>
      <c r="HM516" s="75"/>
      <c r="HN516" s="75"/>
      <c r="HO516" s="75"/>
      <c r="HP516" s="75"/>
      <c r="HQ516" s="75"/>
      <c r="HR516" s="75"/>
      <c r="HS516" s="75"/>
      <c r="HT516" s="75"/>
      <c r="HU516" s="75"/>
      <c r="HV516" s="75"/>
      <c r="HW516" s="75"/>
      <c r="HX516" s="75"/>
      <c r="HY516" s="75"/>
      <c r="HZ516" s="75"/>
      <c r="IA516" s="75"/>
      <c r="IB516" s="75"/>
      <c r="IC516" s="75"/>
      <c r="ID516" s="75"/>
      <c r="IE516" s="75"/>
      <c r="IF516" s="75"/>
      <c r="IG516" s="75"/>
      <c r="IH516" s="75"/>
      <c r="II516" s="75"/>
      <c r="IJ516" s="75"/>
      <c r="IK516" s="75"/>
      <c r="IL516" s="75"/>
      <c r="IM516" s="75"/>
      <c r="IN516" s="75"/>
      <c r="IO516" s="75"/>
      <c r="IP516" s="75"/>
      <c r="IQ516" s="75"/>
      <c r="IR516" s="75"/>
      <c r="IS516" s="75"/>
      <c r="IT516" s="75"/>
      <c r="IU516" s="75"/>
      <c r="IV516" s="75"/>
      <c r="IW516" s="75"/>
      <c r="IX516" s="75"/>
      <c r="IY516" s="75"/>
      <c r="IZ516" s="75"/>
      <c r="JA516" s="75"/>
      <c r="JB516" s="75"/>
      <c r="JC516" s="75"/>
      <c r="JD516" s="75"/>
      <c r="JE516" s="75"/>
      <c r="JF516" s="75"/>
      <c r="JG516" s="75"/>
      <c r="JH516" s="75"/>
      <c r="JI516" s="75"/>
      <c r="JJ516" s="75"/>
      <c r="JK516" s="75"/>
      <c r="JL516" s="75"/>
      <c r="JM516" s="75"/>
      <c r="JN516" s="75"/>
      <c r="JO516" s="75"/>
      <c r="JP516" s="75"/>
      <c r="JQ516" s="75"/>
      <c r="JR516" s="75"/>
      <c r="JS516" s="75"/>
      <c r="JT516" s="75"/>
      <c r="JU516" s="75"/>
      <c r="JV516" s="75"/>
      <c r="JW516" s="75"/>
      <c r="JX516" s="75"/>
      <c r="JY516" s="75"/>
      <c r="JZ516" s="75"/>
      <c r="KA516" s="75"/>
      <c r="KB516" s="75"/>
      <c r="KC516" s="75"/>
      <c r="KD516" s="75"/>
      <c r="KE516" s="75"/>
      <c r="KF516" s="75"/>
      <c r="KG516" s="75"/>
      <c r="KH516" s="75"/>
      <c r="KI516" s="75"/>
      <c r="KJ516" s="75"/>
      <c r="KK516" s="75"/>
      <c r="KL516" s="75"/>
      <c r="KM516" s="75"/>
      <c r="KN516" s="75"/>
      <c r="KO516" s="75"/>
      <c r="KP516" s="75"/>
      <c r="KQ516" s="75"/>
      <c r="KR516" s="75"/>
      <c r="KS516" s="75"/>
      <c r="KT516" s="75"/>
      <c r="KU516" s="75"/>
      <c r="KV516" s="75"/>
      <c r="KW516" s="75"/>
      <c r="KX516" s="75"/>
      <c r="KY516" s="75"/>
      <c r="KZ516" s="75"/>
      <c r="LA516" s="75"/>
      <c r="LB516" s="75"/>
      <c r="LC516" s="75"/>
      <c r="LD516" s="75"/>
      <c r="LE516" s="75"/>
      <c r="LF516" s="75"/>
      <c r="LG516" s="75"/>
      <c r="LH516" s="75"/>
      <c r="LI516" s="75"/>
      <c r="LJ516" s="75"/>
      <c r="LK516" s="75"/>
      <c r="LL516" s="75"/>
      <c r="LM516" s="75"/>
      <c r="LN516" s="75"/>
      <c r="LO516" s="75"/>
      <c r="LP516" s="75"/>
      <c r="LQ516" s="75"/>
      <c r="LR516" s="75"/>
      <c r="LS516" s="75"/>
      <c r="LT516" s="75"/>
      <c r="LU516" s="75"/>
      <c r="LV516" s="75"/>
      <c r="LW516" s="75"/>
      <c r="LX516" s="75"/>
      <c r="LY516" s="75"/>
      <c r="LZ516" s="75"/>
      <c r="MA516" s="75"/>
      <c r="MB516" s="75"/>
      <c r="MC516" s="75"/>
      <c r="MD516" s="75"/>
      <c r="ME516" s="75"/>
      <c r="MF516" s="75"/>
      <c r="MG516" s="75"/>
      <c r="MH516" s="75"/>
      <c r="MI516" s="75"/>
      <c r="MJ516" s="75"/>
      <c r="MK516" s="75"/>
      <c r="ML516" s="75"/>
      <c r="MM516" s="75"/>
      <c r="MN516" s="75"/>
      <c r="MO516" s="75"/>
      <c r="MP516" s="75"/>
      <c r="MQ516" s="75"/>
      <c r="MR516" s="75"/>
      <c r="MS516" s="75"/>
      <c r="MT516" s="75"/>
      <c r="MU516" s="75"/>
      <c r="MV516" s="75"/>
      <c r="MW516" s="75"/>
      <c r="MX516" s="75"/>
      <c r="MY516" s="75"/>
      <c r="MZ516" s="75"/>
      <c r="NA516" s="75"/>
      <c r="NB516" s="75"/>
      <c r="NC516" s="75"/>
      <c r="ND516" s="75"/>
      <c r="NE516" s="75"/>
      <c r="NF516" s="75"/>
      <c r="NG516" s="75"/>
      <c r="NH516" s="75"/>
      <c r="NI516" s="75"/>
      <c r="NJ516" s="75"/>
      <c r="NK516" s="75"/>
      <c r="NL516" s="75"/>
      <c r="NM516" s="75"/>
      <c r="NN516" s="75"/>
      <c r="NO516" s="75"/>
      <c r="NP516" s="75"/>
      <c r="NQ516" s="75"/>
      <c r="NR516" s="75"/>
      <c r="NS516" s="75"/>
      <c r="NT516" s="75"/>
      <c r="NU516" s="75"/>
      <c r="NV516" s="75"/>
      <c r="NW516" s="75"/>
      <c r="NX516" s="75"/>
      <c r="NY516" s="75"/>
      <c r="NZ516" s="75"/>
      <c r="OA516" s="75"/>
      <c r="OB516" s="75"/>
      <c r="OC516" s="75"/>
      <c r="OD516" s="75"/>
      <c r="OE516" s="75"/>
      <c r="OF516" s="75"/>
      <c r="OG516" s="75"/>
      <c r="OH516" s="75"/>
      <c r="OI516" s="75"/>
      <c r="OJ516" s="75"/>
      <c r="OK516" s="75"/>
      <c r="OL516" s="75"/>
      <c r="OM516" s="75"/>
      <c r="ON516" s="75"/>
      <c r="OO516" s="75"/>
      <c r="OP516" s="75"/>
      <c r="OQ516" s="75"/>
      <c r="OR516" s="75"/>
      <c r="OS516" s="75"/>
      <c r="OT516" s="75"/>
      <c r="OU516" s="75"/>
      <c r="OV516" s="75"/>
      <c r="OW516" s="75"/>
      <c r="OX516" s="75"/>
      <c r="OY516" s="75"/>
      <c r="OZ516" s="75"/>
      <c r="PA516" s="75"/>
      <c r="PB516" s="75"/>
      <c r="PC516" s="75"/>
      <c r="PD516" s="75"/>
      <c r="PE516" s="75"/>
      <c r="PF516" s="75"/>
      <c r="PG516" s="75"/>
      <c r="PH516" s="75"/>
      <c r="PI516" s="75"/>
      <c r="PJ516" s="75"/>
      <c r="PK516" s="75"/>
      <c r="PL516" s="75"/>
      <c r="PM516" s="75"/>
      <c r="PN516" s="75"/>
      <c r="PO516" s="75"/>
      <c r="PP516" s="75"/>
      <c r="PQ516" s="75"/>
      <c r="PR516" s="75"/>
      <c r="PS516" s="75"/>
      <c r="PT516" s="75"/>
      <c r="PU516" s="75"/>
      <c r="PV516" s="75"/>
      <c r="PW516" s="75"/>
      <c r="PX516" s="75"/>
      <c r="PY516" s="75"/>
      <c r="PZ516" s="75"/>
      <c r="QA516" s="75"/>
      <c r="QB516" s="75"/>
      <c r="QC516" s="75"/>
      <c r="QD516" s="75"/>
      <c r="QE516" s="75"/>
      <c r="QF516" s="75"/>
      <c r="QG516" s="75"/>
      <c r="QH516" s="75"/>
      <c r="QI516" s="75"/>
      <c r="QJ516" s="75"/>
      <c r="QK516" s="75"/>
      <c r="QL516" s="75"/>
      <c r="QM516" s="75"/>
      <c r="QN516" s="75"/>
      <c r="QO516" s="75"/>
      <c r="QP516" s="75"/>
      <c r="QQ516" s="75"/>
      <c r="QR516" s="75"/>
      <c r="QS516" s="75"/>
      <c r="QT516" s="75"/>
      <c r="QU516" s="75"/>
      <c r="QV516" s="75"/>
      <c r="QW516" s="75"/>
      <c r="QX516" s="75"/>
      <c r="QY516" s="75"/>
      <c r="QZ516" s="75"/>
      <c r="RA516" s="75"/>
      <c r="RB516" s="75"/>
      <c r="RC516" s="75"/>
      <c r="RD516" s="75"/>
      <c r="RE516" s="75"/>
      <c r="RF516" s="75"/>
      <c r="RG516" s="75"/>
      <c r="RH516" s="75"/>
      <c r="RI516" s="75"/>
      <c r="RJ516" s="75"/>
      <c r="RK516" s="75"/>
      <c r="RL516" s="75"/>
      <c r="RM516" s="75"/>
      <c r="RN516" s="75"/>
      <c r="RO516" s="75"/>
      <c r="RP516" s="75"/>
      <c r="RQ516" s="75"/>
      <c r="RR516" s="75"/>
      <c r="RS516" s="75"/>
      <c r="RT516" s="75"/>
      <c r="RU516" s="75"/>
      <c r="RV516" s="75"/>
      <c r="RW516" s="75"/>
      <c r="RX516" s="75"/>
      <c r="RY516" s="75"/>
      <c r="RZ516" s="75"/>
      <c r="SA516" s="75"/>
      <c r="SB516" s="75"/>
      <c r="SC516" s="75"/>
      <c r="SD516" s="75"/>
      <c r="SE516" s="75"/>
      <c r="SF516" s="75"/>
      <c r="SG516" s="75"/>
      <c r="SH516" s="75"/>
      <c r="SI516" s="75"/>
      <c r="SJ516" s="75"/>
      <c r="SK516" s="75"/>
      <c r="SL516" s="75"/>
      <c r="SM516" s="75"/>
      <c r="SN516" s="75"/>
      <c r="SO516" s="75"/>
      <c r="SP516" s="75"/>
      <c r="SQ516" s="75"/>
      <c r="SR516" s="75"/>
      <c r="SS516" s="75"/>
      <c r="ST516" s="75"/>
      <c r="SU516" s="75"/>
      <c r="SV516" s="75"/>
      <c r="SW516" s="75"/>
      <c r="SX516" s="75"/>
      <c r="SY516" s="75"/>
      <c r="SZ516" s="75"/>
      <c r="TA516" s="75"/>
      <c r="TB516" s="75"/>
      <c r="TC516" s="75"/>
      <c r="TD516" s="75"/>
      <c r="TE516" s="75"/>
      <c r="TF516" s="75"/>
      <c r="TG516" s="75"/>
      <c r="TH516" s="75"/>
      <c r="TI516" s="75"/>
      <c r="TJ516" s="75"/>
      <c r="TK516" s="75"/>
      <c r="TL516" s="75"/>
      <c r="TM516" s="75"/>
      <c r="TN516" s="75"/>
      <c r="TO516" s="75"/>
      <c r="TP516" s="75"/>
      <c r="TQ516" s="75"/>
      <c r="TR516" s="75"/>
      <c r="TS516" s="75"/>
      <c r="TT516" s="75"/>
      <c r="TU516" s="75"/>
      <c r="TV516" s="75"/>
      <c r="TW516" s="75"/>
      <c r="TX516" s="75"/>
      <c r="TY516" s="75"/>
      <c r="TZ516" s="75"/>
      <c r="UA516" s="75"/>
      <c r="UB516" s="75"/>
      <c r="UC516" s="75"/>
      <c r="UD516" s="75"/>
      <c r="UE516" s="75"/>
      <c r="UF516" s="75"/>
      <c r="UG516" s="75"/>
      <c r="UH516" s="75"/>
      <c r="UI516" s="75"/>
      <c r="UJ516" s="75"/>
      <c r="UK516" s="75"/>
      <c r="UL516" s="75"/>
      <c r="UM516" s="75"/>
      <c r="UN516" s="75"/>
      <c r="UO516" s="75"/>
      <c r="UP516" s="75"/>
      <c r="UQ516" s="75"/>
      <c r="UR516" s="75"/>
      <c r="US516" s="75"/>
      <c r="UT516" s="75"/>
      <c r="UU516" s="75"/>
      <c r="UV516" s="75"/>
      <c r="UW516" s="75"/>
      <c r="UX516" s="75"/>
      <c r="UY516" s="75"/>
      <c r="UZ516" s="75"/>
      <c r="VA516" s="75"/>
      <c r="VB516" s="75"/>
      <c r="VC516" s="75"/>
      <c r="VD516" s="75"/>
      <c r="VE516" s="75"/>
      <c r="VF516" s="75"/>
      <c r="VG516" s="75"/>
      <c r="VH516" s="75"/>
      <c r="VI516" s="75"/>
      <c r="VJ516" s="75"/>
      <c r="VK516" s="75"/>
      <c r="VL516" s="75"/>
      <c r="VM516" s="75"/>
      <c r="VN516" s="75"/>
      <c r="VO516" s="75"/>
      <c r="VP516" s="75"/>
      <c r="VQ516" s="75"/>
      <c r="VR516" s="75"/>
      <c r="VS516" s="75"/>
      <c r="VT516" s="75"/>
      <c r="VU516" s="75"/>
      <c r="VV516" s="75"/>
      <c r="VW516" s="75"/>
      <c r="VX516" s="75"/>
      <c r="VY516" s="75"/>
      <c r="VZ516" s="75"/>
      <c r="WA516" s="75"/>
      <c r="WB516" s="75"/>
      <c r="WC516" s="75"/>
      <c r="WD516" s="75"/>
      <c r="WE516" s="75"/>
      <c r="WF516" s="75"/>
      <c r="WG516" s="75"/>
      <c r="WH516" s="75"/>
      <c r="WI516" s="75"/>
      <c r="WJ516" s="75"/>
      <c r="WK516" s="75"/>
      <c r="WL516" s="75"/>
      <c r="WM516" s="75"/>
      <c r="WN516" s="75"/>
      <c r="WO516" s="75"/>
      <c r="WP516" s="75"/>
      <c r="WQ516" s="75"/>
      <c r="WR516" s="75"/>
      <c r="WS516" s="75"/>
      <c r="WT516" s="75"/>
      <c r="WU516" s="75"/>
      <c r="WV516" s="75"/>
      <c r="WW516" s="75"/>
      <c r="WX516" s="75"/>
      <c r="WY516" s="75"/>
      <c r="WZ516" s="75"/>
      <c r="XA516" s="75"/>
      <c r="XB516" s="75"/>
      <c r="XC516" s="75"/>
      <c r="XD516" s="75"/>
      <c r="XE516" s="75"/>
      <c r="XF516" s="75"/>
      <c r="XG516" s="75"/>
      <c r="XH516" s="75"/>
      <c r="XI516" s="75"/>
      <c r="XJ516" s="75"/>
      <c r="XK516" s="75"/>
      <c r="XL516" s="75"/>
      <c r="XM516" s="75"/>
      <c r="XN516" s="75"/>
      <c r="XO516" s="75"/>
      <c r="XP516" s="75"/>
      <c r="XQ516" s="75"/>
      <c r="XR516" s="75"/>
      <c r="XS516" s="75"/>
      <c r="XT516" s="75"/>
      <c r="XU516" s="75"/>
      <c r="XV516" s="75"/>
      <c r="XW516" s="75"/>
      <c r="XX516" s="75"/>
      <c r="XY516" s="75"/>
      <c r="XZ516" s="75"/>
      <c r="YA516" s="75"/>
      <c r="YB516" s="75"/>
      <c r="YC516" s="75"/>
      <c r="YD516" s="75"/>
      <c r="YE516" s="75"/>
      <c r="YF516" s="75"/>
      <c r="YG516" s="75"/>
      <c r="YH516" s="75"/>
      <c r="YI516" s="75"/>
      <c r="YJ516" s="75"/>
      <c r="YK516" s="75"/>
      <c r="YL516" s="75"/>
      <c r="YM516" s="75"/>
      <c r="YN516" s="75"/>
      <c r="YO516" s="75"/>
      <c r="YP516" s="75"/>
      <c r="YQ516" s="75"/>
      <c r="YR516" s="75"/>
      <c r="YS516" s="75"/>
      <c r="YT516" s="75"/>
      <c r="YU516" s="75"/>
      <c r="YV516" s="75"/>
      <c r="YW516" s="75"/>
      <c r="YX516" s="75"/>
      <c r="YY516" s="75"/>
      <c r="YZ516" s="75"/>
      <c r="ZA516" s="75"/>
      <c r="ZB516" s="75"/>
      <c r="ZC516" s="75"/>
      <c r="ZD516" s="75"/>
      <c r="ZE516" s="75"/>
      <c r="ZF516" s="75"/>
      <c r="ZG516" s="75"/>
      <c r="ZH516" s="75"/>
      <c r="ZI516" s="75"/>
      <c r="ZJ516" s="75"/>
      <c r="ZK516" s="75"/>
      <c r="ZL516" s="75"/>
      <c r="ZM516" s="75"/>
      <c r="ZN516" s="75"/>
      <c r="ZO516" s="75"/>
      <c r="ZP516" s="75"/>
      <c r="ZQ516" s="75"/>
      <c r="ZR516" s="75"/>
      <c r="ZS516" s="75"/>
      <c r="ZT516" s="75"/>
      <c r="ZU516" s="75"/>
      <c r="ZV516" s="75"/>
      <c r="ZW516" s="75"/>
      <c r="ZX516" s="75"/>
      <c r="ZY516" s="75"/>
      <c r="ZZ516" s="75"/>
      <c r="AAA516" s="75"/>
      <c r="AAB516" s="75"/>
      <c r="AAC516" s="75"/>
      <c r="AAD516" s="75"/>
      <c r="AAE516" s="75"/>
      <c r="AAF516" s="75"/>
      <c r="AAG516" s="75"/>
      <c r="AAH516" s="75"/>
      <c r="AAI516" s="75"/>
      <c r="AAJ516" s="75"/>
      <c r="AAK516" s="75"/>
      <c r="AAL516" s="75"/>
      <c r="AAM516" s="75"/>
      <c r="AAN516" s="75"/>
      <c r="AAO516" s="75"/>
      <c r="AAP516" s="75"/>
      <c r="AAQ516" s="75"/>
      <c r="AAR516" s="75"/>
      <c r="AAS516" s="75"/>
      <c r="AAT516" s="75"/>
      <c r="AAU516" s="75"/>
      <c r="AAV516" s="75"/>
      <c r="AAW516" s="75"/>
      <c r="AAX516" s="75"/>
      <c r="AAY516" s="75"/>
      <c r="AAZ516" s="75"/>
      <c r="ABA516" s="75"/>
      <c r="ABB516" s="75"/>
      <c r="ABC516" s="75"/>
      <c r="ABD516" s="75"/>
      <c r="ABE516" s="75"/>
      <c r="ABF516" s="75"/>
      <c r="ABG516" s="75"/>
      <c r="ABH516" s="75"/>
      <c r="ABI516" s="75"/>
      <c r="ABJ516" s="75"/>
      <c r="ABK516" s="75"/>
      <c r="ABL516" s="75"/>
      <c r="ABM516" s="75"/>
      <c r="ABN516" s="75"/>
      <c r="ABO516" s="75"/>
      <c r="ABP516" s="75"/>
      <c r="ABQ516" s="75"/>
      <c r="ABR516" s="75"/>
      <c r="ABS516" s="75"/>
      <c r="ABT516" s="75"/>
      <c r="ABU516" s="75"/>
      <c r="ABV516" s="75"/>
      <c r="ABW516" s="75"/>
      <c r="ABX516" s="75"/>
      <c r="ABY516" s="75"/>
      <c r="ABZ516" s="75"/>
      <c r="ACA516" s="75"/>
      <c r="ACB516" s="75"/>
      <c r="ACC516" s="75"/>
      <c r="ACD516" s="75"/>
      <c r="ACE516" s="75"/>
      <c r="ACF516" s="75"/>
      <c r="ACG516" s="75"/>
      <c r="ACH516" s="75"/>
      <c r="ACI516" s="75"/>
      <c r="ACJ516" s="75"/>
      <c r="ACK516" s="75"/>
      <c r="ACL516" s="75"/>
      <c r="ACM516" s="75"/>
      <c r="ACN516" s="75"/>
      <c r="ACO516" s="75"/>
      <c r="ACP516" s="75"/>
      <c r="ACQ516" s="75"/>
      <c r="ACR516" s="75"/>
      <c r="ACS516" s="75"/>
      <c r="ACT516" s="75"/>
      <c r="ACU516" s="75"/>
      <c r="ACV516" s="75"/>
      <c r="ACW516" s="75"/>
      <c r="ACX516" s="75"/>
      <c r="ACY516" s="75"/>
      <c r="ACZ516" s="75"/>
      <c r="ADA516" s="75"/>
      <c r="ADB516" s="75"/>
      <c r="ADC516" s="75"/>
      <c r="ADD516" s="75"/>
      <c r="ADE516" s="75"/>
      <c r="ADF516" s="75"/>
      <c r="ADG516" s="75"/>
      <c r="ADH516" s="75"/>
      <c r="ADI516" s="75"/>
      <c r="ADJ516" s="75"/>
      <c r="ADK516" s="75"/>
      <c r="ADL516" s="75"/>
      <c r="ADM516" s="75"/>
      <c r="ADN516" s="75"/>
      <c r="ADO516" s="75"/>
      <c r="ADP516" s="75"/>
      <c r="ADQ516" s="75"/>
      <c r="ADR516" s="75"/>
      <c r="ADS516" s="75"/>
      <c r="ADT516" s="75"/>
      <c r="ADU516" s="75"/>
      <c r="ADV516" s="75"/>
      <c r="ADW516" s="75"/>
      <c r="ADX516" s="75"/>
      <c r="ADY516" s="75"/>
      <c r="ADZ516" s="75"/>
      <c r="AEA516" s="75"/>
      <c r="AEB516" s="75"/>
      <c r="AEC516" s="75"/>
      <c r="AED516" s="75"/>
      <c r="AEE516" s="75"/>
      <c r="AEF516" s="75"/>
      <c r="AEG516" s="75"/>
      <c r="AEH516" s="75"/>
      <c r="AEI516" s="75"/>
      <c r="AEJ516" s="75"/>
      <c r="AEK516" s="75"/>
      <c r="AEL516" s="75"/>
      <c r="AEM516" s="75"/>
      <c r="AEN516" s="75"/>
      <c r="AEO516" s="75"/>
      <c r="AEP516" s="75"/>
      <c r="AEQ516" s="75"/>
      <c r="AER516" s="75"/>
      <c r="AES516" s="75"/>
      <c r="AET516" s="75"/>
      <c r="AEU516" s="75"/>
      <c r="AEV516" s="75"/>
      <c r="AEW516" s="75"/>
      <c r="AEX516" s="75"/>
      <c r="AEY516" s="75"/>
      <c r="AEZ516" s="75"/>
      <c r="AFA516" s="75"/>
      <c r="AFB516" s="75"/>
      <c r="AFC516" s="75"/>
      <c r="AFD516" s="75"/>
      <c r="AFE516" s="75"/>
      <c r="AFF516" s="75"/>
      <c r="AFG516" s="75"/>
      <c r="AFH516" s="75"/>
      <c r="AFI516" s="75"/>
      <c r="AFJ516" s="75"/>
      <c r="AFK516" s="75"/>
      <c r="AFL516" s="75"/>
      <c r="AFM516" s="75"/>
      <c r="AFN516" s="75"/>
      <c r="AFO516" s="75"/>
      <c r="AFP516" s="75"/>
      <c r="AFQ516" s="75"/>
      <c r="AFR516" s="75"/>
      <c r="AFS516" s="75"/>
      <c r="AFT516" s="75"/>
      <c r="AFU516" s="75"/>
      <c r="AFV516" s="75"/>
      <c r="AFW516" s="75"/>
      <c r="AFX516" s="75"/>
      <c r="AFY516" s="75"/>
      <c r="AFZ516" s="75"/>
      <c r="AGA516" s="75"/>
      <c r="AGB516" s="75"/>
      <c r="AGC516" s="75"/>
      <c r="AGD516" s="75"/>
      <c r="AGE516" s="75"/>
      <c r="AGF516" s="75"/>
      <c r="AGG516" s="75"/>
      <c r="AGH516" s="75"/>
      <c r="AGI516" s="75"/>
      <c r="AGJ516" s="75"/>
      <c r="AGK516" s="75"/>
      <c r="AGL516" s="75"/>
      <c r="AGM516" s="75"/>
      <c r="AGN516" s="75"/>
      <c r="AGO516" s="75"/>
      <c r="AGP516" s="75"/>
      <c r="AGQ516" s="75"/>
      <c r="AGR516" s="75"/>
      <c r="AGS516" s="75"/>
      <c r="AGT516" s="75"/>
      <c r="AGU516" s="75"/>
      <c r="AGV516" s="75"/>
      <c r="AGW516" s="75"/>
      <c r="AGX516" s="75"/>
      <c r="AGY516" s="75"/>
      <c r="AGZ516" s="75"/>
      <c r="AHA516" s="75"/>
      <c r="AHB516" s="75"/>
      <c r="AHC516" s="75"/>
      <c r="AHD516" s="75"/>
      <c r="AHE516" s="75"/>
      <c r="AHF516" s="75"/>
      <c r="AHG516" s="75"/>
      <c r="AHH516" s="75"/>
      <c r="AHI516" s="75"/>
      <c r="AHJ516" s="75"/>
      <c r="AHK516" s="75"/>
      <c r="AHL516" s="75"/>
      <c r="AHM516" s="75"/>
      <c r="AHN516" s="75"/>
      <c r="AHO516" s="75"/>
      <c r="AHP516" s="75"/>
      <c r="AHQ516" s="75"/>
      <c r="AHR516" s="75"/>
      <c r="AHS516" s="75"/>
      <c r="AHT516" s="75"/>
      <c r="AHU516" s="75"/>
      <c r="AHV516" s="75"/>
      <c r="AHW516" s="75"/>
      <c r="AHX516" s="75"/>
      <c r="AHY516" s="75"/>
      <c r="AHZ516" s="75"/>
      <c r="AIA516" s="75"/>
      <c r="AIB516" s="75"/>
      <c r="AIC516" s="75"/>
      <c r="AID516" s="75"/>
      <c r="AIE516" s="75"/>
      <c r="AIF516" s="75"/>
      <c r="AIG516" s="75"/>
      <c r="AIH516" s="75"/>
      <c r="AII516" s="75"/>
      <c r="AIJ516" s="75"/>
      <c r="AIK516" s="75"/>
      <c r="AIL516" s="75"/>
      <c r="AIM516" s="75"/>
      <c r="AIN516" s="75"/>
      <c r="AIO516" s="75"/>
      <c r="AIP516" s="75"/>
      <c r="AIQ516" s="75"/>
      <c r="AIR516" s="75"/>
      <c r="AIS516" s="75"/>
      <c r="AIT516" s="75"/>
      <c r="AIU516" s="75"/>
      <c r="AIV516" s="75"/>
      <c r="AIW516" s="75"/>
      <c r="AIX516" s="75"/>
      <c r="AIY516" s="75"/>
      <c r="AIZ516" s="75"/>
      <c r="AJA516" s="75"/>
      <c r="AJB516" s="75"/>
      <c r="AJC516" s="75"/>
      <c r="AJD516" s="75"/>
      <c r="AJE516" s="75"/>
      <c r="AJF516" s="75"/>
      <c r="AJG516" s="75"/>
      <c r="AJH516" s="75"/>
      <c r="AJI516" s="75"/>
      <c r="AJJ516" s="75"/>
      <c r="AJK516" s="75"/>
      <c r="AJL516" s="75"/>
      <c r="AJM516" s="75"/>
      <c r="AJN516" s="75"/>
      <c r="AJO516" s="75"/>
      <c r="AJP516" s="75"/>
      <c r="AJQ516" s="75"/>
      <c r="AJR516" s="75"/>
      <c r="AJS516" s="75"/>
      <c r="AJT516" s="75"/>
      <c r="AJU516" s="75"/>
      <c r="AJV516" s="75"/>
      <c r="AJW516" s="75"/>
      <c r="AJX516" s="75"/>
      <c r="AJY516" s="75"/>
      <c r="AJZ516" s="75"/>
      <c r="AKA516" s="75"/>
      <c r="AKB516" s="75"/>
      <c r="AKC516" s="75"/>
      <c r="AKD516" s="75"/>
      <c r="AKE516" s="75"/>
      <c r="AKF516" s="75"/>
      <c r="AKG516" s="75"/>
      <c r="AKH516" s="75"/>
      <c r="AKI516" s="75"/>
      <c r="AKJ516" s="75"/>
      <c r="AKK516" s="75"/>
      <c r="AKL516" s="75"/>
      <c r="AKM516" s="75"/>
      <c r="AKN516" s="75"/>
      <c r="AKO516" s="75"/>
      <c r="AKP516" s="75"/>
      <c r="AKQ516" s="75"/>
      <c r="AKR516" s="75"/>
      <c r="AKS516" s="75"/>
      <c r="AKT516" s="75"/>
      <c r="AKU516" s="75"/>
      <c r="AKV516" s="75"/>
      <c r="AKW516" s="75"/>
      <c r="AKX516" s="75"/>
      <c r="AKY516" s="75"/>
      <c r="AKZ516" s="75"/>
      <c r="ALA516" s="75"/>
      <c r="ALB516" s="75"/>
      <c r="ALC516" s="75"/>
      <c r="ALD516" s="75"/>
      <c r="ALE516" s="75"/>
      <c r="ALF516" s="75"/>
      <c r="ALG516" s="75"/>
      <c r="ALH516" s="75"/>
      <c r="ALI516" s="75"/>
      <c r="ALJ516" s="75"/>
      <c r="ALK516" s="75"/>
      <c r="ALL516" s="75"/>
      <c r="ALM516" s="75"/>
      <c r="ALN516" s="75"/>
      <c r="ALO516" s="75"/>
    </row>
    <row r="517" spans="1:1003" s="234" customFormat="1" ht="14.55" customHeight="1" outlineLevel="1" x14ac:dyDescent="0.25">
      <c r="A517" s="230" t="s">
        <v>1422</v>
      </c>
      <c r="B517" s="343" t="str">
        <f>"13.1007"</f>
        <v>13.1007</v>
      </c>
      <c r="C517" s="75" t="s">
        <v>2218</v>
      </c>
      <c r="D517" s="127" t="s">
        <v>2219</v>
      </c>
      <c r="E517" s="232"/>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5"/>
      <c r="AS517" s="75"/>
      <c r="AT517" s="75"/>
      <c r="AU517" s="75"/>
      <c r="AV517" s="75"/>
      <c r="AW517" s="75"/>
      <c r="AX517" s="75"/>
      <c r="AY517" s="75"/>
      <c r="AZ517" s="75"/>
      <c r="BA517" s="75"/>
      <c r="BB517" s="75"/>
      <c r="BC517" s="75"/>
      <c r="BD517" s="75"/>
      <c r="BE517" s="75"/>
      <c r="BF517" s="75"/>
      <c r="BG517" s="75"/>
      <c r="BH517" s="75"/>
      <c r="BI517" s="75"/>
      <c r="BJ517" s="75"/>
      <c r="BK517" s="75"/>
      <c r="BL517" s="75"/>
      <c r="BM517" s="75"/>
      <c r="BN517" s="75"/>
      <c r="BO517" s="75"/>
      <c r="BP517" s="75"/>
      <c r="BQ517" s="75"/>
      <c r="BR517" s="75"/>
      <c r="BS517" s="75"/>
      <c r="BT517" s="75"/>
      <c r="BU517" s="75"/>
      <c r="BV517" s="75"/>
      <c r="BW517" s="75"/>
      <c r="BX517" s="75"/>
      <c r="BY517" s="75"/>
      <c r="BZ517" s="75"/>
      <c r="CA517" s="75"/>
      <c r="CB517" s="75"/>
      <c r="CC517" s="75"/>
      <c r="CD517" s="75"/>
      <c r="CE517" s="75"/>
      <c r="CF517" s="75"/>
      <c r="CG517" s="75"/>
      <c r="CH517" s="75"/>
      <c r="CI517" s="75"/>
      <c r="CJ517" s="75"/>
      <c r="CK517" s="75"/>
      <c r="CL517" s="75"/>
      <c r="CM517" s="75"/>
      <c r="CN517" s="75"/>
      <c r="CO517" s="75"/>
      <c r="CP517" s="75"/>
      <c r="CQ517" s="75"/>
      <c r="CR517" s="75"/>
      <c r="CS517" s="75"/>
      <c r="CT517" s="75"/>
      <c r="CU517" s="75"/>
      <c r="CV517" s="75"/>
      <c r="CW517" s="75"/>
      <c r="CX517" s="75"/>
      <c r="CY517" s="75"/>
      <c r="CZ517" s="75"/>
      <c r="DA517" s="75"/>
      <c r="DB517" s="75"/>
      <c r="DC517" s="75"/>
      <c r="DD517" s="75"/>
      <c r="DE517" s="75"/>
      <c r="DF517" s="75"/>
      <c r="DG517" s="75"/>
      <c r="DH517" s="75"/>
      <c r="DI517" s="75"/>
      <c r="DJ517" s="75"/>
      <c r="DK517" s="75"/>
      <c r="DL517" s="75"/>
      <c r="DM517" s="75"/>
      <c r="DN517" s="75"/>
      <c r="DO517" s="75"/>
      <c r="DP517" s="75"/>
      <c r="DQ517" s="75"/>
      <c r="DR517" s="75"/>
      <c r="DS517" s="75"/>
      <c r="DT517" s="75"/>
      <c r="DU517" s="75"/>
      <c r="DV517" s="75"/>
      <c r="DW517" s="75"/>
      <c r="DX517" s="75"/>
      <c r="DY517" s="75"/>
      <c r="DZ517" s="75"/>
      <c r="EA517" s="75"/>
      <c r="EB517" s="75"/>
      <c r="EC517" s="75"/>
      <c r="ED517" s="75"/>
      <c r="EE517" s="75"/>
      <c r="EF517" s="75"/>
      <c r="EG517" s="75"/>
      <c r="EH517" s="75"/>
      <c r="EI517" s="75"/>
      <c r="EJ517" s="75"/>
      <c r="EK517" s="75"/>
      <c r="EL517" s="75"/>
      <c r="EM517" s="75"/>
      <c r="EN517" s="75"/>
      <c r="EO517" s="75"/>
      <c r="EP517" s="75"/>
      <c r="EQ517" s="75"/>
      <c r="ER517" s="75"/>
      <c r="ES517" s="75"/>
      <c r="ET517" s="75"/>
      <c r="EU517" s="75"/>
      <c r="EV517" s="75"/>
      <c r="EW517" s="75"/>
      <c r="EX517" s="75"/>
      <c r="EY517" s="75"/>
      <c r="EZ517" s="75"/>
      <c r="FA517" s="75"/>
      <c r="FB517" s="75"/>
      <c r="FC517" s="75"/>
      <c r="FD517" s="75"/>
      <c r="FE517" s="75"/>
      <c r="FF517" s="75"/>
      <c r="FG517" s="75"/>
      <c r="FH517" s="75"/>
      <c r="FI517" s="75"/>
      <c r="FJ517" s="75"/>
      <c r="FK517" s="75"/>
      <c r="FL517" s="75"/>
      <c r="FM517" s="75"/>
      <c r="FN517" s="75"/>
      <c r="FO517" s="75"/>
      <c r="FP517" s="75"/>
      <c r="FQ517" s="75"/>
      <c r="FR517" s="75"/>
      <c r="FS517" s="75"/>
      <c r="FT517" s="75"/>
      <c r="FU517" s="75"/>
      <c r="FV517" s="75"/>
      <c r="FW517" s="75"/>
      <c r="FX517" s="75"/>
      <c r="FY517" s="75"/>
      <c r="FZ517" s="75"/>
      <c r="GA517" s="75"/>
      <c r="GB517" s="75"/>
      <c r="GC517" s="75"/>
      <c r="GD517" s="75"/>
      <c r="GE517" s="75"/>
      <c r="GF517" s="75"/>
      <c r="GG517" s="75"/>
      <c r="GH517" s="75"/>
      <c r="GI517" s="75"/>
      <c r="GJ517" s="75"/>
      <c r="GK517" s="75"/>
      <c r="GL517" s="75"/>
      <c r="GM517" s="75"/>
      <c r="GN517" s="75"/>
      <c r="GO517" s="75"/>
      <c r="GP517" s="75"/>
      <c r="GQ517" s="75"/>
      <c r="GR517" s="75"/>
      <c r="GS517" s="75"/>
      <c r="GT517" s="75"/>
      <c r="GU517" s="75"/>
      <c r="GV517" s="75"/>
      <c r="GW517" s="75"/>
      <c r="GX517" s="75"/>
      <c r="GY517" s="75"/>
      <c r="GZ517" s="75"/>
      <c r="HA517" s="75"/>
      <c r="HB517" s="75"/>
      <c r="HC517" s="75"/>
      <c r="HD517" s="75"/>
      <c r="HE517" s="75"/>
      <c r="HF517" s="75"/>
      <c r="HG517" s="75"/>
      <c r="HH517" s="75"/>
      <c r="HI517" s="75"/>
      <c r="HJ517" s="75"/>
      <c r="HK517" s="75"/>
      <c r="HL517" s="75"/>
      <c r="HM517" s="75"/>
      <c r="HN517" s="75"/>
      <c r="HO517" s="75"/>
      <c r="HP517" s="75"/>
      <c r="HQ517" s="75"/>
      <c r="HR517" s="75"/>
      <c r="HS517" s="75"/>
      <c r="HT517" s="75"/>
      <c r="HU517" s="75"/>
      <c r="HV517" s="75"/>
      <c r="HW517" s="75"/>
      <c r="HX517" s="75"/>
      <c r="HY517" s="75"/>
      <c r="HZ517" s="75"/>
      <c r="IA517" s="75"/>
      <c r="IB517" s="75"/>
      <c r="IC517" s="75"/>
      <c r="ID517" s="75"/>
      <c r="IE517" s="75"/>
      <c r="IF517" s="75"/>
      <c r="IG517" s="75"/>
      <c r="IH517" s="75"/>
      <c r="II517" s="75"/>
      <c r="IJ517" s="75"/>
      <c r="IK517" s="75"/>
      <c r="IL517" s="75"/>
      <c r="IM517" s="75"/>
      <c r="IN517" s="75"/>
      <c r="IO517" s="75"/>
      <c r="IP517" s="75"/>
      <c r="IQ517" s="75"/>
      <c r="IR517" s="75"/>
      <c r="IS517" s="75"/>
      <c r="IT517" s="75"/>
      <c r="IU517" s="75"/>
      <c r="IV517" s="75"/>
      <c r="IW517" s="75"/>
      <c r="IX517" s="75"/>
      <c r="IY517" s="75"/>
      <c r="IZ517" s="75"/>
      <c r="JA517" s="75"/>
      <c r="JB517" s="75"/>
      <c r="JC517" s="75"/>
      <c r="JD517" s="75"/>
      <c r="JE517" s="75"/>
      <c r="JF517" s="75"/>
      <c r="JG517" s="75"/>
      <c r="JH517" s="75"/>
      <c r="JI517" s="75"/>
      <c r="JJ517" s="75"/>
      <c r="JK517" s="75"/>
      <c r="JL517" s="75"/>
      <c r="JM517" s="75"/>
      <c r="JN517" s="75"/>
      <c r="JO517" s="75"/>
      <c r="JP517" s="75"/>
      <c r="JQ517" s="75"/>
      <c r="JR517" s="75"/>
      <c r="JS517" s="75"/>
      <c r="JT517" s="75"/>
      <c r="JU517" s="75"/>
      <c r="JV517" s="75"/>
      <c r="JW517" s="75"/>
      <c r="JX517" s="75"/>
      <c r="JY517" s="75"/>
      <c r="JZ517" s="75"/>
      <c r="KA517" s="75"/>
      <c r="KB517" s="75"/>
      <c r="KC517" s="75"/>
      <c r="KD517" s="75"/>
      <c r="KE517" s="75"/>
      <c r="KF517" s="75"/>
      <c r="KG517" s="75"/>
      <c r="KH517" s="75"/>
      <c r="KI517" s="75"/>
      <c r="KJ517" s="75"/>
      <c r="KK517" s="75"/>
      <c r="KL517" s="75"/>
      <c r="KM517" s="75"/>
      <c r="KN517" s="75"/>
      <c r="KO517" s="75"/>
      <c r="KP517" s="75"/>
      <c r="KQ517" s="75"/>
      <c r="KR517" s="75"/>
      <c r="KS517" s="75"/>
      <c r="KT517" s="75"/>
      <c r="KU517" s="75"/>
      <c r="KV517" s="75"/>
      <c r="KW517" s="75"/>
      <c r="KX517" s="75"/>
      <c r="KY517" s="75"/>
      <c r="KZ517" s="75"/>
      <c r="LA517" s="75"/>
      <c r="LB517" s="75"/>
      <c r="LC517" s="75"/>
      <c r="LD517" s="75"/>
      <c r="LE517" s="75"/>
      <c r="LF517" s="75"/>
      <c r="LG517" s="75"/>
      <c r="LH517" s="75"/>
      <c r="LI517" s="75"/>
      <c r="LJ517" s="75"/>
      <c r="LK517" s="75"/>
      <c r="LL517" s="75"/>
      <c r="LM517" s="75"/>
      <c r="LN517" s="75"/>
      <c r="LO517" s="75"/>
      <c r="LP517" s="75"/>
      <c r="LQ517" s="75"/>
      <c r="LR517" s="75"/>
      <c r="LS517" s="75"/>
      <c r="LT517" s="75"/>
      <c r="LU517" s="75"/>
      <c r="LV517" s="75"/>
      <c r="LW517" s="75"/>
      <c r="LX517" s="75"/>
      <c r="LY517" s="75"/>
      <c r="LZ517" s="75"/>
      <c r="MA517" s="75"/>
      <c r="MB517" s="75"/>
      <c r="MC517" s="75"/>
      <c r="MD517" s="75"/>
      <c r="ME517" s="75"/>
      <c r="MF517" s="75"/>
      <c r="MG517" s="75"/>
      <c r="MH517" s="75"/>
      <c r="MI517" s="75"/>
      <c r="MJ517" s="75"/>
      <c r="MK517" s="75"/>
      <c r="ML517" s="75"/>
      <c r="MM517" s="75"/>
      <c r="MN517" s="75"/>
      <c r="MO517" s="75"/>
      <c r="MP517" s="75"/>
      <c r="MQ517" s="75"/>
      <c r="MR517" s="75"/>
      <c r="MS517" s="75"/>
      <c r="MT517" s="75"/>
      <c r="MU517" s="75"/>
      <c r="MV517" s="75"/>
      <c r="MW517" s="75"/>
      <c r="MX517" s="75"/>
      <c r="MY517" s="75"/>
      <c r="MZ517" s="75"/>
      <c r="NA517" s="75"/>
      <c r="NB517" s="75"/>
      <c r="NC517" s="75"/>
      <c r="ND517" s="75"/>
      <c r="NE517" s="75"/>
      <c r="NF517" s="75"/>
      <c r="NG517" s="75"/>
      <c r="NH517" s="75"/>
      <c r="NI517" s="75"/>
      <c r="NJ517" s="75"/>
      <c r="NK517" s="75"/>
      <c r="NL517" s="75"/>
      <c r="NM517" s="75"/>
      <c r="NN517" s="75"/>
      <c r="NO517" s="75"/>
      <c r="NP517" s="75"/>
      <c r="NQ517" s="75"/>
      <c r="NR517" s="75"/>
      <c r="NS517" s="75"/>
      <c r="NT517" s="75"/>
      <c r="NU517" s="75"/>
      <c r="NV517" s="75"/>
      <c r="NW517" s="75"/>
      <c r="NX517" s="75"/>
      <c r="NY517" s="75"/>
      <c r="NZ517" s="75"/>
      <c r="OA517" s="75"/>
      <c r="OB517" s="75"/>
      <c r="OC517" s="75"/>
      <c r="OD517" s="75"/>
      <c r="OE517" s="75"/>
      <c r="OF517" s="75"/>
      <c r="OG517" s="75"/>
      <c r="OH517" s="75"/>
      <c r="OI517" s="75"/>
      <c r="OJ517" s="75"/>
      <c r="OK517" s="75"/>
      <c r="OL517" s="75"/>
      <c r="OM517" s="75"/>
      <c r="ON517" s="75"/>
      <c r="OO517" s="75"/>
      <c r="OP517" s="75"/>
      <c r="OQ517" s="75"/>
      <c r="OR517" s="75"/>
      <c r="OS517" s="75"/>
      <c r="OT517" s="75"/>
      <c r="OU517" s="75"/>
      <c r="OV517" s="75"/>
      <c r="OW517" s="75"/>
      <c r="OX517" s="75"/>
      <c r="OY517" s="75"/>
      <c r="OZ517" s="75"/>
      <c r="PA517" s="75"/>
      <c r="PB517" s="75"/>
      <c r="PC517" s="75"/>
      <c r="PD517" s="75"/>
      <c r="PE517" s="75"/>
      <c r="PF517" s="75"/>
      <c r="PG517" s="75"/>
      <c r="PH517" s="75"/>
      <c r="PI517" s="75"/>
      <c r="PJ517" s="75"/>
      <c r="PK517" s="75"/>
      <c r="PL517" s="75"/>
      <c r="PM517" s="75"/>
      <c r="PN517" s="75"/>
      <c r="PO517" s="75"/>
      <c r="PP517" s="75"/>
      <c r="PQ517" s="75"/>
      <c r="PR517" s="75"/>
      <c r="PS517" s="75"/>
      <c r="PT517" s="75"/>
      <c r="PU517" s="75"/>
      <c r="PV517" s="75"/>
      <c r="PW517" s="75"/>
      <c r="PX517" s="75"/>
      <c r="PY517" s="75"/>
      <c r="PZ517" s="75"/>
      <c r="QA517" s="75"/>
      <c r="QB517" s="75"/>
      <c r="QC517" s="75"/>
      <c r="QD517" s="75"/>
      <c r="QE517" s="75"/>
      <c r="QF517" s="75"/>
      <c r="QG517" s="75"/>
      <c r="QH517" s="75"/>
      <c r="QI517" s="75"/>
      <c r="QJ517" s="75"/>
      <c r="QK517" s="75"/>
      <c r="QL517" s="75"/>
      <c r="QM517" s="75"/>
      <c r="QN517" s="75"/>
      <c r="QO517" s="75"/>
      <c r="QP517" s="75"/>
      <c r="QQ517" s="75"/>
      <c r="QR517" s="75"/>
      <c r="QS517" s="75"/>
      <c r="QT517" s="75"/>
      <c r="QU517" s="75"/>
      <c r="QV517" s="75"/>
      <c r="QW517" s="75"/>
      <c r="QX517" s="75"/>
      <c r="QY517" s="75"/>
      <c r="QZ517" s="75"/>
      <c r="RA517" s="75"/>
      <c r="RB517" s="75"/>
      <c r="RC517" s="75"/>
      <c r="RD517" s="75"/>
      <c r="RE517" s="75"/>
      <c r="RF517" s="75"/>
      <c r="RG517" s="75"/>
      <c r="RH517" s="75"/>
      <c r="RI517" s="75"/>
      <c r="RJ517" s="75"/>
      <c r="RK517" s="75"/>
      <c r="RL517" s="75"/>
      <c r="RM517" s="75"/>
      <c r="RN517" s="75"/>
      <c r="RO517" s="75"/>
      <c r="RP517" s="75"/>
      <c r="RQ517" s="75"/>
      <c r="RR517" s="75"/>
      <c r="RS517" s="75"/>
      <c r="RT517" s="75"/>
      <c r="RU517" s="75"/>
      <c r="RV517" s="75"/>
      <c r="RW517" s="75"/>
      <c r="RX517" s="75"/>
      <c r="RY517" s="75"/>
      <c r="RZ517" s="75"/>
      <c r="SA517" s="75"/>
      <c r="SB517" s="75"/>
      <c r="SC517" s="75"/>
      <c r="SD517" s="75"/>
      <c r="SE517" s="75"/>
      <c r="SF517" s="75"/>
      <c r="SG517" s="75"/>
      <c r="SH517" s="75"/>
      <c r="SI517" s="75"/>
      <c r="SJ517" s="75"/>
      <c r="SK517" s="75"/>
      <c r="SL517" s="75"/>
      <c r="SM517" s="75"/>
      <c r="SN517" s="75"/>
      <c r="SO517" s="75"/>
      <c r="SP517" s="75"/>
      <c r="SQ517" s="75"/>
      <c r="SR517" s="75"/>
      <c r="SS517" s="75"/>
      <c r="ST517" s="75"/>
      <c r="SU517" s="75"/>
      <c r="SV517" s="75"/>
      <c r="SW517" s="75"/>
      <c r="SX517" s="75"/>
      <c r="SY517" s="75"/>
      <c r="SZ517" s="75"/>
      <c r="TA517" s="75"/>
      <c r="TB517" s="75"/>
      <c r="TC517" s="75"/>
      <c r="TD517" s="75"/>
      <c r="TE517" s="75"/>
      <c r="TF517" s="75"/>
      <c r="TG517" s="75"/>
      <c r="TH517" s="75"/>
      <c r="TI517" s="75"/>
      <c r="TJ517" s="75"/>
      <c r="TK517" s="75"/>
      <c r="TL517" s="75"/>
      <c r="TM517" s="75"/>
      <c r="TN517" s="75"/>
      <c r="TO517" s="75"/>
      <c r="TP517" s="75"/>
      <c r="TQ517" s="75"/>
      <c r="TR517" s="75"/>
      <c r="TS517" s="75"/>
      <c r="TT517" s="75"/>
      <c r="TU517" s="75"/>
      <c r="TV517" s="75"/>
      <c r="TW517" s="75"/>
      <c r="TX517" s="75"/>
      <c r="TY517" s="75"/>
      <c r="TZ517" s="75"/>
      <c r="UA517" s="75"/>
      <c r="UB517" s="75"/>
      <c r="UC517" s="75"/>
      <c r="UD517" s="75"/>
      <c r="UE517" s="75"/>
      <c r="UF517" s="75"/>
      <c r="UG517" s="75"/>
      <c r="UH517" s="75"/>
      <c r="UI517" s="75"/>
      <c r="UJ517" s="75"/>
      <c r="UK517" s="75"/>
      <c r="UL517" s="75"/>
      <c r="UM517" s="75"/>
      <c r="UN517" s="75"/>
      <c r="UO517" s="75"/>
      <c r="UP517" s="75"/>
      <c r="UQ517" s="75"/>
      <c r="UR517" s="75"/>
      <c r="US517" s="75"/>
      <c r="UT517" s="75"/>
      <c r="UU517" s="75"/>
      <c r="UV517" s="75"/>
      <c r="UW517" s="75"/>
      <c r="UX517" s="75"/>
      <c r="UY517" s="75"/>
      <c r="UZ517" s="75"/>
      <c r="VA517" s="75"/>
      <c r="VB517" s="75"/>
      <c r="VC517" s="75"/>
      <c r="VD517" s="75"/>
      <c r="VE517" s="75"/>
      <c r="VF517" s="75"/>
      <c r="VG517" s="75"/>
      <c r="VH517" s="75"/>
      <c r="VI517" s="75"/>
      <c r="VJ517" s="75"/>
      <c r="VK517" s="75"/>
      <c r="VL517" s="75"/>
      <c r="VM517" s="75"/>
      <c r="VN517" s="75"/>
      <c r="VO517" s="75"/>
      <c r="VP517" s="75"/>
      <c r="VQ517" s="75"/>
      <c r="VR517" s="75"/>
      <c r="VS517" s="75"/>
      <c r="VT517" s="75"/>
      <c r="VU517" s="75"/>
      <c r="VV517" s="75"/>
      <c r="VW517" s="75"/>
      <c r="VX517" s="75"/>
      <c r="VY517" s="75"/>
      <c r="VZ517" s="75"/>
      <c r="WA517" s="75"/>
      <c r="WB517" s="75"/>
      <c r="WC517" s="75"/>
      <c r="WD517" s="75"/>
      <c r="WE517" s="75"/>
      <c r="WF517" s="75"/>
      <c r="WG517" s="75"/>
      <c r="WH517" s="75"/>
      <c r="WI517" s="75"/>
      <c r="WJ517" s="75"/>
      <c r="WK517" s="75"/>
      <c r="WL517" s="75"/>
      <c r="WM517" s="75"/>
      <c r="WN517" s="75"/>
      <c r="WO517" s="75"/>
      <c r="WP517" s="75"/>
      <c r="WQ517" s="75"/>
      <c r="WR517" s="75"/>
      <c r="WS517" s="75"/>
      <c r="WT517" s="75"/>
      <c r="WU517" s="75"/>
      <c r="WV517" s="75"/>
      <c r="WW517" s="75"/>
      <c r="WX517" s="75"/>
      <c r="WY517" s="75"/>
      <c r="WZ517" s="75"/>
      <c r="XA517" s="75"/>
      <c r="XB517" s="75"/>
      <c r="XC517" s="75"/>
      <c r="XD517" s="75"/>
      <c r="XE517" s="75"/>
      <c r="XF517" s="75"/>
      <c r="XG517" s="75"/>
      <c r="XH517" s="75"/>
      <c r="XI517" s="75"/>
      <c r="XJ517" s="75"/>
      <c r="XK517" s="75"/>
      <c r="XL517" s="75"/>
      <c r="XM517" s="75"/>
      <c r="XN517" s="75"/>
      <c r="XO517" s="75"/>
      <c r="XP517" s="75"/>
      <c r="XQ517" s="75"/>
      <c r="XR517" s="75"/>
      <c r="XS517" s="75"/>
      <c r="XT517" s="75"/>
      <c r="XU517" s="75"/>
      <c r="XV517" s="75"/>
      <c r="XW517" s="75"/>
      <c r="XX517" s="75"/>
      <c r="XY517" s="75"/>
      <c r="XZ517" s="75"/>
      <c r="YA517" s="75"/>
      <c r="YB517" s="75"/>
      <c r="YC517" s="75"/>
      <c r="YD517" s="75"/>
      <c r="YE517" s="75"/>
      <c r="YF517" s="75"/>
      <c r="YG517" s="75"/>
      <c r="YH517" s="75"/>
      <c r="YI517" s="75"/>
      <c r="YJ517" s="75"/>
      <c r="YK517" s="75"/>
      <c r="YL517" s="75"/>
      <c r="YM517" s="75"/>
      <c r="YN517" s="75"/>
      <c r="YO517" s="75"/>
      <c r="YP517" s="75"/>
      <c r="YQ517" s="75"/>
      <c r="YR517" s="75"/>
      <c r="YS517" s="75"/>
      <c r="YT517" s="75"/>
      <c r="YU517" s="75"/>
      <c r="YV517" s="75"/>
      <c r="YW517" s="75"/>
      <c r="YX517" s="75"/>
      <c r="YY517" s="75"/>
      <c r="YZ517" s="75"/>
      <c r="ZA517" s="75"/>
      <c r="ZB517" s="75"/>
      <c r="ZC517" s="75"/>
      <c r="ZD517" s="75"/>
      <c r="ZE517" s="75"/>
      <c r="ZF517" s="75"/>
      <c r="ZG517" s="75"/>
      <c r="ZH517" s="75"/>
      <c r="ZI517" s="75"/>
      <c r="ZJ517" s="75"/>
      <c r="ZK517" s="75"/>
      <c r="ZL517" s="75"/>
      <c r="ZM517" s="75"/>
      <c r="ZN517" s="75"/>
      <c r="ZO517" s="75"/>
      <c r="ZP517" s="75"/>
      <c r="ZQ517" s="75"/>
      <c r="ZR517" s="75"/>
      <c r="ZS517" s="75"/>
      <c r="ZT517" s="75"/>
      <c r="ZU517" s="75"/>
      <c r="ZV517" s="75"/>
      <c r="ZW517" s="75"/>
      <c r="ZX517" s="75"/>
      <c r="ZY517" s="75"/>
      <c r="ZZ517" s="75"/>
      <c r="AAA517" s="75"/>
      <c r="AAB517" s="75"/>
      <c r="AAC517" s="75"/>
      <c r="AAD517" s="75"/>
      <c r="AAE517" s="75"/>
      <c r="AAF517" s="75"/>
      <c r="AAG517" s="75"/>
      <c r="AAH517" s="75"/>
      <c r="AAI517" s="75"/>
      <c r="AAJ517" s="75"/>
      <c r="AAK517" s="75"/>
      <c r="AAL517" s="75"/>
      <c r="AAM517" s="75"/>
      <c r="AAN517" s="75"/>
      <c r="AAO517" s="75"/>
      <c r="AAP517" s="75"/>
      <c r="AAQ517" s="75"/>
      <c r="AAR517" s="75"/>
      <c r="AAS517" s="75"/>
      <c r="AAT517" s="75"/>
      <c r="AAU517" s="75"/>
      <c r="AAV517" s="75"/>
      <c r="AAW517" s="75"/>
      <c r="AAX517" s="75"/>
      <c r="AAY517" s="75"/>
      <c r="AAZ517" s="75"/>
      <c r="ABA517" s="75"/>
      <c r="ABB517" s="75"/>
      <c r="ABC517" s="75"/>
      <c r="ABD517" s="75"/>
      <c r="ABE517" s="75"/>
      <c r="ABF517" s="75"/>
      <c r="ABG517" s="75"/>
      <c r="ABH517" s="75"/>
      <c r="ABI517" s="75"/>
      <c r="ABJ517" s="75"/>
      <c r="ABK517" s="75"/>
      <c r="ABL517" s="75"/>
      <c r="ABM517" s="75"/>
      <c r="ABN517" s="75"/>
      <c r="ABO517" s="75"/>
      <c r="ABP517" s="75"/>
      <c r="ABQ517" s="75"/>
      <c r="ABR517" s="75"/>
      <c r="ABS517" s="75"/>
      <c r="ABT517" s="75"/>
      <c r="ABU517" s="75"/>
      <c r="ABV517" s="75"/>
      <c r="ABW517" s="75"/>
      <c r="ABX517" s="75"/>
      <c r="ABY517" s="75"/>
      <c r="ABZ517" s="75"/>
      <c r="ACA517" s="75"/>
      <c r="ACB517" s="75"/>
      <c r="ACC517" s="75"/>
      <c r="ACD517" s="75"/>
      <c r="ACE517" s="75"/>
      <c r="ACF517" s="75"/>
      <c r="ACG517" s="75"/>
      <c r="ACH517" s="75"/>
      <c r="ACI517" s="75"/>
      <c r="ACJ517" s="75"/>
      <c r="ACK517" s="75"/>
      <c r="ACL517" s="75"/>
      <c r="ACM517" s="75"/>
      <c r="ACN517" s="75"/>
      <c r="ACO517" s="75"/>
      <c r="ACP517" s="75"/>
      <c r="ACQ517" s="75"/>
      <c r="ACR517" s="75"/>
      <c r="ACS517" s="75"/>
      <c r="ACT517" s="75"/>
      <c r="ACU517" s="75"/>
      <c r="ACV517" s="75"/>
      <c r="ACW517" s="75"/>
      <c r="ACX517" s="75"/>
      <c r="ACY517" s="75"/>
      <c r="ACZ517" s="75"/>
      <c r="ADA517" s="75"/>
      <c r="ADB517" s="75"/>
      <c r="ADC517" s="75"/>
      <c r="ADD517" s="75"/>
      <c r="ADE517" s="75"/>
      <c r="ADF517" s="75"/>
      <c r="ADG517" s="75"/>
      <c r="ADH517" s="75"/>
      <c r="ADI517" s="75"/>
      <c r="ADJ517" s="75"/>
      <c r="ADK517" s="75"/>
      <c r="ADL517" s="75"/>
      <c r="ADM517" s="75"/>
      <c r="ADN517" s="75"/>
      <c r="ADO517" s="75"/>
      <c r="ADP517" s="75"/>
      <c r="ADQ517" s="75"/>
      <c r="ADR517" s="75"/>
      <c r="ADS517" s="75"/>
      <c r="ADT517" s="75"/>
      <c r="ADU517" s="75"/>
      <c r="ADV517" s="75"/>
      <c r="ADW517" s="75"/>
      <c r="ADX517" s="75"/>
      <c r="ADY517" s="75"/>
      <c r="ADZ517" s="75"/>
      <c r="AEA517" s="75"/>
      <c r="AEB517" s="75"/>
      <c r="AEC517" s="75"/>
      <c r="AED517" s="75"/>
      <c r="AEE517" s="75"/>
      <c r="AEF517" s="75"/>
      <c r="AEG517" s="75"/>
      <c r="AEH517" s="75"/>
      <c r="AEI517" s="75"/>
      <c r="AEJ517" s="75"/>
      <c r="AEK517" s="75"/>
      <c r="AEL517" s="75"/>
      <c r="AEM517" s="75"/>
      <c r="AEN517" s="75"/>
      <c r="AEO517" s="75"/>
      <c r="AEP517" s="75"/>
      <c r="AEQ517" s="75"/>
      <c r="AER517" s="75"/>
      <c r="AES517" s="75"/>
      <c r="AET517" s="75"/>
      <c r="AEU517" s="75"/>
      <c r="AEV517" s="75"/>
      <c r="AEW517" s="75"/>
      <c r="AEX517" s="75"/>
      <c r="AEY517" s="75"/>
      <c r="AEZ517" s="75"/>
      <c r="AFA517" s="75"/>
      <c r="AFB517" s="75"/>
      <c r="AFC517" s="75"/>
      <c r="AFD517" s="75"/>
      <c r="AFE517" s="75"/>
      <c r="AFF517" s="75"/>
      <c r="AFG517" s="75"/>
      <c r="AFH517" s="75"/>
      <c r="AFI517" s="75"/>
      <c r="AFJ517" s="75"/>
      <c r="AFK517" s="75"/>
      <c r="AFL517" s="75"/>
      <c r="AFM517" s="75"/>
      <c r="AFN517" s="75"/>
      <c r="AFO517" s="75"/>
      <c r="AFP517" s="75"/>
      <c r="AFQ517" s="75"/>
      <c r="AFR517" s="75"/>
      <c r="AFS517" s="75"/>
      <c r="AFT517" s="75"/>
      <c r="AFU517" s="75"/>
      <c r="AFV517" s="75"/>
      <c r="AFW517" s="75"/>
      <c r="AFX517" s="75"/>
      <c r="AFY517" s="75"/>
      <c r="AFZ517" s="75"/>
      <c r="AGA517" s="75"/>
      <c r="AGB517" s="75"/>
      <c r="AGC517" s="75"/>
      <c r="AGD517" s="75"/>
      <c r="AGE517" s="75"/>
      <c r="AGF517" s="75"/>
      <c r="AGG517" s="75"/>
      <c r="AGH517" s="75"/>
      <c r="AGI517" s="75"/>
      <c r="AGJ517" s="75"/>
      <c r="AGK517" s="75"/>
      <c r="AGL517" s="75"/>
      <c r="AGM517" s="75"/>
      <c r="AGN517" s="75"/>
      <c r="AGO517" s="75"/>
      <c r="AGP517" s="75"/>
      <c r="AGQ517" s="75"/>
      <c r="AGR517" s="75"/>
      <c r="AGS517" s="75"/>
      <c r="AGT517" s="75"/>
      <c r="AGU517" s="75"/>
      <c r="AGV517" s="75"/>
      <c r="AGW517" s="75"/>
      <c r="AGX517" s="75"/>
      <c r="AGY517" s="75"/>
      <c r="AGZ517" s="75"/>
      <c r="AHA517" s="75"/>
      <c r="AHB517" s="75"/>
      <c r="AHC517" s="75"/>
      <c r="AHD517" s="75"/>
      <c r="AHE517" s="75"/>
      <c r="AHF517" s="75"/>
      <c r="AHG517" s="75"/>
      <c r="AHH517" s="75"/>
      <c r="AHI517" s="75"/>
      <c r="AHJ517" s="75"/>
      <c r="AHK517" s="75"/>
      <c r="AHL517" s="75"/>
      <c r="AHM517" s="75"/>
      <c r="AHN517" s="75"/>
      <c r="AHO517" s="75"/>
      <c r="AHP517" s="75"/>
      <c r="AHQ517" s="75"/>
      <c r="AHR517" s="75"/>
      <c r="AHS517" s="75"/>
      <c r="AHT517" s="75"/>
      <c r="AHU517" s="75"/>
      <c r="AHV517" s="75"/>
      <c r="AHW517" s="75"/>
      <c r="AHX517" s="75"/>
      <c r="AHY517" s="75"/>
      <c r="AHZ517" s="75"/>
      <c r="AIA517" s="75"/>
      <c r="AIB517" s="75"/>
      <c r="AIC517" s="75"/>
      <c r="AID517" s="75"/>
      <c r="AIE517" s="75"/>
      <c r="AIF517" s="75"/>
      <c r="AIG517" s="75"/>
      <c r="AIH517" s="75"/>
      <c r="AII517" s="75"/>
      <c r="AIJ517" s="75"/>
      <c r="AIK517" s="75"/>
      <c r="AIL517" s="75"/>
      <c r="AIM517" s="75"/>
      <c r="AIN517" s="75"/>
      <c r="AIO517" s="75"/>
      <c r="AIP517" s="75"/>
      <c r="AIQ517" s="75"/>
      <c r="AIR517" s="75"/>
      <c r="AIS517" s="75"/>
      <c r="AIT517" s="75"/>
      <c r="AIU517" s="75"/>
      <c r="AIV517" s="75"/>
      <c r="AIW517" s="75"/>
      <c r="AIX517" s="75"/>
      <c r="AIY517" s="75"/>
      <c r="AIZ517" s="75"/>
      <c r="AJA517" s="75"/>
      <c r="AJB517" s="75"/>
      <c r="AJC517" s="75"/>
      <c r="AJD517" s="75"/>
      <c r="AJE517" s="75"/>
      <c r="AJF517" s="75"/>
      <c r="AJG517" s="75"/>
      <c r="AJH517" s="75"/>
      <c r="AJI517" s="75"/>
      <c r="AJJ517" s="75"/>
      <c r="AJK517" s="75"/>
      <c r="AJL517" s="75"/>
      <c r="AJM517" s="75"/>
      <c r="AJN517" s="75"/>
      <c r="AJO517" s="75"/>
      <c r="AJP517" s="75"/>
      <c r="AJQ517" s="75"/>
      <c r="AJR517" s="75"/>
      <c r="AJS517" s="75"/>
      <c r="AJT517" s="75"/>
      <c r="AJU517" s="75"/>
      <c r="AJV517" s="75"/>
      <c r="AJW517" s="75"/>
      <c r="AJX517" s="75"/>
      <c r="AJY517" s="75"/>
      <c r="AJZ517" s="75"/>
      <c r="AKA517" s="75"/>
      <c r="AKB517" s="75"/>
      <c r="AKC517" s="75"/>
      <c r="AKD517" s="75"/>
      <c r="AKE517" s="75"/>
      <c r="AKF517" s="75"/>
      <c r="AKG517" s="75"/>
      <c r="AKH517" s="75"/>
      <c r="AKI517" s="75"/>
      <c r="AKJ517" s="75"/>
      <c r="AKK517" s="75"/>
      <c r="AKL517" s="75"/>
      <c r="AKM517" s="75"/>
      <c r="AKN517" s="75"/>
      <c r="AKO517" s="75"/>
      <c r="AKP517" s="75"/>
      <c r="AKQ517" s="75"/>
      <c r="AKR517" s="75"/>
      <c r="AKS517" s="75"/>
      <c r="AKT517" s="75"/>
      <c r="AKU517" s="75"/>
      <c r="AKV517" s="75"/>
      <c r="AKW517" s="75"/>
      <c r="AKX517" s="75"/>
      <c r="AKY517" s="75"/>
      <c r="AKZ517" s="75"/>
      <c r="ALA517" s="75"/>
      <c r="ALB517" s="75"/>
      <c r="ALC517" s="75"/>
      <c r="ALD517" s="75"/>
      <c r="ALE517" s="75"/>
      <c r="ALF517" s="75"/>
      <c r="ALG517" s="75"/>
      <c r="ALH517" s="75"/>
      <c r="ALI517" s="75"/>
      <c r="ALJ517" s="75"/>
      <c r="ALK517" s="75"/>
      <c r="ALL517" s="75"/>
      <c r="ALM517" s="75"/>
      <c r="ALN517" s="75"/>
      <c r="ALO517" s="75"/>
    </row>
    <row r="518" spans="1:1003" s="236" customFormat="1" ht="14.55" customHeight="1" outlineLevel="1" x14ac:dyDescent="0.25">
      <c r="A518" s="230" t="s">
        <v>1422</v>
      </c>
      <c r="B518" s="343" t="str">
        <f>"13.1008"</f>
        <v>13.1008</v>
      </c>
      <c r="C518" s="75" t="s">
        <v>2220</v>
      </c>
      <c r="D518" s="127" t="s">
        <v>2221</v>
      </c>
      <c r="E518" s="232"/>
    </row>
    <row r="519" spans="1:1003" s="236" customFormat="1" ht="14.55" customHeight="1" outlineLevel="1" x14ac:dyDescent="0.25">
      <c r="A519" s="230" t="s">
        <v>1422</v>
      </c>
      <c r="B519" s="343" t="str">
        <f>"13.1009"</f>
        <v>13.1009</v>
      </c>
      <c r="C519" s="75" t="s">
        <v>2222</v>
      </c>
      <c r="D519" s="127" t="s">
        <v>2223</v>
      </c>
      <c r="E519" s="232"/>
    </row>
    <row r="520" spans="1:1003" s="236" customFormat="1" ht="14.55" customHeight="1" outlineLevel="1" x14ac:dyDescent="0.25">
      <c r="A520" s="230" t="s">
        <v>1422</v>
      </c>
      <c r="B520" s="343" t="str">
        <f>"13.1011"</f>
        <v>13.1011</v>
      </c>
      <c r="C520" s="75" t="s">
        <v>2224</v>
      </c>
      <c r="D520" s="127" t="s">
        <v>2225</v>
      </c>
      <c r="E520" s="232"/>
    </row>
    <row r="521" spans="1:1003" s="236" customFormat="1" ht="14.55" customHeight="1" outlineLevel="1" x14ac:dyDescent="0.25">
      <c r="A521" s="230" t="s">
        <v>1422</v>
      </c>
      <c r="B521" s="343" t="str">
        <f>"13.1012"</f>
        <v>13.1012</v>
      </c>
      <c r="C521" s="75" t="s">
        <v>2226</v>
      </c>
      <c r="D521" s="127" t="s">
        <v>2227</v>
      </c>
      <c r="E521" s="232"/>
    </row>
    <row r="522" spans="1:1003" s="236" customFormat="1" ht="14.55" customHeight="1" outlineLevel="1" x14ac:dyDescent="0.25">
      <c r="A522" s="230" t="s">
        <v>1422</v>
      </c>
      <c r="B522" s="343" t="str">
        <f>"13.1013"</f>
        <v>13.1013</v>
      </c>
      <c r="C522" s="75" t="s">
        <v>2228</v>
      </c>
      <c r="D522" s="127" t="s">
        <v>2229</v>
      </c>
      <c r="E522" s="232"/>
    </row>
    <row r="523" spans="1:1003" s="236" customFormat="1" ht="14.55" customHeight="1" outlineLevel="1" x14ac:dyDescent="0.25">
      <c r="A523" s="230" t="s">
        <v>1422</v>
      </c>
      <c r="B523" s="343" t="str">
        <f>"13.1014"</f>
        <v>13.1014</v>
      </c>
      <c r="C523" s="75" t="s">
        <v>2230</v>
      </c>
      <c r="D523" s="127" t="s">
        <v>2231</v>
      </c>
      <c r="E523" s="232"/>
    </row>
    <row r="524" spans="1:1003" s="236" customFormat="1" ht="14.55" customHeight="1" outlineLevel="1" x14ac:dyDescent="0.25">
      <c r="A524" s="230" t="s">
        <v>1422</v>
      </c>
      <c r="B524" s="343" t="str">
        <f>"13.1015"</f>
        <v>13.1015</v>
      </c>
      <c r="C524" s="75" t="s">
        <v>2232</v>
      </c>
      <c r="D524" s="127" t="s">
        <v>2233</v>
      </c>
      <c r="E524" s="232"/>
    </row>
    <row r="525" spans="1:1003" s="236" customFormat="1" ht="14.55" customHeight="1" outlineLevel="1" x14ac:dyDescent="0.25">
      <c r="A525" s="230" t="s">
        <v>1422</v>
      </c>
      <c r="B525" s="343" t="str">
        <f>"13.1016"</f>
        <v>13.1016</v>
      </c>
      <c r="C525" s="75" t="s">
        <v>2234</v>
      </c>
      <c r="D525" s="127" t="s">
        <v>2235</v>
      </c>
      <c r="E525" s="232"/>
    </row>
    <row r="526" spans="1:1003" s="236" customFormat="1" ht="14.55" customHeight="1" outlineLevel="1" x14ac:dyDescent="0.25">
      <c r="A526" s="230" t="s">
        <v>1422</v>
      </c>
      <c r="B526" s="343" t="str">
        <f>"13.1017"</f>
        <v>13.1017</v>
      </c>
      <c r="C526" s="75" t="s">
        <v>2236</v>
      </c>
      <c r="D526" s="127" t="s">
        <v>2237</v>
      </c>
      <c r="E526" s="232"/>
    </row>
    <row r="527" spans="1:1003" ht="14.55" customHeight="1" outlineLevel="1" x14ac:dyDescent="0.25">
      <c r="A527" s="230" t="s">
        <v>1422</v>
      </c>
      <c r="B527" s="343" t="str">
        <f>"13.1018"</f>
        <v>13.1018</v>
      </c>
      <c r="C527" s="75" t="s">
        <v>2238</v>
      </c>
      <c r="D527" s="127" t="s">
        <v>2239</v>
      </c>
      <c r="E527" s="232"/>
    </row>
    <row r="528" spans="1:1003" ht="14.55" customHeight="1" outlineLevel="1" x14ac:dyDescent="0.25">
      <c r="A528" s="230" t="s">
        <v>1422</v>
      </c>
      <c r="B528" s="343" t="str">
        <f>"13.1019"</f>
        <v>13.1019</v>
      </c>
      <c r="C528" s="75" t="s">
        <v>2240</v>
      </c>
      <c r="D528" s="127" t="s">
        <v>2241</v>
      </c>
      <c r="E528" s="232"/>
    </row>
    <row r="529" spans="1:5" ht="14.55" customHeight="1" outlineLevel="1" x14ac:dyDescent="0.25">
      <c r="A529" s="230" t="s">
        <v>1422</v>
      </c>
      <c r="B529" s="343" t="str">
        <f>"13.1099"</f>
        <v>13.1099</v>
      </c>
      <c r="C529" s="75" t="s">
        <v>2242</v>
      </c>
      <c r="D529" s="127" t="s">
        <v>2243</v>
      </c>
      <c r="E529" s="232"/>
    </row>
    <row r="530" spans="1:5" ht="14.55" customHeight="1" outlineLevel="1" x14ac:dyDescent="0.25">
      <c r="A530" s="230" t="s">
        <v>1422</v>
      </c>
      <c r="B530" s="343" t="str">
        <f>"13.11"</f>
        <v>13.11</v>
      </c>
      <c r="C530" s="75" t="s">
        <v>2244</v>
      </c>
      <c r="D530" s="127" t="s">
        <v>2245</v>
      </c>
      <c r="E530" s="232"/>
    </row>
    <row r="531" spans="1:5" ht="14.55" customHeight="1" outlineLevel="1" x14ac:dyDescent="0.25">
      <c r="A531" s="230" t="s">
        <v>1422</v>
      </c>
      <c r="B531" s="343" t="str">
        <f>"13.1101"</f>
        <v>13.1101</v>
      </c>
      <c r="C531" s="75" t="s">
        <v>2246</v>
      </c>
      <c r="D531" s="127" t="s">
        <v>2247</v>
      </c>
      <c r="E531" s="232"/>
    </row>
    <row r="532" spans="1:5" ht="14.55" customHeight="1" outlineLevel="1" x14ac:dyDescent="0.25">
      <c r="A532" s="230" t="s">
        <v>1422</v>
      </c>
      <c r="B532" s="343" t="str">
        <f>"13.1102"</f>
        <v>13.1102</v>
      </c>
      <c r="C532" s="75" t="s">
        <v>2248</v>
      </c>
      <c r="D532" s="127" t="s">
        <v>2249</v>
      </c>
      <c r="E532" s="232"/>
    </row>
    <row r="533" spans="1:5" ht="14.55" customHeight="1" outlineLevel="1" x14ac:dyDescent="0.25">
      <c r="A533" s="230" t="s">
        <v>1422</v>
      </c>
      <c r="B533" s="343" t="str">
        <f>"13.1199"</f>
        <v>13.1199</v>
      </c>
      <c r="C533" s="75" t="s">
        <v>2250</v>
      </c>
      <c r="D533" s="127" t="s">
        <v>2251</v>
      </c>
      <c r="E533" s="232"/>
    </row>
    <row r="534" spans="1:5" ht="14.55" customHeight="1" outlineLevel="1" x14ac:dyDescent="0.25">
      <c r="A534" s="230" t="s">
        <v>1422</v>
      </c>
      <c r="B534" s="343" t="str">
        <f>"13.12"</f>
        <v>13.12</v>
      </c>
      <c r="C534" s="75" t="s">
        <v>2252</v>
      </c>
      <c r="D534" s="127" t="s">
        <v>2253</v>
      </c>
      <c r="E534" s="232"/>
    </row>
    <row r="535" spans="1:5" ht="14.55" customHeight="1" outlineLevel="1" x14ac:dyDescent="0.25">
      <c r="A535" s="230" t="s">
        <v>1422</v>
      </c>
      <c r="B535" s="343" t="str">
        <f>"13.1201"</f>
        <v>13.1201</v>
      </c>
      <c r="C535" s="75" t="s">
        <v>2254</v>
      </c>
      <c r="D535" s="127" t="s">
        <v>2255</v>
      </c>
      <c r="E535" s="232"/>
    </row>
    <row r="536" spans="1:5" ht="14.55" customHeight="1" outlineLevel="1" x14ac:dyDescent="0.25">
      <c r="A536" s="230" t="s">
        <v>1422</v>
      </c>
      <c r="B536" s="343" t="str">
        <f>"13.1202"</f>
        <v>13.1202</v>
      </c>
      <c r="C536" s="75" t="s">
        <v>2256</v>
      </c>
      <c r="D536" s="127" t="s">
        <v>2257</v>
      </c>
      <c r="E536" s="232"/>
    </row>
    <row r="537" spans="1:5" ht="14.55" customHeight="1" outlineLevel="1" x14ac:dyDescent="0.25">
      <c r="A537" s="230" t="s">
        <v>1422</v>
      </c>
      <c r="B537" s="343" t="str">
        <f>"13.1203"</f>
        <v>13.1203</v>
      </c>
      <c r="C537" s="75" t="s">
        <v>2258</v>
      </c>
      <c r="D537" s="127" t="s">
        <v>2259</v>
      </c>
      <c r="E537" s="232"/>
    </row>
    <row r="538" spans="1:5" ht="14.55" customHeight="1" outlineLevel="1" x14ac:dyDescent="0.25">
      <c r="A538" s="230" t="s">
        <v>1422</v>
      </c>
      <c r="B538" s="343" t="str">
        <f>"13.1205"</f>
        <v>13.1205</v>
      </c>
      <c r="C538" s="75" t="s">
        <v>2260</v>
      </c>
      <c r="D538" s="127" t="s">
        <v>2261</v>
      </c>
      <c r="E538" s="232"/>
    </row>
    <row r="539" spans="1:5" ht="14.55" customHeight="1" outlineLevel="1" x14ac:dyDescent="0.25">
      <c r="A539" s="230" t="s">
        <v>1422</v>
      </c>
      <c r="B539" s="343" t="str">
        <f>"13.1206"</f>
        <v>13.1206</v>
      </c>
      <c r="C539" s="75" t="s">
        <v>2262</v>
      </c>
      <c r="D539" s="127" t="s">
        <v>2263</v>
      </c>
      <c r="E539" s="232"/>
    </row>
    <row r="540" spans="1:5" ht="14.55" customHeight="1" outlineLevel="1" x14ac:dyDescent="0.25">
      <c r="A540" s="230" t="s">
        <v>1422</v>
      </c>
      <c r="B540" s="343" t="str">
        <f>"13.1207"</f>
        <v>13.1207</v>
      </c>
      <c r="C540" s="75" t="s">
        <v>2264</v>
      </c>
      <c r="D540" s="127" t="s">
        <v>2265</v>
      </c>
      <c r="E540" s="232"/>
    </row>
    <row r="541" spans="1:5" ht="14.55" customHeight="1" outlineLevel="1" x14ac:dyDescent="0.25">
      <c r="A541" s="230" t="s">
        <v>1422</v>
      </c>
      <c r="B541" s="343" t="str">
        <f>"13.1208"</f>
        <v>13.1208</v>
      </c>
      <c r="C541" s="75" t="s">
        <v>2266</v>
      </c>
      <c r="D541" s="127" t="s">
        <v>2267</v>
      </c>
      <c r="E541" s="232"/>
    </row>
    <row r="542" spans="1:5" ht="14.55" customHeight="1" outlineLevel="1" x14ac:dyDescent="0.25">
      <c r="A542" s="230" t="s">
        <v>1422</v>
      </c>
      <c r="B542" s="343" t="str">
        <f>"13.1209"</f>
        <v>13.1209</v>
      </c>
      <c r="C542" s="75" t="s">
        <v>2268</v>
      </c>
      <c r="D542" s="127" t="s">
        <v>2269</v>
      </c>
      <c r="E542" s="232"/>
    </row>
    <row r="543" spans="1:5" ht="14.55" customHeight="1" outlineLevel="1" x14ac:dyDescent="0.25">
      <c r="A543" s="230" t="s">
        <v>1422</v>
      </c>
      <c r="B543" s="343" t="str">
        <f>"13.1210"</f>
        <v>13.1210</v>
      </c>
      <c r="C543" s="75" t="s">
        <v>2270</v>
      </c>
      <c r="D543" s="127" t="s">
        <v>2271</v>
      </c>
      <c r="E543" s="232"/>
    </row>
    <row r="544" spans="1:5" ht="14.55" customHeight="1" outlineLevel="1" x14ac:dyDescent="0.25">
      <c r="A544" s="230" t="s">
        <v>1422</v>
      </c>
      <c r="B544" s="343" t="str">
        <f>"13.1211"</f>
        <v>13.1211</v>
      </c>
      <c r="C544" s="75" t="s">
        <v>2272</v>
      </c>
      <c r="D544" s="127" t="s">
        <v>2273</v>
      </c>
      <c r="E544" s="232"/>
    </row>
    <row r="545" spans="1:5" ht="14.55" customHeight="1" outlineLevel="1" x14ac:dyDescent="0.25">
      <c r="A545" s="230" t="s">
        <v>1422</v>
      </c>
      <c r="B545" s="343" t="str">
        <f>"13.1212"</f>
        <v>13.1212</v>
      </c>
      <c r="C545" s="75" t="s">
        <v>2274</v>
      </c>
      <c r="D545" s="127" t="s">
        <v>2275</v>
      </c>
      <c r="E545" s="232"/>
    </row>
    <row r="546" spans="1:5" ht="14.55" customHeight="1" outlineLevel="1" x14ac:dyDescent="0.25">
      <c r="A546" s="230" t="s">
        <v>1422</v>
      </c>
      <c r="B546" s="343" t="str">
        <f>"13.1213"</f>
        <v>13.1213</v>
      </c>
      <c r="C546" s="75" t="s">
        <v>2276</v>
      </c>
      <c r="D546" s="127" t="s">
        <v>2277</v>
      </c>
      <c r="E546" s="232"/>
    </row>
    <row r="547" spans="1:5" ht="14.55" customHeight="1" outlineLevel="1" x14ac:dyDescent="0.25">
      <c r="A547" s="230" t="s">
        <v>1422</v>
      </c>
      <c r="B547" s="343" t="str">
        <f>"13.1214"</f>
        <v>13.1214</v>
      </c>
      <c r="C547" s="75" t="s">
        <v>2278</v>
      </c>
      <c r="D547" s="127" t="s">
        <v>2279</v>
      </c>
      <c r="E547" s="232"/>
    </row>
    <row r="548" spans="1:5" ht="14.55" customHeight="1" outlineLevel="1" x14ac:dyDescent="0.25">
      <c r="A548" s="230" t="s">
        <v>1422</v>
      </c>
      <c r="B548" s="343" t="str">
        <f>"13.1299"</f>
        <v>13.1299</v>
      </c>
      <c r="C548" s="75" t="s">
        <v>2280</v>
      </c>
      <c r="D548" s="127" t="s">
        <v>2281</v>
      </c>
      <c r="E548" s="232"/>
    </row>
    <row r="549" spans="1:5" ht="14.55" customHeight="1" outlineLevel="1" x14ac:dyDescent="0.25">
      <c r="A549" s="230" t="s">
        <v>1422</v>
      </c>
      <c r="B549" s="343" t="str">
        <f>"13.13"</f>
        <v>13.13</v>
      </c>
      <c r="C549" s="75" t="s">
        <v>2282</v>
      </c>
      <c r="D549" s="127" t="s">
        <v>2283</v>
      </c>
      <c r="E549" s="232"/>
    </row>
    <row r="550" spans="1:5" ht="14.55" customHeight="1" outlineLevel="1" x14ac:dyDescent="0.25">
      <c r="A550" s="230" t="s">
        <v>1422</v>
      </c>
      <c r="B550" s="343" t="str">
        <f>"13.1301"</f>
        <v>13.1301</v>
      </c>
      <c r="C550" s="75" t="s">
        <v>2284</v>
      </c>
      <c r="D550" s="127" t="s">
        <v>2285</v>
      </c>
      <c r="E550" s="232"/>
    </row>
    <row r="551" spans="1:5" ht="14.55" customHeight="1" outlineLevel="1" x14ac:dyDescent="0.25">
      <c r="A551" s="230" t="s">
        <v>1422</v>
      </c>
      <c r="B551" s="343" t="str">
        <f>"13.1302"</f>
        <v>13.1302</v>
      </c>
      <c r="C551" s="75" t="s">
        <v>2286</v>
      </c>
      <c r="D551" s="127" t="s">
        <v>2287</v>
      </c>
      <c r="E551" s="232"/>
    </row>
    <row r="552" spans="1:5" ht="14.55" customHeight="1" outlineLevel="1" x14ac:dyDescent="0.25">
      <c r="A552" s="230" t="s">
        <v>1422</v>
      </c>
      <c r="B552" s="343" t="str">
        <f>"13.1303"</f>
        <v>13.1303</v>
      </c>
      <c r="C552" s="75" t="s">
        <v>2288</v>
      </c>
      <c r="D552" s="127" t="s">
        <v>2289</v>
      </c>
      <c r="E552" s="232"/>
    </row>
    <row r="553" spans="1:5" ht="14.55" customHeight="1" outlineLevel="1" x14ac:dyDescent="0.25">
      <c r="A553" s="230" t="s">
        <v>1422</v>
      </c>
      <c r="B553" s="343" t="str">
        <f>"13.1304"</f>
        <v>13.1304</v>
      </c>
      <c r="C553" s="75" t="s">
        <v>2290</v>
      </c>
      <c r="D553" s="127" t="s">
        <v>2291</v>
      </c>
      <c r="E553" s="232"/>
    </row>
    <row r="554" spans="1:5" ht="14.55" customHeight="1" outlineLevel="1" x14ac:dyDescent="0.25">
      <c r="A554" s="230" t="s">
        <v>1422</v>
      </c>
      <c r="B554" s="343" t="str">
        <f>"13.1305"</f>
        <v>13.1305</v>
      </c>
      <c r="C554" s="75" t="s">
        <v>2292</v>
      </c>
      <c r="D554" s="127" t="s">
        <v>2293</v>
      </c>
      <c r="E554" s="232"/>
    </row>
    <row r="555" spans="1:5" ht="14.55" customHeight="1" outlineLevel="1" x14ac:dyDescent="0.25">
      <c r="A555" s="230" t="s">
        <v>1422</v>
      </c>
      <c r="B555" s="343" t="str">
        <f>"13.1306"</f>
        <v>13.1306</v>
      </c>
      <c r="C555" s="75" t="s">
        <v>2294</v>
      </c>
      <c r="D555" s="127" t="s">
        <v>2295</v>
      </c>
      <c r="E555" s="232"/>
    </row>
    <row r="556" spans="1:5" ht="14.55" customHeight="1" outlineLevel="1" x14ac:dyDescent="0.25">
      <c r="A556" s="230" t="s">
        <v>1422</v>
      </c>
      <c r="B556" s="343" t="str">
        <f>"13.1307"</f>
        <v>13.1307</v>
      </c>
      <c r="C556" s="75" t="s">
        <v>2296</v>
      </c>
      <c r="D556" s="127" t="s">
        <v>2297</v>
      </c>
      <c r="E556" s="232"/>
    </row>
    <row r="557" spans="1:5" ht="14.55" customHeight="1" outlineLevel="1" x14ac:dyDescent="0.25">
      <c r="A557" s="230" t="s">
        <v>1422</v>
      </c>
      <c r="B557" s="343" t="str">
        <f>"13.1308"</f>
        <v>13.1308</v>
      </c>
      <c r="C557" s="75" t="s">
        <v>2298</v>
      </c>
      <c r="D557" s="127" t="s">
        <v>2299</v>
      </c>
      <c r="E557" s="232"/>
    </row>
    <row r="558" spans="1:5" ht="14.55" customHeight="1" outlineLevel="1" x14ac:dyDescent="0.25">
      <c r="A558" s="230" t="s">
        <v>1422</v>
      </c>
      <c r="B558" s="343" t="str">
        <f>"13.1309"</f>
        <v>13.1309</v>
      </c>
      <c r="C558" s="75" t="s">
        <v>2300</v>
      </c>
      <c r="D558" s="127" t="s">
        <v>2301</v>
      </c>
      <c r="E558" s="232"/>
    </row>
    <row r="559" spans="1:5" ht="14.55" customHeight="1" outlineLevel="1" x14ac:dyDescent="0.25">
      <c r="A559" s="230" t="s">
        <v>1422</v>
      </c>
      <c r="B559" s="343" t="str">
        <f>"13.1310"</f>
        <v>13.1310</v>
      </c>
      <c r="C559" s="75" t="s">
        <v>2302</v>
      </c>
      <c r="D559" s="127" t="s">
        <v>2303</v>
      </c>
      <c r="E559" s="232"/>
    </row>
    <row r="560" spans="1:5" ht="14.55" customHeight="1" outlineLevel="1" x14ac:dyDescent="0.25">
      <c r="A560" s="230" t="s">
        <v>1422</v>
      </c>
      <c r="B560" s="343" t="str">
        <f>"13.1311"</f>
        <v>13.1311</v>
      </c>
      <c r="C560" s="75" t="s">
        <v>2304</v>
      </c>
      <c r="D560" s="127" t="s">
        <v>2305</v>
      </c>
      <c r="E560" s="232"/>
    </row>
    <row r="561" spans="1:5" ht="14.55" customHeight="1" outlineLevel="1" x14ac:dyDescent="0.25">
      <c r="A561" s="230" t="s">
        <v>1422</v>
      </c>
      <c r="B561" s="343" t="str">
        <f>"13.1312"</f>
        <v>13.1312</v>
      </c>
      <c r="C561" s="75" t="s">
        <v>2306</v>
      </c>
      <c r="D561" s="127" t="s">
        <v>2307</v>
      </c>
      <c r="E561" s="232"/>
    </row>
    <row r="562" spans="1:5" ht="14.55" customHeight="1" outlineLevel="1" x14ac:dyDescent="0.25">
      <c r="A562" s="230" t="s">
        <v>1422</v>
      </c>
      <c r="B562" s="343" t="str">
        <f>"13.1314"</f>
        <v>13.1314</v>
      </c>
      <c r="C562" s="75" t="s">
        <v>2308</v>
      </c>
      <c r="D562" s="127" t="s">
        <v>2309</v>
      </c>
      <c r="E562" s="232"/>
    </row>
    <row r="563" spans="1:5" ht="14.55" customHeight="1" outlineLevel="1" x14ac:dyDescent="0.25">
      <c r="A563" s="230" t="s">
        <v>1422</v>
      </c>
      <c r="B563" s="343" t="str">
        <f>"13.1315"</f>
        <v>13.1315</v>
      </c>
      <c r="C563" s="75" t="s">
        <v>2310</v>
      </c>
      <c r="D563" s="127" t="s">
        <v>2311</v>
      </c>
      <c r="E563" s="232"/>
    </row>
    <row r="564" spans="1:5" ht="14.55" customHeight="1" outlineLevel="1" x14ac:dyDescent="0.25">
      <c r="A564" s="230" t="s">
        <v>1422</v>
      </c>
      <c r="B564" s="343" t="str">
        <f>"13.1316"</f>
        <v>13.1316</v>
      </c>
      <c r="C564" s="75" t="s">
        <v>2312</v>
      </c>
      <c r="D564" s="127" t="s">
        <v>2313</v>
      </c>
      <c r="E564" s="232"/>
    </row>
    <row r="565" spans="1:5" ht="14.55" customHeight="1" outlineLevel="1" x14ac:dyDescent="0.25">
      <c r="A565" s="230" t="s">
        <v>1422</v>
      </c>
      <c r="B565" s="343" t="str">
        <f>"13.1317"</f>
        <v>13.1317</v>
      </c>
      <c r="C565" s="75" t="s">
        <v>2314</v>
      </c>
      <c r="D565" s="127" t="s">
        <v>2315</v>
      </c>
      <c r="E565" s="232"/>
    </row>
    <row r="566" spans="1:5" ht="14.55" customHeight="1" outlineLevel="1" x14ac:dyDescent="0.25">
      <c r="A566" s="230" t="s">
        <v>1422</v>
      </c>
      <c r="B566" s="343" t="str">
        <f>"13.1318"</f>
        <v>13.1318</v>
      </c>
      <c r="C566" s="75" t="s">
        <v>2316</v>
      </c>
      <c r="D566" s="127" t="s">
        <v>2317</v>
      </c>
      <c r="E566" s="232"/>
    </row>
    <row r="567" spans="1:5" ht="14.55" customHeight="1" outlineLevel="1" x14ac:dyDescent="0.25">
      <c r="A567" s="230" t="s">
        <v>1422</v>
      </c>
      <c r="B567" s="343" t="str">
        <f>"13.1319"</f>
        <v>13.1319</v>
      </c>
      <c r="C567" s="75" t="s">
        <v>2318</v>
      </c>
      <c r="D567" s="127" t="s">
        <v>2319</v>
      </c>
      <c r="E567" s="232"/>
    </row>
    <row r="568" spans="1:5" ht="14.55" customHeight="1" outlineLevel="1" x14ac:dyDescent="0.25">
      <c r="A568" s="230" t="s">
        <v>1422</v>
      </c>
      <c r="B568" s="343" t="str">
        <f>"13.1320"</f>
        <v>13.1320</v>
      </c>
      <c r="C568" s="75" t="s">
        <v>2320</v>
      </c>
      <c r="D568" s="127" t="s">
        <v>2321</v>
      </c>
      <c r="E568" s="232"/>
    </row>
    <row r="569" spans="1:5" ht="14.55" customHeight="1" outlineLevel="1" x14ac:dyDescent="0.25">
      <c r="A569" s="230" t="s">
        <v>1422</v>
      </c>
      <c r="B569" s="343" t="str">
        <f>"13.1321"</f>
        <v>13.1321</v>
      </c>
      <c r="C569" s="75" t="s">
        <v>2322</v>
      </c>
      <c r="D569" s="127" t="s">
        <v>2323</v>
      </c>
      <c r="E569" s="232"/>
    </row>
    <row r="570" spans="1:5" ht="14.55" customHeight="1" outlineLevel="1" x14ac:dyDescent="0.25">
      <c r="A570" s="230" t="s">
        <v>1422</v>
      </c>
      <c r="B570" s="343" t="str">
        <f>"13.1322"</f>
        <v>13.1322</v>
      </c>
      <c r="C570" s="75" t="s">
        <v>2324</v>
      </c>
      <c r="D570" s="127" t="s">
        <v>2325</v>
      </c>
      <c r="E570" s="232"/>
    </row>
    <row r="571" spans="1:5" ht="14.55" customHeight="1" outlineLevel="1" x14ac:dyDescent="0.25">
      <c r="A571" s="230" t="s">
        <v>1422</v>
      </c>
      <c r="B571" s="343" t="str">
        <f>"13.1323"</f>
        <v>13.1323</v>
      </c>
      <c r="C571" s="75" t="s">
        <v>2326</v>
      </c>
      <c r="D571" s="127" t="s">
        <v>2327</v>
      </c>
      <c r="E571" s="232"/>
    </row>
    <row r="572" spans="1:5" ht="14.55" customHeight="1" outlineLevel="1" x14ac:dyDescent="0.25">
      <c r="A572" s="230" t="s">
        <v>1422</v>
      </c>
      <c r="B572" s="343" t="str">
        <f>"13.1324"</f>
        <v>13.1324</v>
      </c>
      <c r="C572" s="75" t="s">
        <v>2328</v>
      </c>
      <c r="D572" s="127" t="s">
        <v>2329</v>
      </c>
      <c r="E572" s="232"/>
    </row>
    <row r="573" spans="1:5" ht="14.55" customHeight="1" outlineLevel="1" x14ac:dyDescent="0.25">
      <c r="A573" s="230" t="s">
        <v>1422</v>
      </c>
      <c r="B573" s="343" t="str">
        <f>"13.1325"</f>
        <v>13.1325</v>
      </c>
      <c r="C573" s="75" t="s">
        <v>2330</v>
      </c>
      <c r="D573" s="127" t="s">
        <v>2331</v>
      </c>
      <c r="E573" s="232"/>
    </row>
    <row r="574" spans="1:5" ht="14.55" customHeight="1" outlineLevel="1" x14ac:dyDescent="0.25">
      <c r="A574" s="230" t="s">
        <v>1422</v>
      </c>
      <c r="B574" s="343" t="str">
        <f>"13.1326"</f>
        <v>13.1326</v>
      </c>
      <c r="C574" s="75" t="s">
        <v>2332</v>
      </c>
      <c r="D574" s="127" t="s">
        <v>2333</v>
      </c>
      <c r="E574" s="232"/>
    </row>
    <row r="575" spans="1:5" ht="14.55" customHeight="1" outlineLevel="1" x14ac:dyDescent="0.25">
      <c r="A575" s="230" t="s">
        <v>1422</v>
      </c>
      <c r="B575" s="343" t="str">
        <f>"13.1327"</f>
        <v>13.1327</v>
      </c>
      <c r="C575" s="75" t="s">
        <v>2334</v>
      </c>
      <c r="D575" s="127" t="s">
        <v>2335</v>
      </c>
      <c r="E575" s="232"/>
    </row>
    <row r="576" spans="1:5" ht="14.55" customHeight="1" outlineLevel="1" x14ac:dyDescent="0.25">
      <c r="A576" s="230" t="s">
        <v>1422</v>
      </c>
      <c r="B576" s="343" t="str">
        <f>"13.1328"</f>
        <v>13.1328</v>
      </c>
      <c r="C576" s="75" t="s">
        <v>2336</v>
      </c>
      <c r="D576" s="127" t="s">
        <v>2337</v>
      </c>
      <c r="E576" s="232"/>
    </row>
    <row r="577" spans="1:5" ht="14.55" customHeight="1" outlineLevel="1" x14ac:dyDescent="0.25">
      <c r="A577" s="230" t="s">
        <v>1422</v>
      </c>
      <c r="B577" s="343" t="str">
        <f>"13.1329"</f>
        <v>13.1329</v>
      </c>
      <c r="C577" s="75" t="s">
        <v>2338</v>
      </c>
      <c r="D577" s="127" t="s">
        <v>2339</v>
      </c>
      <c r="E577" s="232"/>
    </row>
    <row r="578" spans="1:5" ht="14.55" customHeight="1" outlineLevel="1" x14ac:dyDescent="0.25">
      <c r="A578" s="230" t="s">
        <v>1422</v>
      </c>
      <c r="B578" s="343" t="str">
        <f>"13.1330"</f>
        <v>13.1330</v>
      </c>
      <c r="C578" s="75" t="s">
        <v>2340</v>
      </c>
      <c r="D578" s="127" t="s">
        <v>2341</v>
      </c>
      <c r="E578" s="232"/>
    </row>
    <row r="579" spans="1:5" ht="14.55" customHeight="1" outlineLevel="1" x14ac:dyDescent="0.25">
      <c r="A579" s="230" t="s">
        <v>1422</v>
      </c>
      <c r="B579" s="343" t="str">
        <f>"13.1331"</f>
        <v>13.1331</v>
      </c>
      <c r="C579" s="75" t="s">
        <v>2342</v>
      </c>
      <c r="D579" s="127" t="s">
        <v>2343</v>
      </c>
      <c r="E579" s="232"/>
    </row>
    <row r="580" spans="1:5" ht="14.55" customHeight="1" outlineLevel="1" x14ac:dyDescent="0.25">
      <c r="A580" s="230" t="s">
        <v>1422</v>
      </c>
      <c r="B580" s="343" t="str">
        <f>"13.1332"</f>
        <v>13.1332</v>
      </c>
      <c r="C580" s="75" t="s">
        <v>2344</v>
      </c>
      <c r="D580" s="127" t="s">
        <v>2345</v>
      </c>
      <c r="E580" s="232"/>
    </row>
    <row r="581" spans="1:5" ht="14.55" customHeight="1" outlineLevel="1" x14ac:dyDescent="0.25">
      <c r="A581" s="230" t="s">
        <v>1422</v>
      </c>
      <c r="B581" s="343" t="str">
        <f>"13.1333"</f>
        <v>13.1333</v>
      </c>
      <c r="C581" s="75" t="s">
        <v>2346</v>
      </c>
      <c r="D581" s="127" t="s">
        <v>2347</v>
      </c>
      <c r="E581" s="232"/>
    </row>
    <row r="582" spans="1:5" ht="14.55" customHeight="1" outlineLevel="1" x14ac:dyDescent="0.25">
      <c r="A582" s="230" t="s">
        <v>1422</v>
      </c>
      <c r="B582" s="343" t="str">
        <f>"13.1334"</f>
        <v>13.1334</v>
      </c>
      <c r="C582" s="75" t="s">
        <v>2348</v>
      </c>
      <c r="D582" s="127" t="s">
        <v>2349</v>
      </c>
      <c r="E582" s="232"/>
    </row>
    <row r="583" spans="1:5" ht="14.55" customHeight="1" outlineLevel="1" x14ac:dyDescent="0.25">
      <c r="A583" s="230" t="s">
        <v>1422</v>
      </c>
      <c r="B583" s="343" t="str">
        <f>"13.1335"</f>
        <v>13.1335</v>
      </c>
      <c r="C583" s="75" t="s">
        <v>2350</v>
      </c>
      <c r="D583" s="127" t="s">
        <v>2351</v>
      </c>
      <c r="E583" s="232"/>
    </row>
    <row r="584" spans="1:5" ht="14.55" customHeight="1" outlineLevel="1" x14ac:dyDescent="0.25">
      <c r="A584" s="230" t="s">
        <v>1422</v>
      </c>
      <c r="B584" s="343" t="str">
        <f>"13.1337"</f>
        <v>13.1337</v>
      </c>
      <c r="C584" s="75" t="s">
        <v>2352</v>
      </c>
      <c r="D584" s="127" t="s">
        <v>2353</v>
      </c>
      <c r="E584" s="232"/>
    </row>
    <row r="585" spans="1:5" ht="14.55" customHeight="1" outlineLevel="1" x14ac:dyDescent="0.25">
      <c r="A585" s="230" t="s">
        <v>1422</v>
      </c>
      <c r="B585" s="343" t="str">
        <f>"13.1338"</f>
        <v>13.1338</v>
      </c>
      <c r="C585" s="75" t="s">
        <v>2354</v>
      </c>
      <c r="D585" s="127" t="s">
        <v>2355</v>
      </c>
      <c r="E585" s="232"/>
    </row>
    <row r="586" spans="1:5" ht="14.55" customHeight="1" outlineLevel="1" x14ac:dyDescent="0.25">
      <c r="A586" s="230" t="s">
        <v>1422</v>
      </c>
      <c r="B586" s="343" t="str">
        <f>"13.1339"</f>
        <v>13.1339</v>
      </c>
      <c r="C586" s="75" t="s">
        <v>2356</v>
      </c>
      <c r="D586" s="127" t="s">
        <v>2357</v>
      </c>
      <c r="E586" s="232"/>
    </row>
    <row r="587" spans="1:5" ht="14.55" customHeight="1" outlineLevel="1" x14ac:dyDescent="0.25">
      <c r="A587" s="230" t="s">
        <v>1422</v>
      </c>
      <c r="B587" s="343" t="str">
        <f>"13.1399"</f>
        <v>13.1399</v>
      </c>
      <c r="C587" s="75" t="s">
        <v>2358</v>
      </c>
      <c r="D587" s="127" t="s">
        <v>2359</v>
      </c>
      <c r="E587" s="232"/>
    </row>
    <row r="588" spans="1:5" ht="14.55" customHeight="1" outlineLevel="1" x14ac:dyDescent="0.25">
      <c r="A588" s="230" t="s">
        <v>1422</v>
      </c>
      <c r="B588" s="343" t="str">
        <f>"13.14"</f>
        <v>13.14</v>
      </c>
      <c r="C588" s="75" t="s">
        <v>2360</v>
      </c>
      <c r="D588" s="127" t="s">
        <v>2361</v>
      </c>
      <c r="E588" s="232"/>
    </row>
    <row r="589" spans="1:5" ht="14.55" customHeight="1" outlineLevel="1" x14ac:dyDescent="0.25">
      <c r="A589" s="230" t="s">
        <v>1422</v>
      </c>
      <c r="B589" s="343" t="str">
        <f>"13.1401"</f>
        <v>13.1401</v>
      </c>
      <c r="C589" s="75" t="s">
        <v>2362</v>
      </c>
      <c r="D589" s="127" t="s">
        <v>2363</v>
      </c>
      <c r="E589" s="232"/>
    </row>
    <row r="590" spans="1:5" ht="14.55" customHeight="1" outlineLevel="1" x14ac:dyDescent="0.25">
      <c r="A590" s="230" t="s">
        <v>1422</v>
      </c>
      <c r="B590" s="343" t="str">
        <f>"13.1402"</f>
        <v>13.1402</v>
      </c>
      <c r="C590" s="75" t="s">
        <v>2364</v>
      </c>
      <c r="D590" s="127" t="s">
        <v>2365</v>
      </c>
      <c r="E590" s="232"/>
    </row>
    <row r="591" spans="1:5" ht="14.55" customHeight="1" outlineLevel="1" x14ac:dyDescent="0.25">
      <c r="A591" s="230" t="s">
        <v>1422</v>
      </c>
      <c r="B591" s="343" t="str">
        <f>"13.1499"</f>
        <v>13.1499</v>
      </c>
      <c r="C591" s="75" t="s">
        <v>2366</v>
      </c>
      <c r="D591" s="127" t="s">
        <v>2367</v>
      </c>
      <c r="E591" s="232"/>
    </row>
    <row r="592" spans="1:5" ht="14.55" customHeight="1" outlineLevel="1" x14ac:dyDescent="0.25">
      <c r="A592" s="230" t="s">
        <v>1422</v>
      </c>
      <c r="B592" s="343" t="str">
        <f>"13.15"</f>
        <v>13.15</v>
      </c>
      <c r="C592" s="75" t="s">
        <v>2368</v>
      </c>
      <c r="D592" s="127" t="s">
        <v>2369</v>
      </c>
      <c r="E592" s="232"/>
    </row>
    <row r="593" spans="1:5" ht="14.55" customHeight="1" outlineLevel="1" x14ac:dyDescent="0.25">
      <c r="A593" s="230" t="s">
        <v>1422</v>
      </c>
      <c r="B593" s="343" t="str">
        <f>"13.1501"</f>
        <v>13.1501</v>
      </c>
      <c r="C593" s="75" t="s">
        <v>2370</v>
      </c>
      <c r="D593" s="127" t="s">
        <v>2371</v>
      </c>
      <c r="E593" s="232"/>
    </row>
    <row r="594" spans="1:5" ht="14.55" customHeight="1" outlineLevel="1" x14ac:dyDescent="0.25">
      <c r="A594" s="230" t="s">
        <v>1422</v>
      </c>
      <c r="B594" s="343" t="str">
        <f>"13.1502"</f>
        <v>13.1502</v>
      </c>
      <c r="C594" s="75" t="s">
        <v>2372</v>
      </c>
      <c r="D594" s="127" t="s">
        <v>2373</v>
      </c>
      <c r="E594" s="232"/>
    </row>
    <row r="595" spans="1:5" ht="14.55" customHeight="1" outlineLevel="1" x14ac:dyDescent="0.25">
      <c r="A595" s="230" t="s">
        <v>1422</v>
      </c>
      <c r="B595" s="343" t="str">
        <f>"13.1599"</f>
        <v>13.1599</v>
      </c>
      <c r="C595" s="75" t="s">
        <v>2374</v>
      </c>
      <c r="D595" s="127" t="s">
        <v>2375</v>
      </c>
      <c r="E595" s="232"/>
    </row>
    <row r="596" spans="1:5" ht="14.55" customHeight="1" outlineLevel="1" x14ac:dyDescent="0.25">
      <c r="A596" s="230" t="s">
        <v>1422</v>
      </c>
      <c r="B596" s="343" t="str">
        <f>"13.99"</f>
        <v>13.99</v>
      </c>
      <c r="C596" s="75" t="s">
        <v>2376</v>
      </c>
      <c r="D596" s="127" t="s">
        <v>2377</v>
      </c>
      <c r="E596" s="232"/>
    </row>
    <row r="597" spans="1:5" ht="14.55" customHeight="1" outlineLevel="1" x14ac:dyDescent="0.25">
      <c r="A597" s="230" t="s">
        <v>1422</v>
      </c>
      <c r="B597" s="343" t="str">
        <f>"13.9999"</f>
        <v>13.9999</v>
      </c>
      <c r="C597" s="75" t="s">
        <v>2376</v>
      </c>
      <c r="D597" s="127" t="s">
        <v>2378</v>
      </c>
      <c r="E597" s="232"/>
    </row>
    <row r="598" spans="1:5" ht="14.55" customHeight="1" outlineLevel="1" x14ac:dyDescent="0.25">
      <c r="A598" s="230" t="s">
        <v>1422</v>
      </c>
      <c r="B598" s="343" t="str">
        <f>"14"</f>
        <v>14</v>
      </c>
      <c r="C598" s="75" t="s">
        <v>2379</v>
      </c>
      <c r="D598" s="127" t="s">
        <v>2380</v>
      </c>
      <c r="E598" s="232"/>
    </row>
    <row r="599" spans="1:5" ht="14.55" customHeight="1" outlineLevel="1" x14ac:dyDescent="0.25">
      <c r="A599" s="230" t="s">
        <v>1422</v>
      </c>
      <c r="B599" s="343" t="str">
        <f>"14.01"</f>
        <v>14.01</v>
      </c>
      <c r="C599" s="75" t="s">
        <v>2381</v>
      </c>
      <c r="D599" s="127" t="s">
        <v>2382</v>
      </c>
      <c r="E599" s="232"/>
    </row>
    <row r="600" spans="1:5" ht="14.55" customHeight="1" outlineLevel="1" x14ac:dyDescent="0.25">
      <c r="A600" s="230" t="s">
        <v>1422</v>
      </c>
      <c r="B600" s="343" t="str">
        <f>"14.0101"</f>
        <v>14.0101</v>
      </c>
      <c r="C600" s="75" t="s">
        <v>2381</v>
      </c>
      <c r="D600" s="127" t="s">
        <v>2383</v>
      </c>
      <c r="E600" s="232"/>
    </row>
    <row r="601" spans="1:5" ht="14.55" customHeight="1" outlineLevel="1" x14ac:dyDescent="0.25">
      <c r="A601" s="230" t="s">
        <v>1422</v>
      </c>
      <c r="B601" s="343" t="str">
        <f>"14.0102"</f>
        <v>14.0102</v>
      </c>
      <c r="C601" s="75" t="s">
        <v>2384</v>
      </c>
      <c r="D601" s="127" t="s">
        <v>2385</v>
      </c>
      <c r="E601" s="232"/>
    </row>
    <row r="602" spans="1:5" ht="14.55" customHeight="1" outlineLevel="1" x14ac:dyDescent="0.25">
      <c r="A602" s="230" t="s">
        <v>1422</v>
      </c>
      <c r="B602" s="343" t="str">
        <f>"14.0103"</f>
        <v>14.0103</v>
      </c>
      <c r="C602" s="75" t="s">
        <v>2386</v>
      </c>
      <c r="D602" s="127" t="s">
        <v>2387</v>
      </c>
      <c r="E602" s="232"/>
    </row>
    <row r="603" spans="1:5" ht="14.55" customHeight="1" outlineLevel="1" x14ac:dyDescent="0.25">
      <c r="A603" s="230" t="s">
        <v>1422</v>
      </c>
      <c r="B603" s="343" t="str">
        <f>"14.02"</f>
        <v>14.02</v>
      </c>
      <c r="C603" s="75" t="s">
        <v>2388</v>
      </c>
      <c r="D603" s="127" t="s">
        <v>2389</v>
      </c>
      <c r="E603" s="232"/>
    </row>
    <row r="604" spans="1:5" ht="14.55" customHeight="1" outlineLevel="1" x14ac:dyDescent="0.25">
      <c r="A604" s="230" t="s">
        <v>1422</v>
      </c>
      <c r="B604" s="343" t="str">
        <f>"14.0201"</f>
        <v>14.0201</v>
      </c>
      <c r="C604" s="75" t="s">
        <v>2390</v>
      </c>
      <c r="D604" s="127" t="s">
        <v>2391</v>
      </c>
      <c r="E604" s="232"/>
    </row>
    <row r="605" spans="1:5" ht="14.55" customHeight="1" outlineLevel="1" x14ac:dyDescent="0.25">
      <c r="A605" s="230" t="s">
        <v>1422</v>
      </c>
      <c r="B605" s="343" t="str">
        <f>"14.0202"</f>
        <v>14.0202</v>
      </c>
      <c r="C605" s="75" t="s">
        <v>2392</v>
      </c>
      <c r="D605" s="127" t="s">
        <v>2393</v>
      </c>
      <c r="E605" s="232"/>
    </row>
    <row r="606" spans="1:5" ht="14.55" customHeight="1" outlineLevel="1" x14ac:dyDescent="0.25">
      <c r="A606" s="230" t="s">
        <v>1422</v>
      </c>
      <c r="B606" s="343" t="str">
        <f>"14.0299"</f>
        <v>14.0299</v>
      </c>
      <c r="C606" s="75" t="s">
        <v>2394</v>
      </c>
      <c r="D606" s="127" t="s">
        <v>2395</v>
      </c>
      <c r="E606" s="232"/>
    </row>
    <row r="607" spans="1:5" ht="14.55" customHeight="1" outlineLevel="1" x14ac:dyDescent="0.25">
      <c r="A607" s="230" t="s">
        <v>1422</v>
      </c>
      <c r="B607" s="343" t="str">
        <f>"14.03"</f>
        <v>14.03</v>
      </c>
      <c r="C607" s="75" t="s">
        <v>2396</v>
      </c>
      <c r="D607" s="127" t="s">
        <v>2397</v>
      </c>
      <c r="E607" s="232"/>
    </row>
    <row r="608" spans="1:5" ht="14.55" customHeight="1" outlineLevel="1" x14ac:dyDescent="0.25">
      <c r="A608" s="230" t="s">
        <v>1422</v>
      </c>
      <c r="B608" s="343" t="str">
        <f>"14.0301"</f>
        <v>14.0301</v>
      </c>
      <c r="C608" s="75" t="s">
        <v>2396</v>
      </c>
      <c r="D608" s="127" t="s">
        <v>2398</v>
      </c>
      <c r="E608" s="232"/>
    </row>
    <row r="609" spans="1:5" ht="14.55" customHeight="1" outlineLevel="1" x14ac:dyDescent="0.25">
      <c r="A609" s="230" t="s">
        <v>1422</v>
      </c>
      <c r="B609" s="343" t="str">
        <f>"14.04"</f>
        <v>14.04</v>
      </c>
      <c r="C609" s="75" t="s">
        <v>2399</v>
      </c>
      <c r="D609" s="127" t="s">
        <v>2400</v>
      </c>
      <c r="E609" s="232"/>
    </row>
    <row r="610" spans="1:5" ht="14.55" customHeight="1" outlineLevel="1" x14ac:dyDescent="0.25">
      <c r="A610" s="230" t="s">
        <v>1422</v>
      </c>
      <c r="B610" s="343" t="str">
        <f>"14.0401"</f>
        <v>14.0401</v>
      </c>
      <c r="C610" s="75" t="s">
        <v>2399</v>
      </c>
      <c r="D610" s="127" t="s">
        <v>2401</v>
      </c>
      <c r="E610" s="232"/>
    </row>
    <row r="611" spans="1:5" ht="14.55" customHeight="1" outlineLevel="1" x14ac:dyDescent="0.25">
      <c r="A611" s="230" t="s">
        <v>1422</v>
      </c>
      <c r="B611" s="343" t="str">
        <f>"14.05"</f>
        <v>14.05</v>
      </c>
      <c r="C611" s="75" t="s">
        <v>2402</v>
      </c>
      <c r="D611" s="127" t="s">
        <v>2403</v>
      </c>
      <c r="E611" s="232"/>
    </row>
    <row r="612" spans="1:5" ht="14.55" customHeight="1" outlineLevel="1" x14ac:dyDescent="0.25">
      <c r="A612" s="230" t="s">
        <v>1422</v>
      </c>
      <c r="B612" s="343" t="str">
        <f>"14.0501"</f>
        <v>14.0501</v>
      </c>
      <c r="C612" s="75" t="s">
        <v>2404</v>
      </c>
      <c r="D612" s="127" t="s">
        <v>2405</v>
      </c>
      <c r="E612" s="232"/>
    </row>
    <row r="613" spans="1:5" ht="14.55" customHeight="1" outlineLevel="1" x14ac:dyDescent="0.25">
      <c r="A613" s="230" t="s">
        <v>1422</v>
      </c>
      <c r="B613" s="343" t="str">
        <f>"14.06"</f>
        <v>14.06</v>
      </c>
      <c r="C613" s="75" t="s">
        <v>2406</v>
      </c>
      <c r="D613" s="127" t="s">
        <v>2407</v>
      </c>
      <c r="E613" s="232"/>
    </row>
    <row r="614" spans="1:5" ht="14.55" customHeight="1" outlineLevel="1" x14ac:dyDescent="0.25">
      <c r="A614" s="230" t="s">
        <v>1422</v>
      </c>
      <c r="B614" s="343" t="str">
        <f>"14.0601"</f>
        <v>14.0601</v>
      </c>
      <c r="C614" s="75" t="s">
        <v>2406</v>
      </c>
      <c r="D614" s="127" t="s">
        <v>2408</v>
      </c>
      <c r="E614" s="232"/>
    </row>
    <row r="615" spans="1:5" ht="14.55" customHeight="1" outlineLevel="1" x14ac:dyDescent="0.25">
      <c r="A615" s="230" t="s">
        <v>1422</v>
      </c>
      <c r="B615" s="343" t="str">
        <f>"14.07"</f>
        <v>14.07</v>
      </c>
      <c r="C615" s="75" t="s">
        <v>2409</v>
      </c>
      <c r="D615" s="127" t="s">
        <v>2410</v>
      </c>
      <c r="E615" s="232"/>
    </row>
    <row r="616" spans="1:5" ht="14.55" customHeight="1" outlineLevel="1" x14ac:dyDescent="0.25">
      <c r="A616" s="230" t="s">
        <v>1422</v>
      </c>
      <c r="B616" s="343" t="str">
        <f>"14.0701"</f>
        <v>14.0701</v>
      </c>
      <c r="C616" s="75" t="s">
        <v>2409</v>
      </c>
      <c r="D616" s="127" t="s">
        <v>2411</v>
      </c>
      <c r="E616" s="232"/>
    </row>
    <row r="617" spans="1:5" ht="14.55" customHeight="1" outlineLevel="1" x14ac:dyDescent="0.25">
      <c r="A617" s="230" t="s">
        <v>1422</v>
      </c>
      <c r="B617" s="343" t="str">
        <f>"14.0702"</f>
        <v>14.0702</v>
      </c>
      <c r="C617" s="75" t="s">
        <v>2412</v>
      </c>
      <c r="D617" s="127" t="s">
        <v>2413</v>
      </c>
      <c r="E617" s="232"/>
    </row>
    <row r="618" spans="1:5" ht="14.55" customHeight="1" outlineLevel="1" x14ac:dyDescent="0.25">
      <c r="A618" s="230" t="s">
        <v>1422</v>
      </c>
      <c r="B618" s="343" t="str">
        <f>"14.0799"</f>
        <v>14.0799</v>
      </c>
      <c r="C618" s="75" t="s">
        <v>2414</v>
      </c>
      <c r="D618" s="127" t="s">
        <v>2415</v>
      </c>
      <c r="E618" s="232"/>
    </row>
    <row r="619" spans="1:5" ht="14.55" customHeight="1" outlineLevel="1" x14ac:dyDescent="0.25">
      <c r="A619" s="230" t="s">
        <v>1422</v>
      </c>
      <c r="B619" s="343" t="str">
        <f>"14.08"</f>
        <v>14.08</v>
      </c>
      <c r="C619" s="75" t="s">
        <v>2416</v>
      </c>
      <c r="D619" s="127" t="s">
        <v>2417</v>
      </c>
      <c r="E619" s="232"/>
    </row>
    <row r="620" spans="1:5" ht="14.55" customHeight="1" outlineLevel="1" x14ac:dyDescent="0.25">
      <c r="A620" s="230" t="s">
        <v>1422</v>
      </c>
      <c r="B620" s="343" t="str">
        <f>"14.0801"</f>
        <v>14.0801</v>
      </c>
      <c r="C620" s="75" t="s">
        <v>2418</v>
      </c>
      <c r="D620" s="127" t="s">
        <v>2419</v>
      </c>
      <c r="E620" s="232"/>
    </row>
    <row r="621" spans="1:5" ht="14.55" customHeight="1" outlineLevel="1" x14ac:dyDescent="0.25">
      <c r="A621" s="230" t="s">
        <v>1422</v>
      </c>
      <c r="B621" s="343" t="str">
        <f>"14.0802"</f>
        <v>14.0802</v>
      </c>
      <c r="C621" s="75" t="s">
        <v>2420</v>
      </c>
      <c r="D621" s="127" t="s">
        <v>2421</v>
      </c>
      <c r="E621" s="232"/>
    </row>
    <row r="622" spans="1:5" ht="14.55" customHeight="1" outlineLevel="1" x14ac:dyDescent="0.25">
      <c r="A622" s="230" t="s">
        <v>1422</v>
      </c>
      <c r="B622" s="343" t="str">
        <f>"14.0803"</f>
        <v>14.0803</v>
      </c>
      <c r="C622" s="75" t="s">
        <v>2422</v>
      </c>
      <c r="D622" s="127" t="s">
        <v>2423</v>
      </c>
      <c r="E622" s="232"/>
    </row>
    <row r="623" spans="1:5" ht="14.55" customHeight="1" outlineLevel="1" x14ac:dyDescent="0.25">
      <c r="A623" s="230" t="s">
        <v>1422</v>
      </c>
      <c r="B623" s="343" t="str">
        <f>"14.0804"</f>
        <v>14.0804</v>
      </c>
      <c r="C623" s="75" t="s">
        <v>2424</v>
      </c>
      <c r="D623" s="127" t="s">
        <v>2425</v>
      </c>
      <c r="E623" s="232"/>
    </row>
    <row r="624" spans="1:5" ht="14.55" customHeight="1" outlineLevel="1" x14ac:dyDescent="0.25">
      <c r="A624" s="230" t="s">
        <v>1422</v>
      </c>
      <c r="B624" s="343" t="str">
        <f>"14.0805"</f>
        <v>14.0805</v>
      </c>
      <c r="C624" s="75" t="s">
        <v>2426</v>
      </c>
      <c r="D624" s="127" t="s">
        <v>2427</v>
      </c>
      <c r="E624" s="232"/>
    </row>
    <row r="625" spans="1:5" ht="14.55" customHeight="1" outlineLevel="1" x14ac:dyDescent="0.25">
      <c r="A625" s="230" t="s">
        <v>1422</v>
      </c>
      <c r="B625" s="343" t="str">
        <f>"14.0899"</f>
        <v>14.0899</v>
      </c>
      <c r="C625" s="75" t="s">
        <v>2428</v>
      </c>
      <c r="D625" s="127" t="s">
        <v>2429</v>
      </c>
      <c r="E625" s="232"/>
    </row>
    <row r="626" spans="1:5" ht="14.55" customHeight="1" outlineLevel="1" x14ac:dyDescent="0.25">
      <c r="A626" s="230" t="s">
        <v>1422</v>
      </c>
      <c r="B626" s="343" t="str">
        <f>"14.09"</f>
        <v>14.09</v>
      </c>
      <c r="C626" s="75" t="s">
        <v>2430</v>
      </c>
      <c r="D626" s="127" t="s">
        <v>2431</v>
      </c>
      <c r="E626" s="232"/>
    </row>
    <row r="627" spans="1:5" ht="14.55" customHeight="1" outlineLevel="1" x14ac:dyDescent="0.25">
      <c r="A627" s="230" t="s">
        <v>1422</v>
      </c>
      <c r="B627" s="343" t="str">
        <f>"14.0901"</f>
        <v>14.0901</v>
      </c>
      <c r="C627" s="75" t="s">
        <v>2432</v>
      </c>
      <c r="D627" s="127" t="s">
        <v>2433</v>
      </c>
      <c r="E627" s="232"/>
    </row>
    <row r="628" spans="1:5" ht="14.55" customHeight="1" outlineLevel="1" x14ac:dyDescent="0.25">
      <c r="A628" s="230" t="s">
        <v>1422</v>
      </c>
      <c r="B628" s="343" t="str">
        <f>"14.0902"</f>
        <v>14.0902</v>
      </c>
      <c r="C628" s="75" t="s">
        <v>2434</v>
      </c>
      <c r="D628" s="127" t="s">
        <v>2435</v>
      </c>
      <c r="E628" s="232"/>
    </row>
    <row r="629" spans="1:5" ht="14.55" customHeight="1" outlineLevel="1" x14ac:dyDescent="0.25">
      <c r="A629" s="230" t="s">
        <v>1422</v>
      </c>
      <c r="B629" s="343" t="str">
        <f>"14.0903"</f>
        <v>14.0903</v>
      </c>
      <c r="C629" s="75" t="s">
        <v>2436</v>
      </c>
      <c r="D629" s="127" t="s">
        <v>2437</v>
      </c>
      <c r="E629" s="232"/>
    </row>
    <row r="630" spans="1:5" ht="14.55" customHeight="1" outlineLevel="1" x14ac:dyDescent="0.25">
      <c r="A630" s="230" t="s">
        <v>1422</v>
      </c>
      <c r="B630" s="343" t="str">
        <f>"14.0999"</f>
        <v>14.0999</v>
      </c>
      <c r="C630" s="75" t="s">
        <v>2438</v>
      </c>
      <c r="D630" s="127" t="s">
        <v>2439</v>
      </c>
      <c r="E630" s="232"/>
    </row>
    <row r="631" spans="1:5" ht="14.55" customHeight="1" outlineLevel="1" x14ac:dyDescent="0.25">
      <c r="A631" s="230" t="s">
        <v>1422</v>
      </c>
      <c r="B631" s="343" t="str">
        <f>"14.10"</f>
        <v>14.10</v>
      </c>
      <c r="C631" s="75" t="s">
        <v>2440</v>
      </c>
      <c r="D631" s="127" t="s">
        <v>2441</v>
      </c>
      <c r="E631" s="232"/>
    </row>
    <row r="632" spans="1:5" ht="14.55" customHeight="1" outlineLevel="1" x14ac:dyDescent="0.25">
      <c r="A632" s="230" t="s">
        <v>1422</v>
      </c>
      <c r="B632" s="343" t="str">
        <f>"14.1001"</f>
        <v>14.1001</v>
      </c>
      <c r="C632" s="75" t="s">
        <v>2442</v>
      </c>
      <c r="D632" s="127" t="s">
        <v>2443</v>
      </c>
      <c r="E632" s="232"/>
    </row>
    <row r="633" spans="1:5" ht="14.55" customHeight="1" outlineLevel="1" x14ac:dyDescent="0.25">
      <c r="A633" s="230" t="s">
        <v>1422</v>
      </c>
      <c r="B633" s="343" t="str">
        <f>"14.1003"</f>
        <v>14.1003</v>
      </c>
      <c r="C633" s="75" t="s">
        <v>2444</v>
      </c>
      <c r="D633" s="127" t="s">
        <v>2445</v>
      </c>
      <c r="E633" s="232"/>
    </row>
    <row r="634" spans="1:5" ht="14.55" customHeight="1" outlineLevel="1" x14ac:dyDescent="0.25">
      <c r="A634" s="230" t="s">
        <v>1422</v>
      </c>
      <c r="B634" s="343" t="str">
        <f>"14.1004"</f>
        <v>14.1004</v>
      </c>
      <c r="C634" s="75" t="s">
        <v>2446</v>
      </c>
      <c r="D634" s="127" t="s">
        <v>2447</v>
      </c>
      <c r="E634" s="232"/>
    </row>
    <row r="635" spans="1:5" ht="14.55" customHeight="1" outlineLevel="1" x14ac:dyDescent="0.25">
      <c r="A635" s="230" t="s">
        <v>1422</v>
      </c>
      <c r="B635" s="343" t="str">
        <f>"14.1099"</f>
        <v>14.1099</v>
      </c>
      <c r="C635" s="75" t="s">
        <v>2448</v>
      </c>
      <c r="D635" s="127" t="s">
        <v>2449</v>
      </c>
      <c r="E635" s="232"/>
    </row>
    <row r="636" spans="1:5" ht="14.55" customHeight="1" outlineLevel="1" x14ac:dyDescent="0.25">
      <c r="A636" s="230" t="s">
        <v>1422</v>
      </c>
      <c r="B636" s="343" t="str">
        <f>"14.11"</f>
        <v>14.11</v>
      </c>
      <c r="C636" s="75" t="s">
        <v>2450</v>
      </c>
      <c r="D636" s="127" t="s">
        <v>2451</v>
      </c>
      <c r="E636" s="232"/>
    </row>
    <row r="637" spans="1:5" ht="14.55" customHeight="1" outlineLevel="1" x14ac:dyDescent="0.25">
      <c r="A637" s="230" t="s">
        <v>1422</v>
      </c>
      <c r="B637" s="343" t="str">
        <f>"14.1101"</f>
        <v>14.1101</v>
      </c>
      <c r="C637" s="75" t="s">
        <v>2450</v>
      </c>
      <c r="D637" s="127" t="s">
        <v>2452</v>
      </c>
      <c r="E637" s="232"/>
    </row>
    <row r="638" spans="1:5" ht="14.55" customHeight="1" outlineLevel="1" x14ac:dyDescent="0.25">
      <c r="A638" s="230" t="s">
        <v>1422</v>
      </c>
      <c r="B638" s="343" t="str">
        <f>"14.12"</f>
        <v>14.12</v>
      </c>
      <c r="C638" s="75" t="s">
        <v>2453</v>
      </c>
      <c r="D638" s="127" t="s">
        <v>2454</v>
      </c>
      <c r="E638" s="232"/>
    </row>
    <row r="639" spans="1:5" ht="14.55" customHeight="1" outlineLevel="1" x14ac:dyDescent="0.25">
      <c r="A639" s="230" t="s">
        <v>1422</v>
      </c>
      <c r="B639" s="343" t="str">
        <f>"14.1201"</f>
        <v>14.1201</v>
      </c>
      <c r="C639" s="75" t="s">
        <v>2455</v>
      </c>
      <c r="D639" s="127" t="s">
        <v>2456</v>
      </c>
      <c r="E639" s="232"/>
    </row>
    <row r="640" spans="1:5" ht="14.55" customHeight="1" outlineLevel="1" x14ac:dyDescent="0.25">
      <c r="A640" s="230" t="s">
        <v>1422</v>
      </c>
      <c r="B640" s="343" t="str">
        <f>"14.13"</f>
        <v>14.13</v>
      </c>
      <c r="C640" s="75" t="s">
        <v>2457</v>
      </c>
      <c r="D640" s="127" t="s">
        <v>2458</v>
      </c>
      <c r="E640" s="232"/>
    </row>
    <row r="641" spans="1:5" ht="14.55" customHeight="1" outlineLevel="1" x14ac:dyDescent="0.25">
      <c r="A641" s="230" t="s">
        <v>1422</v>
      </c>
      <c r="B641" s="343" t="str">
        <f>"14.1301"</f>
        <v>14.1301</v>
      </c>
      <c r="C641" s="75" t="s">
        <v>2457</v>
      </c>
      <c r="D641" s="127" t="s">
        <v>2459</v>
      </c>
      <c r="E641" s="232"/>
    </row>
    <row r="642" spans="1:5" ht="14.55" customHeight="1" outlineLevel="1" x14ac:dyDescent="0.25">
      <c r="A642" s="230" t="s">
        <v>1422</v>
      </c>
      <c r="B642" s="343" t="str">
        <f>"14.14"</f>
        <v>14.14</v>
      </c>
      <c r="C642" s="75" t="s">
        <v>2460</v>
      </c>
      <c r="D642" s="127" t="s">
        <v>2461</v>
      </c>
      <c r="E642" s="232"/>
    </row>
    <row r="643" spans="1:5" ht="14.55" customHeight="1" outlineLevel="1" x14ac:dyDescent="0.25">
      <c r="A643" s="230" t="s">
        <v>1422</v>
      </c>
      <c r="B643" s="343" t="str">
        <f>"14.1401"</f>
        <v>14.1401</v>
      </c>
      <c r="C643" s="75" t="s">
        <v>2460</v>
      </c>
      <c r="D643" s="127" t="s">
        <v>2462</v>
      </c>
      <c r="E643" s="232"/>
    </row>
    <row r="644" spans="1:5" ht="14.55" customHeight="1" outlineLevel="1" x14ac:dyDescent="0.25">
      <c r="A644" s="230" t="s">
        <v>1422</v>
      </c>
      <c r="B644" s="343" t="str">
        <f>"14.18"</f>
        <v>14.18</v>
      </c>
      <c r="C644" s="75" t="s">
        <v>2463</v>
      </c>
      <c r="D644" s="127" t="s">
        <v>2464</v>
      </c>
      <c r="E644" s="232"/>
    </row>
    <row r="645" spans="1:5" ht="14.55" customHeight="1" outlineLevel="1" x14ac:dyDescent="0.25">
      <c r="A645" s="230" t="s">
        <v>1422</v>
      </c>
      <c r="B645" s="343" t="str">
        <f>"14.1801"</f>
        <v>14.1801</v>
      </c>
      <c r="C645" s="75" t="s">
        <v>2463</v>
      </c>
      <c r="D645" s="127" t="s">
        <v>2465</v>
      </c>
      <c r="E645" s="232"/>
    </row>
    <row r="646" spans="1:5" ht="14.55" customHeight="1" outlineLevel="1" x14ac:dyDescent="0.25">
      <c r="A646" s="230" t="s">
        <v>1422</v>
      </c>
      <c r="B646" s="343" t="str">
        <f>"14.19"</f>
        <v>14.19</v>
      </c>
      <c r="C646" s="75" t="s">
        <v>2466</v>
      </c>
      <c r="D646" s="127" t="s">
        <v>2467</v>
      </c>
      <c r="E646" s="232"/>
    </row>
    <row r="647" spans="1:5" ht="14.55" customHeight="1" outlineLevel="1" x14ac:dyDescent="0.25">
      <c r="A647" s="230" t="s">
        <v>1422</v>
      </c>
      <c r="B647" s="343" t="str">
        <f>"14.1901"</f>
        <v>14.1901</v>
      </c>
      <c r="C647" s="75" t="s">
        <v>2466</v>
      </c>
      <c r="D647" s="127" t="s">
        <v>2468</v>
      </c>
      <c r="E647" s="232"/>
    </row>
    <row r="648" spans="1:5" ht="14.55" customHeight="1" outlineLevel="1" x14ac:dyDescent="0.25">
      <c r="A648" s="230" t="s">
        <v>1422</v>
      </c>
      <c r="B648" s="343" t="str">
        <f>"14.20"</f>
        <v>14.20</v>
      </c>
      <c r="C648" s="75" t="s">
        <v>2469</v>
      </c>
      <c r="D648" s="127" t="s">
        <v>2470</v>
      </c>
      <c r="E648" s="232"/>
    </row>
    <row r="649" spans="1:5" ht="14.55" customHeight="1" outlineLevel="1" x14ac:dyDescent="0.25">
      <c r="A649" s="230" t="s">
        <v>1422</v>
      </c>
      <c r="B649" s="343" t="str">
        <f>"14.2001"</f>
        <v>14.2001</v>
      </c>
      <c r="C649" s="75" t="s">
        <v>2469</v>
      </c>
      <c r="D649" s="127" t="s">
        <v>2471</v>
      </c>
      <c r="E649" s="232"/>
    </row>
    <row r="650" spans="1:5" ht="14.55" customHeight="1" outlineLevel="1" x14ac:dyDescent="0.25">
      <c r="A650" s="230" t="s">
        <v>1422</v>
      </c>
      <c r="B650" s="343" t="str">
        <f>"14.21"</f>
        <v>14.21</v>
      </c>
      <c r="C650" s="75" t="s">
        <v>2472</v>
      </c>
      <c r="D650" s="127" t="s">
        <v>2473</v>
      </c>
      <c r="E650" s="232"/>
    </row>
    <row r="651" spans="1:5" ht="14.55" customHeight="1" outlineLevel="1" x14ac:dyDescent="0.25">
      <c r="A651" s="230" t="s">
        <v>1422</v>
      </c>
      <c r="B651" s="343" t="str">
        <f>"14.2101"</f>
        <v>14.2101</v>
      </c>
      <c r="C651" s="75" t="s">
        <v>2472</v>
      </c>
      <c r="D651" s="127" t="s">
        <v>2474</v>
      </c>
      <c r="E651" s="232"/>
    </row>
    <row r="652" spans="1:5" ht="14.55" customHeight="1" outlineLevel="1" x14ac:dyDescent="0.25">
      <c r="A652" s="230" t="s">
        <v>1422</v>
      </c>
      <c r="B652" s="343" t="str">
        <f>"14.22"</f>
        <v>14.22</v>
      </c>
      <c r="C652" s="75" t="s">
        <v>2475</v>
      </c>
      <c r="D652" s="127" t="s">
        <v>2476</v>
      </c>
      <c r="E652" s="232"/>
    </row>
    <row r="653" spans="1:5" ht="14.55" customHeight="1" outlineLevel="1" x14ac:dyDescent="0.25">
      <c r="A653" s="230" t="s">
        <v>1422</v>
      </c>
      <c r="B653" s="343" t="str">
        <f>"14.2201"</f>
        <v>14.2201</v>
      </c>
      <c r="C653" s="75" t="s">
        <v>2475</v>
      </c>
      <c r="D653" s="127" t="s">
        <v>2477</v>
      </c>
      <c r="E653" s="232"/>
    </row>
    <row r="654" spans="1:5" ht="14.55" customHeight="1" outlineLevel="1" x14ac:dyDescent="0.25">
      <c r="A654" s="230" t="s">
        <v>1422</v>
      </c>
      <c r="B654" s="343" t="str">
        <f>"14.23"</f>
        <v>14.23</v>
      </c>
      <c r="C654" s="75" t="s">
        <v>2478</v>
      </c>
      <c r="D654" s="127" t="s">
        <v>2479</v>
      </c>
      <c r="E654" s="232"/>
    </row>
    <row r="655" spans="1:5" ht="14.55" customHeight="1" outlineLevel="1" x14ac:dyDescent="0.25">
      <c r="A655" s="230" t="s">
        <v>1422</v>
      </c>
      <c r="B655" s="343" t="str">
        <f>"14.2301"</f>
        <v>14.2301</v>
      </c>
      <c r="C655" s="75" t="s">
        <v>2478</v>
      </c>
      <c r="D655" s="127" t="s">
        <v>2480</v>
      </c>
      <c r="E655" s="232"/>
    </row>
    <row r="656" spans="1:5" ht="14.55" customHeight="1" outlineLevel="1" x14ac:dyDescent="0.25">
      <c r="A656" s="230" t="s">
        <v>1422</v>
      </c>
      <c r="B656" s="343" t="str">
        <f>"14.24"</f>
        <v>14.24</v>
      </c>
      <c r="C656" s="75" t="s">
        <v>2481</v>
      </c>
      <c r="D656" s="127" t="s">
        <v>2482</v>
      </c>
      <c r="E656" s="232"/>
    </row>
    <row r="657" spans="1:5" ht="14.55" customHeight="1" outlineLevel="1" x14ac:dyDescent="0.25">
      <c r="A657" s="230" t="s">
        <v>1422</v>
      </c>
      <c r="B657" s="343" t="str">
        <f>"14.2401"</f>
        <v>14.2401</v>
      </c>
      <c r="C657" s="75" t="s">
        <v>2481</v>
      </c>
      <c r="D657" s="127" t="s">
        <v>2483</v>
      </c>
      <c r="E657" s="232"/>
    </row>
    <row r="658" spans="1:5" ht="14.55" customHeight="1" outlineLevel="1" x14ac:dyDescent="0.25">
      <c r="A658" s="230" t="s">
        <v>1422</v>
      </c>
      <c r="B658" s="343" t="str">
        <f>"14.25"</f>
        <v>14.25</v>
      </c>
      <c r="C658" s="75" t="s">
        <v>2484</v>
      </c>
      <c r="D658" s="127" t="s">
        <v>2485</v>
      </c>
      <c r="E658" s="232"/>
    </row>
    <row r="659" spans="1:5" ht="14.55" customHeight="1" outlineLevel="1" x14ac:dyDescent="0.25">
      <c r="A659" s="230" t="s">
        <v>1422</v>
      </c>
      <c r="B659" s="343" t="str">
        <f>"14.2501"</f>
        <v>14.2501</v>
      </c>
      <c r="C659" s="75" t="s">
        <v>2484</v>
      </c>
      <c r="D659" s="127" t="s">
        <v>2486</v>
      </c>
      <c r="E659" s="232"/>
    </row>
    <row r="660" spans="1:5" ht="14.55" customHeight="1" outlineLevel="1" x14ac:dyDescent="0.25">
      <c r="A660" s="230" t="s">
        <v>1422</v>
      </c>
      <c r="B660" s="343" t="str">
        <f>"14.27"</f>
        <v>14.27</v>
      </c>
      <c r="C660" s="75" t="s">
        <v>2487</v>
      </c>
      <c r="D660" s="127" t="s">
        <v>2488</v>
      </c>
      <c r="E660" s="232"/>
    </row>
    <row r="661" spans="1:5" ht="14.55" customHeight="1" outlineLevel="1" x14ac:dyDescent="0.25">
      <c r="A661" s="230" t="s">
        <v>1422</v>
      </c>
      <c r="B661" s="343" t="str">
        <f>"14.2701"</f>
        <v>14.2701</v>
      </c>
      <c r="C661" s="75" t="s">
        <v>2487</v>
      </c>
      <c r="D661" s="127" t="s">
        <v>2489</v>
      </c>
      <c r="E661" s="232"/>
    </row>
    <row r="662" spans="1:5" ht="14.55" customHeight="1" outlineLevel="1" x14ac:dyDescent="0.25">
      <c r="A662" s="230" t="s">
        <v>1422</v>
      </c>
      <c r="B662" s="343" t="str">
        <f>"14.28"</f>
        <v>14.28</v>
      </c>
      <c r="C662" s="75" t="s">
        <v>2490</v>
      </c>
      <c r="D662" s="127" t="s">
        <v>2491</v>
      </c>
      <c r="E662" s="232"/>
    </row>
    <row r="663" spans="1:5" ht="14.55" customHeight="1" outlineLevel="1" x14ac:dyDescent="0.25">
      <c r="A663" s="230" t="s">
        <v>1422</v>
      </c>
      <c r="B663" s="343" t="str">
        <f>"14.2801"</f>
        <v>14.2801</v>
      </c>
      <c r="C663" s="75" t="s">
        <v>2490</v>
      </c>
      <c r="D663" s="127" t="s">
        <v>2492</v>
      </c>
      <c r="E663" s="232"/>
    </row>
    <row r="664" spans="1:5" ht="14.55" customHeight="1" outlineLevel="1" x14ac:dyDescent="0.25">
      <c r="A664" s="230" t="s">
        <v>1422</v>
      </c>
      <c r="B664" s="343" t="str">
        <f>"14.32"</f>
        <v>14.32</v>
      </c>
      <c r="C664" s="75" t="s">
        <v>2493</v>
      </c>
      <c r="D664" s="127" t="s">
        <v>2494</v>
      </c>
      <c r="E664" s="232"/>
    </row>
    <row r="665" spans="1:5" ht="14.55" customHeight="1" outlineLevel="1" x14ac:dyDescent="0.25">
      <c r="A665" s="230" t="s">
        <v>1422</v>
      </c>
      <c r="B665" s="343" t="str">
        <f>"14.3201"</f>
        <v>14.3201</v>
      </c>
      <c r="C665" s="75" t="s">
        <v>2493</v>
      </c>
      <c r="D665" s="127" t="s">
        <v>2495</v>
      </c>
      <c r="E665" s="232"/>
    </row>
    <row r="666" spans="1:5" ht="14.55" customHeight="1" outlineLevel="1" x14ac:dyDescent="0.25">
      <c r="A666" s="230" t="s">
        <v>1422</v>
      </c>
      <c r="B666" s="343" t="str">
        <f>"14.33"</f>
        <v>14.33</v>
      </c>
      <c r="C666" s="75" t="s">
        <v>2496</v>
      </c>
      <c r="D666" s="127" t="s">
        <v>2497</v>
      </c>
      <c r="E666" s="232"/>
    </row>
    <row r="667" spans="1:5" ht="14.55" customHeight="1" outlineLevel="1" x14ac:dyDescent="0.25">
      <c r="A667" s="230" t="s">
        <v>1422</v>
      </c>
      <c r="B667" s="343" t="str">
        <f>"14.3301"</f>
        <v>14.3301</v>
      </c>
      <c r="C667" s="75" t="s">
        <v>2496</v>
      </c>
      <c r="D667" s="127" t="s">
        <v>2498</v>
      </c>
      <c r="E667" s="232"/>
    </row>
    <row r="668" spans="1:5" ht="14.55" customHeight="1" outlineLevel="1" x14ac:dyDescent="0.25">
      <c r="A668" s="230" t="s">
        <v>1422</v>
      </c>
      <c r="B668" s="343" t="str">
        <f>"14.34"</f>
        <v>14.34</v>
      </c>
      <c r="C668" s="75" t="s">
        <v>2499</v>
      </c>
      <c r="D668" s="127" t="s">
        <v>2500</v>
      </c>
      <c r="E668" s="232"/>
    </row>
    <row r="669" spans="1:5" ht="14.55" customHeight="1" outlineLevel="1" x14ac:dyDescent="0.25">
      <c r="A669" s="230" t="s">
        <v>1422</v>
      </c>
      <c r="B669" s="343" t="str">
        <f>"14.3401"</f>
        <v>14.3401</v>
      </c>
      <c r="C669" s="75" t="s">
        <v>2499</v>
      </c>
      <c r="D669" s="127" t="s">
        <v>2501</v>
      </c>
      <c r="E669" s="232"/>
    </row>
    <row r="670" spans="1:5" ht="14.55" customHeight="1" outlineLevel="1" x14ac:dyDescent="0.25">
      <c r="A670" s="230" t="s">
        <v>1422</v>
      </c>
      <c r="B670" s="343" t="str">
        <f>"14.35"</f>
        <v>14.35</v>
      </c>
      <c r="C670" s="75" t="s">
        <v>2502</v>
      </c>
      <c r="D670" s="127" t="s">
        <v>2503</v>
      </c>
      <c r="E670" s="232"/>
    </row>
    <row r="671" spans="1:5" ht="14.55" customHeight="1" outlineLevel="1" x14ac:dyDescent="0.25">
      <c r="A671" s="230" t="s">
        <v>1422</v>
      </c>
      <c r="B671" s="343" t="str">
        <f>"14.3501"</f>
        <v>14.3501</v>
      </c>
      <c r="C671" s="75" t="s">
        <v>2502</v>
      </c>
      <c r="D671" s="127" t="s">
        <v>2504</v>
      </c>
      <c r="E671" s="232"/>
    </row>
    <row r="672" spans="1:5" ht="14.55" customHeight="1" outlineLevel="1" x14ac:dyDescent="0.25">
      <c r="A672" s="230" t="s">
        <v>1422</v>
      </c>
      <c r="B672" s="343" t="str">
        <f>"14.36"</f>
        <v>14.36</v>
      </c>
      <c r="C672" s="75" t="s">
        <v>2505</v>
      </c>
      <c r="D672" s="127" t="s">
        <v>2506</v>
      </c>
      <c r="E672" s="232"/>
    </row>
    <row r="673" spans="1:5" ht="14.55" customHeight="1" outlineLevel="1" x14ac:dyDescent="0.25">
      <c r="A673" s="230" t="s">
        <v>1422</v>
      </c>
      <c r="B673" s="343" t="str">
        <f>"14.3601"</f>
        <v>14.3601</v>
      </c>
      <c r="C673" s="75" t="s">
        <v>2505</v>
      </c>
      <c r="D673" s="127" t="s">
        <v>2507</v>
      </c>
      <c r="E673" s="232"/>
    </row>
    <row r="674" spans="1:5" ht="14.55" customHeight="1" outlineLevel="1" x14ac:dyDescent="0.25">
      <c r="A674" s="230" t="s">
        <v>1422</v>
      </c>
      <c r="B674" s="343" t="str">
        <f>"14.37"</f>
        <v>14.37</v>
      </c>
      <c r="C674" s="75" t="s">
        <v>2508</v>
      </c>
      <c r="D674" s="127" t="s">
        <v>2509</v>
      </c>
      <c r="E674" s="232"/>
    </row>
    <row r="675" spans="1:5" ht="14.55" customHeight="1" outlineLevel="1" x14ac:dyDescent="0.25">
      <c r="A675" s="230" t="s">
        <v>1422</v>
      </c>
      <c r="B675" s="343" t="str">
        <f>"14.3701"</f>
        <v>14.3701</v>
      </c>
      <c r="C675" s="75" t="s">
        <v>2508</v>
      </c>
      <c r="D675" s="127" t="s">
        <v>2510</v>
      </c>
      <c r="E675" s="232"/>
    </row>
    <row r="676" spans="1:5" ht="14.55" customHeight="1" outlineLevel="1" x14ac:dyDescent="0.25">
      <c r="A676" s="230" t="s">
        <v>1422</v>
      </c>
      <c r="B676" s="343" t="str">
        <f>"14.38"</f>
        <v>14.38</v>
      </c>
      <c r="C676" s="75" t="s">
        <v>2511</v>
      </c>
      <c r="D676" s="127" t="s">
        <v>2512</v>
      </c>
      <c r="E676" s="232"/>
    </row>
    <row r="677" spans="1:5" ht="14.55" customHeight="1" outlineLevel="1" x14ac:dyDescent="0.25">
      <c r="A677" s="230" t="s">
        <v>1422</v>
      </c>
      <c r="B677" s="343" t="str">
        <f>"14.3801"</f>
        <v>14.3801</v>
      </c>
      <c r="C677" s="75" t="s">
        <v>2511</v>
      </c>
      <c r="D677" s="127" t="s">
        <v>2513</v>
      </c>
      <c r="E677" s="232"/>
    </row>
    <row r="678" spans="1:5" ht="14.55" customHeight="1" outlineLevel="1" x14ac:dyDescent="0.25">
      <c r="A678" s="230" t="s">
        <v>1422</v>
      </c>
      <c r="B678" s="343" t="str">
        <f>"14.39"</f>
        <v>14.39</v>
      </c>
      <c r="C678" s="75" t="s">
        <v>2514</v>
      </c>
      <c r="D678" s="127" t="s">
        <v>2515</v>
      </c>
      <c r="E678" s="232"/>
    </row>
    <row r="679" spans="1:5" ht="14.55" customHeight="1" outlineLevel="1" x14ac:dyDescent="0.25">
      <c r="A679" s="230" t="s">
        <v>1422</v>
      </c>
      <c r="B679" s="343" t="str">
        <f>"14.3901"</f>
        <v>14.3901</v>
      </c>
      <c r="C679" s="75" t="s">
        <v>2514</v>
      </c>
      <c r="D679" s="127" t="s">
        <v>2516</v>
      </c>
      <c r="E679" s="232"/>
    </row>
    <row r="680" spans="1:5" ht="14.55" customHeight="1" outlineLevel="1" x14ac:dyDescent="0.25">
      <c r="A680" s="230" t="s">
        <v>1422</v>
      </c>
      <c r="B680" s="343" t="str">
        <f>"14.40"</f>
        <v>14.40</v>
      </c>
      <c r="C680" s="75" t="s">
        <v>2517</v>
      </c>
      <c r="D680" s="127" t="s">
        <v>2518</v>
      </c>
      <c r="E680" s="232"/>
    </row>
    <row r="681" spans="1:5" ht="14.55" customHeight="1" outlineLevel="1" x14ac:dyDescent="0.25">
      <c r="A681" s="230" t="s">
        <v>1422</v>
      </c>
      <c r="B681" s="343" t="str">
        <f>"14.4001"</f>
        <v>14.4001</v>
      </c>
      <c r="C681" s="75" t="s">
        <v>2517</v>
      </c>
      <c r="D681" s="127" t="s">
        <v>2519</v>
      </c>
      <c r="E681" s="232"/>
    </row>
    <row r="682" spans="1:5" ht="14.55" customHeight="1" outlineLevel="1" x14ac:dyDescent="0.25">
      <c r="A682" s="230" t="s">
        <v>1422</v>
      </c>
      <c r="B682" s="343" t="str">
        <f>"14.41"</f>
        <v>14.41</v>
      </c>
      <c r="C682" s="75" t="s">
        <v>2520</v>
      </c>
      <c r="D682" s="127" t="s">
        <v>2521</v>
      </c>
      <c r="E682" s="232"/>
    </row>
    <row r="683" spans="1:5" ht="14.55" customHeight="1" outlineLevel="1" x14ac:dyDescent="0.25">
      <c r="A683" s="230" t="s">
        <v>1422</v>
      </c>
      <c r="B683" s="343" t="str">
        <f>"14.4101"</f>
        <v>14.4101</v>
      </c>
      <c r="C683" s="75" t="s">
        <v>2520</v>
      </c>
      <c r="D683" s="127" t="s">
        <v>2522</v>
      </c>
      <c r="E683" s="232"/>
    </row>
    <row r="684" spans="1:5" ht="14.55" customHeight="1" outlineLevel="1" x14ac:dyDescent="0.25">
      <c r="A684" s="230" t="s">
        <v>1422</v>
      </c>
      <c r="B684" s="343" t="str">
        <f>"14.42"</f>
        <v>14.42</v>
      </c>
      <c r="C684" s="75" t="s">
        <v>2523</v>
      </c>
      <c r="D684" s="127" t="s">
        <v>2524</v>
      </c>
      <c r="E684" s="232"/>
    </row>
    <row r="685" spans="1:5" ht="14.55" customHeight="1" outlineLevel="1" x14ac:dyDescent="0.25">
      <c r="A685" s="230" t="s">
        <v>1422</v>
      </c>
      <c r="B685" s="343" t="str">
        <f>"14.4201"</f>
        <v>14.4201</v>
      </c>
      <c r="C685" s="75" t="s">
        <v>2523</v>
      </c>
      <c r="D685" s="127" t="s">
        <v>2525</v>
      </c>
      <c r="E685" s="232"/>
    </row>
    <row r="686" spans="1:5" ht="14.55" customHeight="1" outlineLevel="1" x14ac:dyDescent="0.25">
      <c r="A686" s="230" t="s">
        <v>1422</v>
      </c>
      <c r="B686" s="343" t="str">
        <f>"14.43"</f>
        <v>14.43</v>
      </c>
      <c r="C686" s="75" t="s">
        <v>2526</v>
      </c>
      <c r="D686" s="127" t="s">
        <v>2527</v>
      </c>
      <c r="E686" s="232"/>
    </row>
    <row r="687" spans="1:5" ht="14.55" customHeight="1" outlineLevel="1" x14ac:dyDescent="0.25">
      <c r="A687" s="230" t="s">
        <v>1422</v>
      </c>
      <c r="B687" s="343" t="str">
        <f>"14.4301"</f>
        <v>14.4301</v>
      </c>
      <c r="C687" s="75" t="s">
        <v>2526</v>
      </c>
      <c r="D687" s="127" t="s">
        <v>2528</v>
      </c>
      <c r="E687" s="232"/>
    </row>
    <row r="688" spans="1:5" ht="14.55" customHeight="1" outlineLevel="1" x14ac:dyDescent="0.25">
      <c r="A688" s="230" t="s">
        <v>1422</v>
      </c>
      <c r="B688" s="343" t="str">
        <f>"14.44"</f>
        <v>14.44</v>
      </c>
      <c r="C688" s="75" t="s">
        <v>2529</v>
      </c>
      <c r="D688" s="127" t="s">
        <v>2530</v>
      </c>
      <c r="E688" s="232"/>
    </row>
    <row r="689" spans="1:5" ht="14.55" customHeight="1" outlineLevel="1" x14ac:dyDescent="0.25">
      <c r="A689" s="230" t="s">
        <v>1422</v>
      </c>
      <c r="B689" s="343" t="str">
        <f>"14.4401"</f>
        <v>14.4401</v>
      </c>
      <c r="C689" s="75" t="s">
        <v>2529</v>
      </c>
      <c r="D689" s="127" t="s">
        <v>2531</v>
      </c>
      <c r="E689" s="232"/>
    </row>
    <row r="690" spans="1:5" ht="14.55" customHeight="1" outlineLevel="1" x14ac:dyDescent="0.25">
      <c r="A690" s="230" t="s">
        <v>1422</v>
      </c>
      <c r="B690" s="343" t="str">
        <f>"14.45"</f>
        <v>14.45</v>
      </c>
      <c r="C690" s="75" t="s">
        <v>2532</v>
      </c>
      <c r="D690" s="127" t="s">
        <v>2533</v>
      </c>
      <c r="E690" s="232"/>
    </row>
    <row r="691" spans="1:5" ht="14.55" customHeight="1" outlineLevel="1" x14ac:dyDescent="0.25">
      <c r="A691" s="230" t="s">
        <v>1422</v>
      </c>
      <c r="B691" s="343" t="str">
        <f>"14.4501"</f>
        <v>14.4501</v>
      </c>
      <c r="C691" s="75" t="s">
        <v>2532</v>
      </c>
      <c r="D691" s="127" t="s">
        <v>2534</v>
      </c>
      <c r="E691" s="232"/>
    </row>
    <row r="692" spans="1:5" ht="14.55" customHeight="1" outlineLevel="1" x14ac:dyDescent="0.25">
      <c r="A692" s="230" t="s">
        <v>1422</v>
      </c>
      <c r="B692" s="343" t="str">
        <f>"14.47"</f>
        <v>14.47</v>
      </c>
      <c r="C692" s="75" t="s">
        <v>2535</v>
      </c>
      <c r="D692" s="127" t="s">
        <v>2536</v>
      </c>
      <c r="E692" s="232"/>
    </row>
    <row r="693" spans="1:5" ht="14.55" customHeight="1" outlineLevel="1" x14ac:dyDescent="0.25">
      <c r="A693" s="230" t="s">
        <v>1422</v>
      </c>
      <c r="B693" s="343" t="str">
        <f>"14.4701"</f>
        <v>14.4701</v>
      </c>
      <c r="C693" s="75" t="s">
        <v>2535</v>
      </c>
      <c r="D693" s="127" t="s">
        <v>2537</v>
      </c>
      <c r="E693" s="232"/>
    </row>
    <row r="694" spans="1:5" ht="14.55" customHeight="1" outlineLevel="1" x14ac:dyDescent="0.25">
      <c r="A694" s="230" t="s">
        <v>1422</v>
      </c>
      <c r="B694" s="343" t="str">
        <f>"14.48"</f>
        <v>14.48</v>
      </c>
      <c r="C694" s="75" t="s">
        <v>2538</v>
      </c>
      <c r="D694" s="127" t="s">
        <v>2539</v>
      </c>
      <c r="E694" s="232"/>
    </row>
    <row r="695" spans="1:5" ht="14.55" customHeight="1" outlineLevel="1" x14ac:dyDescent="0.25">
      <c r="A695" s="230" t="s">
        <v>1422</v>
      </c>
      <c r="B695" s="343" t="str">
        <f>"14.4801"</f>
        <v>14.4801</v>
      </c>
      <c r="C695" s="75" t="s">
        <v>2540</v>
      </c>
      <c r="D695" s="127" t="s">
        <v>2541</v>
      </c>
      <c r="E695" s="232"/>
    </row>
    <row r="696" spans="1:5" ht="14.55" customHeight="1" outlineLevel="1" x14ac:dyDescent="0.25">
      <c r="A696" s="230" t="s">
        <v>1422</v>
      </c>
      <c r="B696" s="343" t="str">
        <f>"14.4802"</f>
        <v>14.4802</v>
      </c>
      <c r="C696" s="75" t="s">
        <v>2542</v>
      </c>
      <c r="D696" s="127" t="s">
        <v>2543</v>
      </c>
      <c r="E696" s="232"/>
    </row>
    <row r="697" spans="1:5" ht="14.55" customHeight="1" outlineLevel="1" x14ac:dyDescent="0.25">
      <c r="A697" s="230" t="s">
        <v>1422</v>
      </c>
      <c r="B697" s="343" t="str">
        <f>"14.4899"</f>
        <v>14.4899</v>
      </c>
      <c r="C697" s="75" t="s">
        <v>2544</v>
      </c>
      <c r="D697" s="127" t="s">
        <v>2545</v>
      </c>
      <c r="E697" s="232"/>
    </row>
    <row r="698" spans="1:5" ht="14.55" customHeight="1" outlineLevel="1" x14ac:dyDescent="0.25">
      <c r="A698" s="230" t="s">
        <v>1422</v>
      </c>
      <c r="B698" s="343" t="str">
        <f>"14.99"</f>
        <v>14.99</v>
      </c>
      <c r="C698" s="75" t="s">
        <v>2546</v>
      </c>
      <c r="D698" s="127" t="s">
        <v>2547</v>
      </c>
      <c r="E698" s="232"/>
    </row>
    <row r="699" spans="1:5" ht="14.55" customHeight="1" outlineLevel="1" x14ac:dyDescent="0.25">
      <c r="A699" s="230" t="s">
        <v>1422</v>
      </c>
      <c r="B699" s="343" t="str">
        <f>"14.9999"</f>
        <v>14.9999</v>
      </c>
      <c r="C699" s="75" t="s">
        <v>2546</v>
      </c>
      <c r="D699" s="127" t="s">
        <v>2548</v>
      </c>
      <c r="E699" s="232"/>
    </row>
    <row r="700" spans="1:5" ht="14.55" customHeight="1" outlineLevel="1" x14ac:dyDescent="0.25">
      <c r="A700" s="230" t="s">
        <v>1422</v>
      </c>
      <c r="B700" s="343" t="str">
        <f>"15"</f>
        <v>15</v>
      </c>
      <c r="C700" s="75" t="s">
        <v>2549</v>
      </c>
      <c r="D700" s="127" t="s">
        <v>2550</v>
      </c>
      <c r="E700" s="232"/>
    </row>
    <row r="701" spans="1:5" ht="14.55" customHeight="1" outlineLevel="1" x14ac:dyDescent="0.25">
      <c r="A701" s="230" t="s">
        <v>1422</v>
      </c>
      <c r="B701" s="343" t="str">
        <f>"15.00"</f>
        <v>15.00</v>
      </c>
      <c r="C701" s="75" t="s">
        <v>2551</v>
      </c>
      <c r="D701" s="127" t="s">
        <v>2552</v>
      </c>
      <c r="E701" s="232"/>
    </row>
    <row r="702" spans="1:5" ht="14.55" customHeight="1" outlineLevel="1" x14ac:dyDescent="0.25">
      <c r="A702" s="230" t="s">
        <v>1422</v>
      </c>
      <c r="B702" s="343" t="str">
        <f>"15.0000"</f>
        <v>15.0000</v>
      </c>
      <c r="C702" s="75" t="s">
        <v>2551</v>
      </c>
      <c r="D702" s="127" t="s">
        <v>2553</v>
      </c>
      <c r="E702" s="232"/>
    </row>
    <row r="703" spans="1:5" ht="14.55" customHeight="1" outlineLevel="1" x14ac:dyDescent="0.25">
      <c r="A703" s="230" t="s">
        <v>1422</v>
      </c>
      <c r="B703" s="343" t="str">
        <f>"15.0001"</f>
        <v>15.0001</v>
      </c>
      <c r="C703" s="75" t="s">
        <v>2554</v>
      </c>
      <c r="D703" s="127" t="s">
        <v>2555</v>
      </c>
      <c r="E703" s="232"/>
    </row>
    <row r="704" spans="1:5" ht="14.55" customHeight="1" outlineLevel="1" x14ac:dyDescent="0.25">
      <c r="A704" s="230" t="s">
        <v>1422</v>
      </c>
      <c r="B704" s="343" t="str">
        <f>"15.01"</f>
        <v>15.01</v>
      </c>
      <c r="C704" s="75" t="s">
        <v>2556</v>
      </c>
      <c r="D704" s="127" t="s">
        <v>2557</v>
      </c>
      <c r="E704" s="232"/>
    </row>
    <row r="705" spans="1:5" ht="14.55" customHeight="1" outlineLevel="1" x14ac:dyDescent="0.25">
      <c r="A705" s="230" t="s">
        <v>1422</v>
      </c>
      <c r="B705" s="343" t="str">
        <f>"15.0101"</f>
        <v>15.0101</v>
      </c>
      <c r="C705" s="75" t="s">
        <v>2556</v>
      </c>
      <c r="D705" s="127" t="s">
        <v>2558</v>
      </c>
      <c r="E705" s="232"/>
    </row>
    <row r="706" spans="1:5" ht="14.55" customHeight="1" outlineLevel="1" x14ac:dyDescent="0.25">
      <c r="A706" s="230" t="s">
        <v>1422</v>
      </c>
      <c r="B706" s="343" t="str">
        <f>"15.02"</f>
        <v>15.02</v>
      </c>
      <c r="C706" s="75" t="s">
        <v>2559</v>
      </c>
      <c r="D706" s="127" t="s">
        <v>2560</v>
      </c>
      <c r="E706" s="232"/>
    </row>
    <row r="707" spans="1:5" ht="14.55" customHeight="1" outlineLevel="1" x14ac:dyDescent="0.25">
      <c r="A707" s="230" t="s">
        <v>1422</v>
      </c>
      <c r="B707" s="343" t="str">
        <f>"15.0201"</f>
        <v>15.0201</v>
      </c>
      <c r="C707" s="75" t="s">
        <v>2559</v>
      </c>
      <c r="D707" s="127" t="s">
        <v>2561</v>
      </c>
      <c r="E707" s="232"/>
    </row>
    <row r="708" spans="1:5" ht="14.55" customHeight="1" outlineLevel="1" x14ac:dyDescent="0.25">
      <c r="A708" s="230" t="s">
        <v>1422</v>
      </c>
      <c r="B708" s="343" t="str">
        <f>"15.03"</f>
        <v>15.03</v>
      </c>
      <c r="C708" s="75" t="s">
        <v>2562</v>
      </c>
      <c r="D708" s="127" t="s">
        <v>2563</v>
      </c>
      <c r="E708" s="232"/>
    </row>
    <row r="709" spans="1:5" ht="14.55" customHeight="1" outlineLevel="1" x14ac:dyDescent="0.25">
      <c r="A709" s="230" t="s">
        <v>1422</v>
      </c>
      <c r="B709" s="343" t="str">
        <f>"15.0303"</f>
        <v>15.0303</v>
      </c>
      <c r="C709" s="75" t="s">
        <v>2564</v>
      </c>
      <c r="D709" s="127" t="s">
        <v>2565</v>
      </c>
      <c r="E709" s="232"/>
    </row>
    <row r="710" spans="1:5" ht="14.55" customHeight="1" outlineLevel="1" x14ac:dyDescent="0.25">
      <c r="A710" s="230" t="s">
        <v>1422</v>
      </c>
      <c r="B710" s="343" t="str">
        <f>"15.0304"</f>
        <v>15.0304</v>
      </c>
      <c r="C710" s="75" t="s">
        <v>2566</v>
      </c>
      <c r="D710" s="127" t="s">
        <v>2567</v>
      </c>
      <c r="E710" s="232"/>
    </row>
    <row r="711" spans="1:5" ht="14.55" customHeight="1" outlineLevel="1" x14ac:dyDescent="0.25">
      <c r="A711" s="230" t="s">
        <v>1422</v>
      </c>
      <c r="B711" s="343" t="str">
        <f>"15.0305"</f>
        <v>15.0305</v>
      </c>
      <c r="C711" s="75" t="s">
        <v>2568</v>
      </c>
      <c r="D711" s="127" t="s">
        <v>2569</v>
      </c>
      <c r="E711" s="232"/>
    </row>
    <row r="712" spans="1:5" ht="14.55" customHeight="1" outlineLevel="1" x14ac:dyDescent="0.25">
      <c r="A712" s="230" t="s">
        <v>1422</v>
      </c>
      <c r="B712" s="343" t="str">
        <f>"15.0306"</f>
        <v>15.0306</v>
      </c>
      <c r="C712" s="75" t="s">
        <v>2570</v>
      </c>
      <c r="D712" s="127" t="s">
        <v>2571</v>
      </c>
      <c r="E712" s="232"/>
    </row>
    <row r="713" spans="1:5" ht="14.55" customHeight="1" outlineLevel="1" x14ac:dyDescent="0.25">
      <c r="A713" s="230" t="s">
        <v>1422</v>
      </c>
      <c r="B713" s="343" t="str">
        <f>"15.0307"</f>
        <v>15.0307</v>
      </c>
      <c r="C713" s="75" t="s">
        <v>2572</v>
      </c>
      <c r="D713" s="127" t="s">
        <v>2573</v>
      </c>
      <c r="E713" s="232"/>
    </row>
    <row r="714" spans="1:5" ht="14.55" customHeight="1" outlineLevel="1" x14ac:dyDescent="0.25">
      <c r="A714" s="230" t="s">
        <v>1422</v>
      </c>
      <c r="B714" s="343" t="str">
        <f>"15.0399"</f>
        <v>15.0399</v>
      </c>
      <c r="C714" s="75" t="s">
        <v>2574</v>
      </c>
      <c r="D714" s="127" t="s">
        <v>2575</v>
      </c>
      <c r="E714" s="232"/>
    </row>
    <row r="715" spans="1:5" ht="14.55" customHeight="1" outlineLevel="1" x14ac:dyDescent="0.25">
      <c r="A715" s="230" t="s">
        <v>1422</v>
      </c>
      <c r="B715" s="343" t="str">
        <f>"15.04"</f>
        <v>15.04</v>
      </c>
      <c r="C715" s="75" t="s">
        <v>2576</v>
      </c>
      <c r="D715" s="127" t="s">
        <v>2577</v>
      </c>
      <c r="E715" s="232"/>
    </row>
    <row r="716" spans="1:5" ht="14.55" customHeight="1" outlineLevel="1" x14ac:dyDescent="0.25">
      <c r="A716" s="230" t="s">
        <v>1422</v>
      </c>
      <c r="B716" s="343" t="str">
        <f>"15.0401"</f>
        <v>15.0401</v>
      </c>
      <c r="C716" s="75" t="s">
        <v>2578</v>
      </c>
      <c r="D716" s="127" t="s">
        <v>2579</v>
      </c>
      <c r="E716" s="232"/>
    </row>
    <row r="717" spans="1:5" ht="14.55" customHeight="1" outlineLevel="1" x14ac:dyDescent="0.25">
      <c r="A717" s="230" t="s">
        <v>1422</v>
      </c>
      <c r="B717" s="343" t="str">
        <f>"15.0403"</f>
        <v>15.0403</v>
      </c>
      <c r="C717" s="75" t="s">
        <v>2580</v>
      </c>
      <c r="D717" s="127" t="s">
        <v>2581</v>
      </c>
      <c r="E717" s="232"/>
    </row>
    <row r="718" spans="1:5" ht="14.55" customHeight="1" outlineLevel="1" x14ac:dyDescent="0.25">
      <c r="A718" s="230" t="s">
        <v>1422</v>
      </c>
      <c r="B718" s="343" t="str">
        <f>"15.0404"</f>
        <v>15.0404</v>
      </c>
      <c r="C718" s="75" t="s">
        <v>2582</v>
      </c>
      <c r="D718" s="127" t="s">
        <v>2583</v>
      </c>
      <c r="E718" s="232"/>
    </row>
    <row r="719" spans="1:5" ht="14.55" customHeight="1" outlineLevel="1" x14ac:dyDescent="0.25">
      <c r="A719" s="230" t="s">
        <v>1422</v>
      </c>
      <c r="B719" s="343" t="str">
        <f>"15.0405"</f>
        <v>15.0405</v>
      </c>
      <c r="C719" s="75" t="s">
        <v>2584</v>
      </c>
      <c r="D719" s="127" t="s">
        <v>2585</v>
      </c>
      <c r="E719" s="232"/>
    </row>
    <row r="720" spans="1:5" ht="14.55" customHeight="1" outlineLevel="1" x14ac:dyDescent="0.25">
      <c r="A720" s="230" t="s">
        <v>1422</v>
      </c>
      <c r="B720" s="343" t="str">
        <f>"15.0406"</f>
        <v>15.0406</v>
      </c>
      <c r="C720" s="75" t="s">
        <v>2586</v>
      </c>
      <c r="D720" s="127" t="s">
        <v>2587</v>
      </c>
      <c r="E720" s="232"/>
    </row>
    <row r="721" spans="1:5" ht="14.55" customHeight="1" outlineLevel="1" x14ac:dyDescent="0.25">
      <c r="A721" s="230" t="s">
        <v>1422</v>
      </c>
      <c r="B721" s="343" t="str">
        <f>"15.0407"</f>
        <v>15.0407</v>
      </c>
      <c r="C721" s="75" t="s">
        <v>2588</v>
      </c>
      <c r="D721" s="127" t="s">
        <v>2589</v>
      </c>
      <c r="E721" s="232"/>
    </row>
    <row r="722" spans="1:5" ht="14.55" customHeight="1" outlineLevel="1" x14ac:dyDescent="0.25">
      <c r="A722" s="230" t="s">
        <v>1422</v>
      </c>
      <c r="B722" s="343" t="str">
        <f>"15.0499"</f>
        <v>15.0499</v>
      </c>
      <c r="C722" s="75" t="s">
        <v>2590</v>
      </c>
      <c r="D722" s="127" t="s">
        <v>2591</v>
      </c>
      <c r="E722" s="232"/>
    </row>
    <row r="723" spans="1:5" ht="14.55" customHeight="1" outlineLevel="1" x14ac:dyDescent="0.25">
      <c r="A723" s="230" t="s">
        <v>1422</v>
      </c>
      <c r="B723" s="343" t="str">
        <f>"15.05"</f>
        <v>15.05</v>
      </c>
      <c r="C723" s="75" t="s">
        <v>2592</v>
      </c>
      <c r="D723" s="127" t="s">
        <v>2593</v>
      </c>
      <c r="E723" s="232"/>
    </row>
    <row r="724" spans="1:5" ht="14.55" customHeight="1" outlineLevel="1" x14ac:dyDescent="0.25">
      <c r="A724" s="230" t="s">
        <v>1422</v>
      </c>
      <c r="B724" s="343" t="str">
        <f>"15.0501"</f>
        <v>15.0501</v>
      </c>
      <c r="C724" s="75" t="s">
        <v>2594</v>
      </c>
      <c r="D724" s="127" t="s">
        <v>2595</v>
      </c>
      <c r="E724" s="232"/>
    </row>
    <row r="725" spans="1:5" ht="14.55" customHeight="1" outlineLevel="1" x14ac:dyDescent="0.25">
      <c r="A725" s="230" t="s">
        <v>1422</v>
      </c>
      <c r="B725" s="343" t="str">
        <f>"15.0506"</f>
        <v>15.0506</v>
      </c>
      <c r="C725" s="75" t="s">
        <v>2596</v>
      </c>
      <c r="D725" s="127" t="s">
        <v>2597</v>
      </c>
      <c r="E725" s="232"/>
    </row>
    <row r="726" spans="1:5" ht="14.55" customHeight="1" outlineLevel="1" x14ac:dyDescent="0.25">
      <c r="A726" s="230" t="s">
        <v>1422</v>
      </c>
      <c r="B726" s="343" t="str">
        <f>"15.0507"</f>
        <v>15.0507</v>
      </c>
      <c r="C726" s="75" t="s">
        <v>2598</v>
      </c>
      <c r="D726" s="127" t="s">
        <v>2599</v>
      </c>
      <c r="E726" s="232"/>
    </row>
    <row r="727" spans="1:5" ht="14.55" customHeight="1" outlineLevel="1" x14ac:dyDescent="0.25">
      <c r="A727" s="230" t="s">
        <v>1422</v>
      </c>
      <c r="B727" s="343" t="str">
        <f>"15.0508"</f>
        <v>15.0508</v>
      </c>
      <c r="C727" s="75" t="s">
        <v>2600</v>
      </c>
      <c r="D727" s="127" t="s">
        <v>2601</v>
      </c>
      <c r="E727" s="232"/>
    </row>
    <row r="728" spans="1:5" ht="14.55" customHeight="1" outlineLevel="1" x14ac:dyDescent="0.25">
      <c r="A728" s="230" t="s">
        <v>1422</v>
      </c>
      <c r="B728" s="343" t="str">
        <f>"15.0599"</f>
        <v>15.0599</v>
      </c>
      <c r="C728" s="75" t="s">
        <v>2602</v>
      </c>
      <c r="D728" s="127" t="s">
        <v>2603</v>
      </c>
      <c r="E728" s="232"/>
    </row>
    <row r="729" spans="1:5" ht="14.55" customHeight="1" outlineLevel="1" x14ac:dyDescent="0.25">
      <c r="A729" s="230" t="s">
        <v>1422</v>
      </c>
      <c r="B729" s="343" t="str">
        <f>"15.06"</f>
        <v>15.06</v>
      </c>
      <c r="C729" s="75" t="s">
        <v>2604</v>
      </c>
      <c r="D729" s="127" t="s">
        <v>2605</v>
      </c>
      <c r="E729" s="232"/>
    </row>
    <row r="730" spans="1:5" ht="14.55" customHeight="1" outlineLevel="1" x14ac:dyDescent="0.25">
      <c r="A730" s="230" t="s">
        <v>1422</v>
      </c>
      <c r="B730" s="343" t="str">
        <f>"15.0607"</f>
        <v>15.0607</v>
      </c>
      <c r="C730" s="75" t="s">
        <v>2606</v>
      </c>
      <c r="D730" s="127" t="s">
        <v>2607</v>
      </c>
      <c r="E730" s="232"/>
    </row>
    <row r="731" spans="1:5" ht="14.55" customHeight="1" outlineLevel="1" x14ac:dyDescent="0.25">
      <c r="A731" s="230" t="s">
        <v>1422</v>
      </c>
      <c r="B731" s="343" t="str">
        <f>"15.0611"</f>
        <v>15.0611</v>
      </c>
      <c r="C731" s="75" t="s">
        <v>2608</v>
      </c>
      <c r="D731" s="127" t="s">
        <v>2609</v>
      </c>
      <c r="E731" s="232"/>
    </row>
    <row r="732" spans="1:5" ht="14.55" customHeight="1" outlineLevel="1" x14ac:dyDescent="0.25">
      <c r="A732" s="230" t="s">
        <v>1422</v>
      </c>
      <c r="B732" s="343" t="str">
        <f>"15.0612"</f>
        <v>15.0612</v>
      </c>
      <c r="C732" s="75" t="s">
        <v>2610</v>
      </c>
      <c r="D732" s="127" t="s">
        <v>2611</v>
      </c>
      <c r="E732" s="232"/>
    </row>
    <row r="733" spans="1:5" ht="14.55" customHeight="1" outlineLevel="1" x14ac:dyDescent="0.25">
      <c r="A733" s="230" t="s">
        <v>1422</v>
      </c>
      <c r="B733" s="343" t="str">
        <f>"15.0613"</f>
        <v>15.0613</v>
      </c>
      <c r="C733" s="75" t="s">
        <v>2612</v>
      </c>
      <c r="D733" s="127" t="s">
        <v>2613</v>
      </c>
      <c r="E733" s="232"/>
    </row>
    <row r="734" spans="1:5" ht="14.55" customHeight="1" outlineLevel="1" x14ac:dyDescent="0.25">
      <c r="A734" s="230" t="s">
        <v>1422</v>
      </c>
      <c r="B734" s="343" t="str">
        <f>"15.0614"</f>
        <v>15.0614</v>
      </c>
      <c r="C734" s="75" t="s">
        <v>2614</v>
      </c>
      <c r="D734" s="127" t="s">
        <v>2615</v>
      </c>
      <c r="E734" s="232"/>
    </row>
    <row r="735" spans="1:5" ht="14.55" customHeight="1" outlineLevel="1" x14ac:dyDescent="0.25">
      <c r="A735" s="230" t="s">
        <v>1422</v>
      </c>
      <c r="B735" s="343" t="str">
        <f>"15.0615"</f>
        <v>15.0615</v>
      </c>
      <c r="C735" s="75" t="s">
        <v>2616</v>
      </c>
      <c r="D735" s="127" t="s">
        <v>2617</v>
      </c>
      <c r="E735" s="232"/>
    </row>
    <row r="736" spans="1:5" ht="14.55" customHeight="1" outlineLevel="1" x14ac:dyDescent="0.25">
      <c r="A736" s="230" t="s">
        <v>1422</v>
      </c>
      <c r="B736" s="343" t="str">
        <f>"15.0616"</f>
        <v>15.0616</v>
      </c>
      <c r="C736" s="75" t="s">
        <v>2618</v>
      </c>
      <c r="D736" s="127" t="s">
        <v>2619</v>
      </c>
      <c r="E736" s="232"/>
    </row>
    <row r="737" spans="1:5" ht="14.55" customHeight="1" outlineLevel="1" x14ac:dyDescent="0.25">
      <c r="A737" s="230" t="s">
        <v>1422</v>
      </c>
      <c r="B737" s="343" t="str">
        <f>"15.0617"</f>
        <v>15.0617</v>
      </c>
      <c r="C737" s="75" t="s">
        <v>2620</v>
      </c>
      <c r="D737" s="127" t="s">
        <v>2621</v>
      </c>
      <c r="E737" s="232"/>
    </row>
    <row r="738" spans="1:5" ht="14.55" customHeight="1" outlineLevel="1" x14ac:dyDescent="0.25">
      <c r="A738" s="230" t="s">
        <v>1422</v>
      </c>
      <c r="B738" s="343" t="str">
        <f>"15.0699"</f>
        <v>15.0699</v>
      </c>
      <c r="C738" s="75" t="s">
        <v>2622</v>
      </c>
      <c r="D738" s="127" t="s">
        <v>2623</v>
      </c>
      <c r="E738" s="232"/>
    </row>
    <row r="739" spans="1:5" ht="14.55" customHeight="1" outlineLevel="1" x14ac:dyDescent="0.25">
      <c r="A739" s="230" t="s">
        <v>1422</v>
      </c>
      <c r="B739" s="343" t="str">
        <f>"15.07"</f>
        <v>15.07</v>
      </c>
      <c r="C739" s="75" t="s">
        <v>2624</v>
      </c>
      <c r="D739" s="127" t="s">
        <v>2625</v>
      </c>
      <c r="E739" s="232"/>
    </row>
    <row r="740" spans="1:5" ht="14.55" customHeight="1" outlineLevel="1" x14ac:dyDescent="0.25">
      <c r="A740" s="230" t="s">
        <v>1422</v>
      </c>
      <c r="B740" s="343" t="str">
        <f>"15.0701"</f>
        <v>15.0701</v>
      </c>
      <c r="C740" s="75" t="s">
        <v>2626</v>
      </c>
      <c r="D740" s="127" t="s">
        <v>2627</v>
      </c>
      <c r="E740" s="232"/>
    </row>
    <row r="741" spans="1:5" ht="14.55" customHeight="1" outlineLevel="1" x14ac:dyDescent="0.25">
      <c r="A741" s="230" t="s">
        <v>1422</v>
      </c>
      <c r="B741" s="343" t="str">
        <f>"15.0702"</f>
        <v>15.0702</v>
      </c>
      <c r="C741" s="75" t="s">
        <v>2628</v>
      </c>
      <c r="D741" s="127" t="s">
        <v>2629</v>
      </c>
      <c r="E741" s="232"/>
    </row>
    <row r="742" spans="1:5" ht="14.55" customHeight="1" outlineLevel="1" x14ac:dyDescent="0.25">
      <c r="A742" s="230" t="s">
        <v>1422</v>
      </c>
      <c r="B742" s="343" t="str">
        <f>"15.0703"</f>
        <v>15.0703</v>
      </c>
      <c r="C742" s="75" t="s">
        <v>2630</v>
      </c>
      <c r="D742" s="127" t="s">
        <v>2631</v>
      </c>
      <c r="E742" s="232"/>
    </row>
    <row r="743" spans="1:5" ht="14.55" customHeight="1" outlineLevel="1" x14ac:dyDescent="0.25">
      <c r="A743" s="230" t="s">
        <v>1422</v>
      </c>
      <c r="B743" s="343" t="str">
        <f>"15.0704"</f>
        <v>15.0704</v>
      </c>
      <c r="C743" s="75" t="s">
        <v>2632</v>
      </c>
      <c r="D743" s="127" t="s">
        <v>2633</v>
      </c>
      <c r="E743" s="232"/>
    </row>
    <row r="744" spans="1:5" ht="14.55" customHeight="1" outlineLevel="1" x14ac:dyDescent="0.25">
      <c r="A744" s="230" t="s">
        <v>1422</v>
      </c>
      <c r="B744" s="343" t="str">
        <f>"15.0705"</f>
        <v>15.0705</v>
      </c>
      <c r="C744" s="75" t="s">
        <v>2634</v>
      </c>
      <c r="D744" s="127" t="s">
        <v>2635</v>
      </c>
      <c r="E744" s="232"/>
    </row>
    <row r="745" spans="1:5" ht="14.55" customHeight="1" outlineLevel="1" x14ac:dyDescent="0.25">
      <c r="A745" s="230" t="s">
        <v>1422</v>
      </c>
      <c r="B745" s="343" t="str">
        <f>"15.0799"</f>
        <v>15.0799</v>
      </c>
      <c r="C745" s="75" t="s">
        <v>2636</v>
      </c>
      <c r="D745" s="127" t="s">
        <v>2637</v>
      </c>
      <c r="E745" s="232"/>
    </row>
    <row r="746" spans="1:5" ht="14.55" customHeight="1" outlineLevel="1" x14ac:dyDescent="0.25">
      <c r="A746" s="230" t="s">
        <v>1422</v>
      </c>
      <c r="B746" s="343" t="str">
        <f>"15.08"</f>
        <v>15.08</v>
      </c>
      <c r="C746" s="75" t="s">
        <v>2638</v>
      </c>
      <c r="D746" s="127" t="s">
        <v>2639</v>
      </c>
      <c r="E746" s="232"/>
    </row>
    <row r="747" spans="1:5" ht="14.55" customHeight="1" outlineLevel="1" x14ac:dyDescent="0.25">
      <c r="A747" s="230" t="s">
        <v>1422</v>
      </c>
      <c r="B747" s="343" t="str">
        <f>"15.0801"</f>
        <v>15.0801</v>
      </c>
      <c r="C747" s="75" t="s">
        <v>2640</v>
      </c>
      <c r="D747" s="127" t="s">
        <v>2641</v>
      </c>
      <c r="E747" s="232"/>
    </row>
    <row r="748" spans="1:5" ht="14.55" customHeight="1" outlineLevel="1" x14ac:dyDescent="0.25">
      <c r="A748" s="230" t="s">
        <v>1422</v>
      </c>
      <c r="B748" s="343" t="str">
        <f>"15.0803"</f>
        <v>15.0803</v>
      </c>
      <c r="C748" s="75" t="s">
        <v>2642</v>
      </c>
      <c r="D748" s="127" t="s">
        <v>2643</v>
      </c>
      <c r="E748" s="232"/>
    </row>
    <row r="749" spans="1:5" ht="14.55" customHeight="1" outlineLevel="1" x14ac:dyDescent="0.25">
      <c r="A749" s="230" t="s">
        <v>1422</v>
      </c>
      <c r="B749" s="343" t="str">
        <f>"15.0805"</f>
        <v>15.0805</v>
      </c>
      <c r="C749" s="75" t="s">
        <v>2644</v>
      </c>
      <c r="D749" s="127" t="s">
        <v>2645</v>
      </c>
      <c r="E749" s="232"/>
    </row>
    <row r="750" spans="1:5" ht="14.55" customHeight="1" outlineLevel="1" x14ac:dyDescent="0.25">
      <c r="A750" s="230" t="s">
        <v>1422</v>
      </c>
      <c r="B750" s="343" t="str">
        <f>"15.0806"</f>
        <v>15.0806</v>
      </c>
      <c r="C750" s="75" t="s">
        <v>2646</v>
      </c>
      <c r="D750" s="127" t="s">
        <v>2647</v>
      </c>
      <c r="E750" s="232"/>
    </row>
    <row r="751" spans="1:5" ht="14.55" customHeight="1" outlineLevel="1" x14ac:dyDescent="0.25">
      <c r="A751" s="230" t="s">
        <v>1422</v>
      </c>
      <c r="B751" s="343" t="str">
        <f>"15.0807"</f>
        <v>15.0807</v>
      </c>
      <c r="C751" s="75" t="s">
        <v>2648</v>
      </c>
      <c r="D751" s="127" t="s">
        <v>2649</v>
      </c>
      <c r="E751" s="232"/>
    </row>
    <row r="752" spans="1:5" ht="14.55" customHeight="1" outlineLevel="1" x14ac:dyDescent="0.25">
      <c r="A752" s="230" t="s">
        <v>1422</v>
      </c>
      <c r="B752" s="343" t="str">
        <f>"15.0899"</f>
        <v>15.0899</v>
      </c>
      <c r="C752" s="75" t="s">
        <v>2650</v>
      </c>
      <c r="D752" s="127" t="s">
        <v>2651</v>
      </c>
      <c r="E752" s="232"/>
    </row>
    <row r="753" spans="1:5" ht="14.55" customHeight="1" outlineLevel="1" x14ac:dyDescent="0.25">
      <c r="A753" s="230" t="s">
        <v>1422</v>
      </c>
      <c r="B753" s="343" t="str">
        <f>"15.09"</f>
        <v>15.09</v>
      </c>
      <c r="C753" s="75" t="s">
        <v>2652</v>
      </c>
      <c r="D753" s="127" t="s">
        <v>2653</v>
      </c>
      <c r="E753" s="232"/>
    </row>
    <row r="754" spans="1:5" ht="14.55" customHeight="1" outlineLevel="1" x14ac:dyDescent="0.25">
      <c r="A754" s="230" t="s">
        <v>1422</v>
      </c>
      <c r="B754" s="343" t="str">
        <f>"15.0901"</f>
        <v>15.0901</v>
      </c>
      <c r="C754" s="75" t="s">
        <v>2654</v>
      </c>
      <c r="D754" s="127" t="s">
        <v>2655</v>
      </c>
      <c r="E754" s="232"/>
    </row>
    <row r="755" spans="1:5" ht="14.55" customHeight="1" outlineLevel="1" x14ac:dyDescent="0.25">
      <c r="A755" s="230" t="s">
        <v>1422</v>
      </c>
      <c r="B755" s="343" t="str">
        <f>"15.0903"</f>
        <v>15.0903</v>
      </c>
      <c r="C755" s="75" t="s">
        <v>2656</v>
      </c>
      <c r="D755" s="127" t="s">
        <v>2657</v>
      </c>
      <c r="E755" s="232"/>
    </row>
    <row r="756" spans="1:5" ht="14.55" customHeight="1" outlineLevel="1" x14ac:dyDescent="0.25">
      <c r="A756" s="230" t="s">
        <v>1422</v>
      </c>
      <c r="B756" s="343" t="str">
        <f>"15.0999"</f>
        <v>15.0999</v>
      </c>
      <c r="C756" s="75" t="s">
        <v>2658</v>
      </c>
      <c r="D756" s="127" t="s">
        <v>2659</v>
      </c>
      <c r="E756" s="232"/>
    </row>
    <row r="757" spans="1:5" ht="14.55" customHeight="1" outlineLevel="1" x14ac:dyDescent="0.25">
      <c r="A757" s="230" t="s">
        <v>1422</v>
      </c>
      <c r="B757" s="343" t="str">
        <f>"15.10"</f>
        <v>15.10</v>
      </c>
      <c r="C757" s="75" t="s">
        <v>2660</v>
      </c>
      <c r="D757" s="127" t="s">
        <v>2661</v>
      </c>
      <c r="E757" s="232"/>
    </row>
    <row r="758" spans="1:5" ht="14.55" customHeight="1" outlineLevel="1" x14ac:dyDescent="0.25">
      <c r="A758" s="230" t="s">
        <v>1422</v>
      </c>
      <c r="B758" s="343" t="str">
        <f>"15.1001"</f>
        <v>15.1001</v>
      </c>
      <c r="C758" s="75" t="s">
        <v>2660</v>
      </c>
      <c r="D758" s="127" t="s">
        <v>2662</v>
      </c>
      <c r="E758" s="232"/>
    </row>
    <row r="759" spans="1:5" ht="14.55" customHeight="1" outlineLevel="1" x14ac:dyDescent="0.25">
      <c r="A759" s="230" t="s">
        <v>1422</v>
      </c>
      <c r="B759" s="343" t="str">
        <f>"15.11"</f>
        <v>15.11</v>
      </c>
      <c r="C759" s="75" t="s">
        <v>2663</v>
      </c>
      <c r="D759" s="127" t="s">
        <v>2664</v>
      </c>
      <c r="E759" s="232"/>
    </row>
    <row r="760" spans="1:5" ht="14.55" customHeight="1" outlineLevel="1" x14ac:dyDescent="0.25">
      <c r="A760" s="230" t="s">
        <v>1422</v>
      </c>
      <c r="B760" s="343" t="str">
        <f>"15.1102"</f>
        <v>15.1102</v>
      </c>
      <c r="C760" s="75" t="s">
        <v>2665</v>
      </c>
      <c r="D760" s="127" t="s">
        <v>2666</v>
      </c>
      <c r="E760" s="232"/>
    </row>
    <row r="761" spans="1:5" ht="14.55" customHeight="1" outlineLevel="1" x14ac:dyDescent="0.25">
      <c r="A761" s="230" t="s">
        <v>1422</v>
      </c>
      <c r="B761" s="343" t="str">
        <f>"15.1103"</f>
        <v>15.1103</v>
      </c>
      <c r="C761" s="75" t="s">
        <v>2667</v>
      </c>
      <c r="D761" s="127" t="s">
        <v>2668</v>
      </c>
      <c r="E761" s="232"/>
    </row>
    <row r="762" spans="1:5" ht="14.55" customHeight="1" outlineLevel="1" x14ac:dyDescent="0.25">
      <c r="A762" s="230" t="s">
        <v>1422</v>
      </c>
      <c r="B762" s="343" t="str">
        <f>"15.1199"</f>
        <v>15.1199</v>
      </c>
      <c r="C762" s="75" t="s">
        <v>2669</v>
      </c>
      <c r="D762" s="127" t="s">
        <v>2670</v>
      </c>
      <c r="E762" s="232"/>
    </row>
    <row r="763" spans="1:5" ht="14.55" customHeight="1" outlineLevel="1" x14ac:dyDescent="0.25">
      <c r="A763" s="230" t="s">
        <v>1422</v>
      </c>
      <c r="B763" s="343" t="str">
        <f>"15.12"</f>
        <v>15.12</v>
      </c>
      <c r="C763" s="75" t="s">
        <v>2671</v>
      </c>
      <c r="D763" s="127" t="s">
        <v>2672</v>
      </c>
      <c r="E763" s="232"/>
    </row>
    <row r="764" spans="1:5" ht="14.55" customHeight="1" outlineLevel="1" x14ac:dyDescent="0.25">
      <c r="A764" s="230" t="s">
        <v>1422</v>
      </c>
      <c r="B764" s="343" t="str">
        <f>"15.1201"</f>
        <v>15.1201</v>
      </c>
      <c r="C764" s="75" t="s">
        <v>2673</v>
      </c>
      <c r="D764" s="127" t="s">
        <v>2674</v>
      </c>
      <c r="E764" s="232"/>
    </row>
    <row r="765" spans="1:5" ht="14.55" customHeight="1" outlineLevel="1" x14ac:dyDescent="0.25">
      <c r="A765" s="230" t="s">
        <v>1422</v>
      </c>
      <c r="B765" s="343" t="str">
        <f>"15.1202"</f>
        <v>15.1202</v>
      </c>
      <c r="C765" s="75" t="s">
        <v>2675</v>
      </c>
      <c r="D765" s="127" t="s">
        <v>2676</v>
      </c>
      <c r="E765" s="232"/>
    </row>
    <row r="766" spans="1:5" ht="14.55" customHeight="1" outlineLevel="1" x14ac:dyDescent="0.25">
      <c r="A766" s="230" t="s">
        <v>1422</v>
      </c>
      <c r="B766" s="343" t="str">
        <f>"15.1203"</f>
        <v>15.1203</v>
      </c>
      <c r="C766" s="75" t="s">
        <v>2677</v>
      </c>
      <c r="D766" s="127" t="s">
        <v>2678</v>
      </c>
      <c r="E766" s="232"/>
    </row>
    <row r="767" spans="1:5" ht="14.55" customHeight="1" outlineLevel="1" x14ac:dyDescent="0.25">
      <c r="A767" s="230" t="s">
        <v>1422</v>
      </c>
      <c r="B767" s="343" t="str">
        <f>"15.1204"</f>
        <v>15.1204</v>
      </c>
      <c r="C767" s="75" t="s">
        <v>2679</v>
      </c>
      <c r="D767" s="127" t="s">
        <v>2680</v>
      </c>
      <c r="E767" s="232"/>
    </row>
    <row r="768" spans="1:5" ht="14.55" customHeight="1" outlineLevel="1" x14ac:dyDescent="0.25">
      <c r="A768" s="230" t="s">
        <v>1422</v>
      </c>
      <c r="B768" s="343" t="str">
        <f>"15.1299"</f>
        <v>15.1299</v>
      </c>
      <c r="C768" s="75" t="s">
        <v>2681</v>
      </c>
      <c r="D768" s="127" t="s">
        <v>2682</v>
      </c>
      <c r="E768" s="232"/>
    </row>
    <row r="769" spans="1:5" ht="14.55" customHeight="1" outlineLevel="1" x14ac:dyDescent="0.25">
      <c r="A769" s="230" t="s">
        <v>1422</v>
      </c>
      <c r="B769" s="343" t="str">
        <f>"15.13"</f>
        <v>15.13</v>
      </c>
      <c r="C769" s="75" t="s">
        <v>2683</v>
      </c>
      <c r="D769" s="127" t="s">
        <v>2684</v>
      </c>
      <c r="E769" s="232"/>
    </row>
    <row r="770" spans="1:5" ht="14.55" customHeight="1" outlineLevel="1" x14ac:dyDescent="0.25">
      <c r="A770" s="230" t="s">
        <v>1422</v>
      </c>
      <c r="B770" s="343" t="str">
        <f>"15.1301"</f>
        <v>15.1301</v>
      </c>
      <c r="C770" s="75" t="s">
        <v>2685</v>
      </c>
      <c r="D770" s="127" t="s">
        <v>2686</v>
      </c>
      <c r="E770" s="232"/>
    </row>
    <row r="771" spans="1:5" ht="14.55" customHeight="1" outlineLevel="1" x14ac:dyDescent="0.25">
      <c r="A771" s="230" t="s">
        <v>1422</v>
      </c>
      <c r="B771" s="343" t="str">
        <f>"15.1302"</f>
        <v>15.1302</v>
      </c>
      <c r="C771" s="75" t="s">
        <v>2687</v>
      </c>
      <c r="D771" s="127" t="s">
        <v>2688</v>
      </c>
      <c r="E771" s="232"/>
    </row>
    <row r="772" spans="1:5" ht="14.55" customHeight="1" outlineLevel="1" x14ac:dyDescent="0.25">
      <c r="A772" s="230" t="s">
        <v>1422</v>
      </c>
      <c r="B772" s="343" t="str">
        <f>"15.1303"</f>
        <v>15.1303</v>
      </c>
      <c r="C772" s="75" t="s">
        <v>2689</v>
      </c>
      <c r="D772" s="127" t="s">
        <v>2690</v>
      </c>
      <c r="E772" s="232"/>
    </row>
    <row r="773" spans="1:5" ht="14.55" customHeight="1" outlineLevel="1" x14ac:dyDescent="0.25">
      <c r="A773" s="230" t="s">
        <v>1422</v>
      </c>
      <c r="B773" s="343" t="str">
        <f>"15.1304"</f>
        <v>15.1304</v>
      </c>
      <c r="C773" s="75" t="s">
        <v>2691</v>
      </c>
      <c r="D773" s="127" t="s">
        <v>2692</v>
      </c>
      <c r="E773" s="232"/>
    </row>
    <row r="774" spans="1:5" ht="14.55" customHeight="1" outlineLevel="1" x14ac:dyDescent="0.25">
      <c r="A774" s="230" t="s">
        <v>1422</v>
      </c>
      <c r="B774" s="343" t="str">
        <f>"15.1305"</f>
        <v>15.1305</v>
      </c>
      <c r="C774" s="75" t="s">
        <v>2693</v>
      </c>
      <c r="D774" s="127" t="s">
        <v>2694</v>
      </c>
      <c r="E774" s="232"/>
    </row>
    <row r="775" spans="1:5" ht="14.55" customHeight="1" outlineLevel="1" x14ac:dyDescent="0.25">
      <c r="A775" s="230" t="s">
        <v>1422</v>
      </c>
      <c r="B775" s="343" t="str">
        <f>"15.1306"</f>
        <v>15.1306</v>
      </c>
      <c r="C775" s="75" t="s">
        <v>2695</v>
      </c>
      <c r="D775" s="127" t="s">
        <v>2696</v>
      </c>
      <c r="E775" s="232"/>
    </row>
    <row r="776" spans="1:5" ht="14.55" customHeight="1" outlineLevel="1" x14ac:dyDescent="0.25">
      <c r="A776" s="230" t="s">
        <v>1422</v>
      </c>
      <c r="B776" s="343" t="str">
        <f>"15.1307"</f>
        <v>15.1307</v>
      </c>
      <c r="C776" s="75" t="s">
        <v>2697</v>
      </c>
      <c r="D776" s="127" t="s">
        <v>2698</v>
      </c>
      <c r="E776" s="232"/>
    </row>
    <row r="777" spans="1:5" ht="14.55" customHeight="1" outlineLevel="1" x14ac:dyDescent="0.25">
      <c r="A777" s="230" t="s">
        <v>1422</v>
      </c>
      <c r="B777" s="343" t="str">
        <f>"15.1399"</f>
        <v>15.1399</v>
      </c>
      <c r="C777" s="75" t="s">
        <v>2699</v>
      </c>
      <c r="D777" s="127" t="s">
        <v>2700</v>
      </c>
      <c r="E777" s="232"/>
    </row>
    <row r="778" spans="1:5" ht="14.55" customHeight="1" outlineLevel="1" x14ac:dyDescent="0.25">
      <c r="A778" s="230" t="s">
        <v>1422</v>
      </c>
      <c r="B778" s="343" t="str">
        <f>"15.14"</f>
        <v>15.14</v>
      </c>
      <c r="C778" s="75" t="s">
        <v>2701</v>
      </c>
      <c r="D778" s="127" t="s">
        <v>2702</v>
      </c>
      <c r="E778" s="232"/>
    </row>
    <row r="779" spans="1:5" ht="14.55" customHeight="1" outlineLevel="1" x14ac:dyDescent="0.25">
      <c r="A779" s="230" t="s">
        <v>1422</v>
      </c>
      <c r="B779" s="343" t="str">
        <f>"15.1401"</f>
        <v>15.1401</v>
      </c>
      <c r="C779" s="75" t="s">
        <v>2701</v>
      </c>
      <c r="D779" s="127" t="s">
        <v>2703</v>
      </c>
      <c r="E779" s="232"/>
    </row>
    <row r="780" spans="1:5" ht="14.55" customHeight="1" outlineLevel="1" x14ac:dyDescent="0.25">
      <c r="A780" s="230" t="s">
        <v>1422</v>
      </c>
      <c r="B780" s="343" t="str">
        <f>"15.15"</f>
        <v>15.15</v>
      </c>
      <c r="C780" s="75" t="s">
        <v>2704</v>
      </c>
      <c r="D780" s="127" t="s">
        <v>2705</v>
      </c>
      <c r="E780" s="232"/>
    </row>
    <row r="781" spans="1:5" ht="14.55" customHeight="1" outlineLevel="1" x14ac:dyDescent="0.25">
      <c r="A781" s="230" t="s">
        <v>1422</v>
      </c>
      <c r="B781" s="343" t="str">
        <f>"15.1501"</f>
        <v>15.1501</v>
      </c>
      <c r="C781" s="75" t="s">
        <v>2706</v>
      </c>
      <c r="D781" s="127" t="s">
        <v>2707</v>
      </c>
      <c r="E781" s="232"/>
    </row>
    <row r="782" spans="1:5" ht="14.55" customHeight="1" outlineLevel="1" x14ac:dyDescent="0.25">
      <c r="A782" s="230" t="s">
        <v>1422</v>
      </c>
      <c r="B782" s="343" t="str">
        <f>"15.1502"</f>
        <v>15.1502</v>
      </c>
      <c r="C782" s="75" t="s">
        <v>2708</v>
      </c>
      <c r="D782" s="127" t="s">
        <v>2709</v>
      </c>
      <c r="E782" s="232"/>
    </row>
    <row r="783" spans="1:5" ht="14.55" customHeight="1" outlineLevel="1" x14ac:dyDescent="0.25">
      <c r="A783" s="230" t="s">
        <v>1422</v>
      </c>
      <c r="B783" s="343" t="str">
        <f>"15.1503"</f>
        <v>15.1503</v>
      </c>
      <c r="C783" s="75" t="s">
        <v>2710</v>
      </c>
      <c r="D783" s="127" t="s">
        <v>2711</v>
      </c>
      <c r="E783" s="232"/>
    </row>
    <row r="784" spans="1:5" ht="14.55" customHeight="1" outlineLevel="1" x14ac:dyDescent="0.25">
      <c r="A784" s="230" t="s">
        <v>1422</v>
      </c>
      <c r="B784" s="343" t="str">
        <f>"15.1599"</f>
        <v>15.1599</v>
      </c>
      <c r="C784" s="75" t="s">
        <v>2712</v>
      </c>
      <c r="D784" s="127" t="s">
        <v>2713</v>
      </c>
      <c r="E784" s="232"/>
    </row>
    <row r="785" spans="1:5" ht="14.55" customHeight="1" outlineLevel="1" x14ac:dyDescent="0.25">
      <c r="A785" s="230" t="s">
        <v>1422</v>
      </c>
      <c r="B785" s="343" t="str">
        <f>"15.16"</f>
        <v>15.16</v>
      </c>
      <c r="C785" s="75" t="s">
        <v>2714</v>
      </c>
      <c r="D785" s="127" t="s">
        <v>2715</v>
      </c>
      <c r="E785" s="232"/>
    </row>
    <row r="786" spans="1:5" ht="14.55" customHeight="1" outlineLevel="1" x14ac:dyDescent="0.25">
      <c r="A786" s="230" t="s">
        <v>1422</v>
      </c>
      <c r="B786" s="343" t="str">
        <f>"15.1601"</f>
        <v>15.1601</v>
      </c>
      <c r="C786" s="75" t="s">
        <v>2714</v>
      </c>
      <c r="D786" s="127" t="s">
        <v>2716</v>
      </c>
      <c r="E786" s="232"/>
    </row>
    <row r="787" spans="1:5" ht="14.55" customHeight="1" outlineLevel="1" x14ac:dyDescent="0.25">
      <c r="A787" s="230" t="s">
        <v>1422</v>
      </c>
      <c r="B787" s="343" t="str">
        <f>"15.17"</f>
        <v>15.17</v>
      </c>
      <c r="C787" s="75" t="s">
        <v>2717</v>
      </c>
      <c r="D787" s="127" t="s">
        <v>2718</v>
      </c>
      <c r="E787" s="232"/>
    </row>
    <row r="788" spans="1:5" ht="14.55" customHeight="1" outlineLevel="1" x14ac:dyDescent="0.25">
      <c r="A788" s="230" t="s">
        <v>1422</v>
      </c>
      <c r="B788" s="343" t="str">
        <f>"15.1701"</f>
        <v>15.1701</v>
      </c>
      <c r="C788" s="75" t="s">
        <v>2719</v>
      </c>
      <c r="D788" s="127" t="s">
        <v>2720</v>
      </c>
      <c r="E788" s="232"/>
    </row>
    <row r="789" spans="1:5" ht="14.55" customHeight="1" outlineLevel="1" x14ac:dyDescent="0.25">
      <c r="A789" s="230" t="s">
        <v>1422</v>
      </c>
      <c r="B789" s="343" t="str">
        <f>"15.1702"</f>
        <v>15.1702</v>
      </c>
      <c r="C789" s="75" t="s">
        <v>2721</v>
      </c>
      <c r="D789" s="127" t="s">
        <v>2722</v>
      </c>
      <c r="E789" s="232"/>
    </row>
    <row r="790" spans="1:5" ht="14.55" customHeight="1" outlineLevel="1" x14ac:dyDescent="0.25">
      <c r="A790" s="230" t="s">
        <v>1422</v>
      </c>
      <c r="B790" s="343" t="str">
        <f>"15.1703"</f>
        <v>15.1703</v>
      </c>
      <c r="C790" s="75" t="s">
        <v>2723</v>
      </c>
      <c r="D790" s="127" t="s">
        <v>2724</v>
      </c>
      <c r="E790" s="232"/>
    </row>
    <row r="791" spans="1:5" ht="14.55" customHeight="1" outlineLevel="1" x14ac:dyDescent="0.25">
      <c r="A791" s="230" t="s">
        <v>1422</v>
      </c>
      <c r="B791" s="343" t="str">
        <f>"15.1704"</f>
        <v>15.1704</v>
      </c>
      <c r="C791" s="75" t="s">
        <v>2725</v>
      </c>
      <c r="D791" s="127" t="s">
        <v>2726</v>
      </c>
      <c r="E791" s="232"/>
    </row>
    <row r="792" spans="1:5" ht="14.55" customHeight="1" outlineLevel="1" x14ac:dyDescent="0.25">
      <c r="A792" s="230" t="s">
        <v>1422</v>
      </c>
      <c r="B792" s="343" t="str">
        <f>"15.1705"</f>
        <v>15.1705</v>
      </c>
      <c r="C792" s="75" t="s">
        <v>2727</v>
      </c>
      <c r="D792" s="127" t="s">
        <v>2728</v>
      </c>
      <c r="E792" s="232"/>
    </row>
    <row r="793" spans="1:5" ht="14.55" customHeight="1" outlineLevel="1" x14ac:dyDescent="0.25">
      <c r="A793" s="230" t="s">
        <v>1422</v>
      </c>
      <c r="B793" s="343" t="str">
        <f>"15.1706"</f>
        <v>15.1706</v>
      </c>
      <c r="C793" s="75" t="s">
        <v>2729</v>
      </c>
      <c r="D793" s="127" t="s">
        <v>2730</v>
      </c>
      <c r="E793" s="232"/>
    </row>
    <row r="794" spans="1:5" ht="14.55" customHeight="1" outlineLevel="1" x14ac:dyDescent="0.25">
      <c r="A794" s="230" t="s">
        <v>1422</v>
      </c>
      <c r="B794" s="343" t="str">
        <f>"15.1799"</f>
        <v>15.1799</v>
      </c>
      <c r="C794" s="75" t="s">
        <v>2731</v>
      </c>
      <c r="D794" s="127" t="s">
        <v>2732</v>
      </c>
      <c r="E794" s="232"/>
    </row>
    <row r="795" spans="1:5" ht="14.55" customHeight="1" outlineLevel="1" x14ac:dyDescent="0.25">
      <c r="A795" s="230" t="s">
        <v>1422</v>
      </c>
      <c r="B795" s="343" t="str">
        <f>"15.99"</f>
        <v>15.99</v>
      </c>
      <c r="C795" s="75" t="s">
        <v>2733</v>
      </c>
      <c r="D795" s="127" t="s">
        <v>2734</v>
      </c>
      <c r="E795" s="232"/>
    </row>
    <row r="796" spans="1:5" ht="14.55" customHeight="1" outlineLevel="1" x14ac:dyDescent="0.25">
      <c r="A796" s="230" t="s">
        <v>1422</v>
      </c>
      <c r="B796" s="343" t="str">
        <f>"15.9999"</f>
        <v>15.9999</v>
      </c>
      <c r="C796" s="75" t="s">
        <v>2733</v>
      </c>
      <c r="D796" s="127" t="s">
        <v>2735</v>
      </c>
      <c r="E796" s="232"/>
    </row>
    <row r="797" spans="1:5" ht="14.55" customHeight="1" outlineLevel="1" x14ac:dyDescent="0.25">
      <c r="A797" s="230" t="s">
        <v>1422</v>
      </c>
      <c r="B797" s="343" t="str">
        <f>"16"</f>
        <v>16</v>
      </c>
      <c r="C797" s="75" t="s">
        <v>2736</v>
      </c>
      <c r="D797" s="127" t="s">
        <v>2737</v>
      </c>
      <c r="E797" s="232"/>
    </row>
    <row r="798" spans="1:5" ht="14.55" customHeight="1" outlineLevel="1" x14ac:dyDescent="0.25">
      <c r="A798" s="230" t="s">
        <v>1422</v>
      </c>
      <c r="B798" s="343" t="str">
        <f>"16.01"</f>
        <v>16.01</v>
      </c>
      <c r="C798" s="75" t="s">
        <v>2738</v>
      </c>
      <c r="D798" s="127" t="s">
        <v>2739</v>
      </c>
      <c r="E798" s="232"/>
    </row>
    <row r="799" spans="1:5" ht="14.55" customHeight="1" outlineLevel="1" x14ac:dyDescent="0.25">
      <c r="A799" s="230" t="s">
        <v>1422</v>
      </c>
      <c r="B799" s="343" t="str">
        <f>"16.0101"</f>
        <v>16.0101</v>
      </c>
      <c r="C799" s="75" t="s">
        <v>2740</v>
      </c>
      <c r="D799" s="127" t="s">
        <v>2741</v>
      </c>
      <c r="E799" s="232"/>
    </row>
    <row r="800" spans="1:5" ht="14.55" customHeight="1" outlineLevel="1" x14ac:dyDescent="0.25">
      <c r="A800" s="230" t="s">
        <v>1422</v>
      </c>
      <c r="B800" s="343" t="str">
        <f>"16.0102"</f>
        <v>16.0102</v>
      </c>
      <c r="C800" s="75" t="s">
        <v>2742</v>
      </c>
      <c r="D800" s="127" t="s">
        <v>2743</v>
      </c>
      <c r="E800" s="232"/>
    </row>
    <row r="801" spans="1:5" ht="14.55" customHeight="1" outlineLevel="1" x14ac:dyDescent="0.25">
      <c r="A801" s="230" t="s">
        <v>1422</v>
      </c>
      <c r="B801" s="343" t="str">
        <f>"16.0103"</f>
        <v>16.0103</v>
      </c>
      <c r="C801" s="75" t="s">
        <v>2744</v>
      </c>
      <c r="D801" s="127" t="s">
        <v>2745</v>
      </c>
      <c r="E801" s="232"/>
    </row>
    <row r="802" spans="1:5" ht="14.55" customHeight="1" outlineLevel="1" x14ac:dyDescent="0.25">
      <c r="A802" s="230" t="s">
        <v>1422</v>
      </c>
      <c r="B802" s="343" t="str">
        <f>"16.0104"</f>
        <v>16.0104</v>
      </c>
      <c r="C802" s="75" t="s">
        <v>2746</v>
      </c>
      <c r="D802" s="127" t="s">
        <v>2747</v>
      </c>
      <c r="E802" s="232"/>
    </row>
    <row r="803" spans="1:5" ht="14.55" customHeight="1" outlineLevel="1" x14ac:dyDescent="0.25">
      <c r="A803" s="230" t="s">
        <v>1422</v>
      </c>
      <c r="B803" s="343" t="str">
        <f>"16.0105"</f>
        <v>16.0105</v>
      </c>
      <c r="C803" s="75" t="s">
        <v>2748</v>
      </c>
      <c r="D803" s="127" t="s">
        <v>2749</v>
      </c>
      <c r="E803" s="232"/>
    </row>
    <row r="804" spans="1:5" ht="14.55" customHeight="1" outlineLevel="1" x14ac:dyDescent="0.25">
      <c r="A804" s="230" t="s">
        <v>1422</v>
      </c>
      <c r="B804" s="343" t="str">
        <f>"16.0199"</f>
        <v>16.0199</v>
      </c>
      <c r="C804" s="75" t="s">
        <v>2750</v>
      </c>
      <c r="D804" s="127" t="s">
        <v>2751</v>
      </c>
      <c r="E804" s="232"/>
    </row>
    <row r="805" spans="1:5" ht="14.55" customHeight="1" outlineLevel="1" x14ac:dyDescent="0.25">
      <c r="A805" s="230" t="s">
        <v>1422</v>
      </c>
      <c r="B805" s="343" t="str">
        <f>"16.02"</f>
        <v>16.02</v>
      </c>
      <c r="C805" s="75" t="s">
        <v>2752</v>
      </c>
      <c r="D805" s="127" t="s">
        <v>2753</v>
      </c>
      <c r="E805" s="232"/>
    </row>
    <row r="806" spans="1:5" ht="14.55" customHeight="1" outlineLevel="1" x14ac:dyDescent="0.25">
      <c r="A806" s="230" t="s">
        <v>1422</v>
      </c>
      <c r="B806" s="343" t="str">
        <f>"16.0201"</f>
        <v>16.0201</v>
      </c>
      <c r="C806" s="75" t="s">
        <v>2752</v>
      </c>
      <c r="D806" s="127" t="s">
        <v>2754</v>
      </c>
      <c r="E806" s="232"/>
    </row>
    <row r="807" spans="1:5" ht="14.55" customHeight="1" outlineLevel="1" x14ac:dyDescent="0.25">
      <c r="A807" s="230" t="s">
        <v>1422</v>
      </c>
      <c r="B807" s="343" t="str">
        <f>"16.03"</f>
        <v>16.03</v>
      </c>
      <c r="C807" s="75" t="s">
        <v>2755</v>
      </c>
      <c r="D807" s="127" t="s">
        <v>2756</v>
      </c>
      <c r="E807" s="232"/>
    </row>
    <row r="808" spans="1:5" ht="14.55" customHeight="1" outlineLevel="1" x14ac:dyDescent="0.25">
      <c r="A808" s="230" t="s">
        <v>1422</v>
      </c>
      <c r="B808" s="343" t="str">
        <f>"16.0300"</f>
        <v>16.0300</v>
      </c>
      <c r="C808" s="75" t="s">
        <v>2757</v>
      </c>
      <c r="D808" s="127" t="s">
        <v>2758</v>
      </c>
      <c r="E808" s="232"/>
    </row>
    <row r="809" spans="1:5" ht="14.55" customHeight="1" outlineLevel="1" x14ac:dyDescent="0.25">
      <c r="A809" s="230" t="s">
        <v>1422</v>
      </c>
      <c r="B809" s="343" t="str">
        <f>"16.0301"</f>
        <v>16.0301</v>
      </c>
      <c r="C809" s="75" t="s">
        <v>2759</v>
      </c>
      <c r="D809" s="127" t="s">
        <v>2760</v>
      </c>
      <c r="E809" s="232"/>
    </row>
    <row r="810" spans="1:5" ht="14.55" customHeight="1" outlineLevel="1" x14ac:dyDescent="0.25">
      <c r="A810" s="230" t="s">
        <v>1422</v>
      </c>
      <c r="B810" s="343" t="str">
        <f>"16.0302"</f>
        <v>16.0302</v>
      </c>
      <c r="C810" s="75" t="s">
        <v>2761</v>
      </c>
      <c r="D810" s="127" t="s">
        <v>2762</v>
      </c>
      <c r="E810" s="232"/>
    </row>
    <row r="811" spans="1:5" ht="14.55" customHeight="1" outlineLevel="1" x14ac:dyDescent="0.25">
      <c r="A811" s="230" t="s">
        <v>1422</v>
      </c>
      <c r="B811" s="343" t="str">
        <f>"16.0303"</f>
        <v>16.0303</v>
      </c>
      <c r="C811" s="75" t="s">
        <v>2763</v>
      </c>
      <c r="D811" s="127" t="s">
        <v>2764</v>
      </c>
      <c r="E811" s="232"/>
    </row>
    <row r="812" spans="1:5" ht="14.55" customHeight="1" outlineLevel="1" x14ac:dyDescent="0.25">
      <c r="A812" s="230" t="s">
        <v>1422</v>
      </c>
      <c r="B812" s="343" t="str">
        <f>"16.0304"</f>
        <v>16.0304</v>
      </c>
      <c r="C812" s="75" t="s">
        <v>2765</v>
      </c>
      <c r="D812" s="127" t="s">
        <v>2766</v>
      </c>
      <c r="E812" s="232"/>
    </row>
    <row r="813" spans="1:5" ht="14.55" customHeight="1" outlineLevel="1" x14ac:dyDescent="0.25">
      <c r="A813" s="230" t="s">
        <v>1422</v>
      </c>
      <c r="B813" s="343" t="str">
        <f>"16.0399"</f>
        <v>16.0399</v>
      </c>
      <c r="C813" s="75" t="s">
        <v>2767</v>
      </c>
      <c r="D813" s="127" t="s">
        <v>2768</v>
      </c>
      <c r="E813" s="232"/>
    </row>
    <row r="814" spans="1:5" ht="14.55" customHeight="1" outlineLevel="1" x14ac:dyDescent="0.25">
      <c r="A814" s="230" t="s">
        <v>1422</v>
      </c>
      <c r="B814" s="343" t="str">
        <f>"16.04"</f>
        <v>16.04</v>
      </c>
      <c r="C814" s="75" t="s">
        <v>2769</v>
      </c>
      <c r="D814" s="127" t="s">
        <v>2770</v>
      </c>
      <c r="E814" s="232"/>
    </row>
    <row r="815" spans="1:5" ht="14.55" customHeight="1" outlineLevel="1" x14ac:dyDescent="0.25">
      <c r="A815" s="230" t="s">
        <v>1422</v>
      </c>
      <c r="B815" s="343" t="str">
        <f>"16.0400"</f>
        <v>16.0400</v>
      </c>
      <c r="C815" s="75" t="s">
        <v>2771</v>
      </c>
      <c r="D815" s="127" t="s">
        <v>2772</v>
      </c>
      <c r="E815" s="232"/>
    </row>
    <row r="816" spans="1:5" ht="14.55" customHeight="1" outlineLevel="1" x14ac:dyDescent="0.25">
      <c r="A816" s="230" t="s">
        <v>1422</v>
      </c>
      <c r="B816" s="343" t="str">
        <f>"16.0401"</f>
        <v>16.0401</v>
      </c>
      <c r="C816" s="75" t="s">
        <v>2773</v>
      </c>
      <c r="D816" s="127" t="s">
        <v>2774</v>
      </c>
      <c r="E816" s="232"/>
    </row>
    <row r="817" spans="1:5" ht="14.55" customHeight="1" outlineLevel="1" x14ac:dyDescent="0.25">
      <c r="A817" s="230" t="s">
        <v>1422</v>
      </c>
      <c r="B817" s="343" t="str">
        <f>"16.0402"</f>
        <v>16.0402</v>
      </c>
      <c r="C817" s="75" t="s">
        <v>2775</v>
      </c>
      <c r="D817" s="127" t="s">
        <v>2776</v>
      </c>
      <c r="E817" s="232"/>
    </row>
    <row r="818" spans="1:5" ht="14.55" customHeight="1" outlineLevel="1" x14ac:dyDescent="0.25">
      <c r="A818" s="230" t="s">
        <v>1422</v>
      </c>
      <c r="B818" s="343" t="str">
        <f>"16.0404"</f>
        <v>16.0404</v>
      </c>
      <c r="C818" s="75" t="s">
        <v>2777</v>
      </c>
      <c r="D818" s="127" t="s">
        <v>2778</v>
      </c>
      <c r="E818" s="232"/>
    </row>
    <row r="819" spans="1:5" ht="14.55" customHeight="1" outlineLevel="1" x14ac:dyDescent="0.25">
      <c r="A819" s="230" t="s">
        <v>1422</v>
      </c>
      <c r="B819" s="343" t="str">
        <f>"16.0405"</f>
        <v>16.0405</v>
      </c>
      <c r="C819" s="75" t="s">
        <v>2779</v>
      </c>
      <c r="D819" s="127" t="s">
        <v>2780</v>
      </c>
      <c r="E819" s="232"/>
    </row>
    <row r="820" spans="1:5" ht="14.55" customHeight="1" outlineLevel="1" x14ac:dyDescent="0.25">
      <c r="A820" s="230" t="s">
        <v>1422</v>
      </c>
      <c r="B820" s="343" t="str">
        <f>"16.0406"</f>
        <v>16.0406</v>
      </c>
      <c r="C820" s="75" t="s">
        <v>2781</v>
      </c>
      <c r="D820" s="127" t="s">
        <v>2782</v>
      </c>
      <c r="E820" s="232"/>
    </row>
    <row r="821" spans="1:5" ht="14.55" customHeight="1" outlineLevel="1" x14ac:dyDescent="0.25">
      <c r="A821" s="230" t="s">
        <v>1422</v>
      </c>
      <c r="B821" s="343" t="str">
        <f>"16.0407"</f>
        <v>16.0407</v>
      </c>
      <c r="C821" s="75" t="s">
        <v>2783</v>
      </c>
      <c r="D821" s="127" t="s">
        <v>2784</v>
      </c>
      <c r="E821" s="232"/>
    </row>
    <row r="822" spans="1:5" ht="14.55" customHeight="1" outlineLevel="1" x14ac:dyDescent="0.25">
      <c r="A822" s="230" t="s">
        <v>1422</v>
      </c>
      <c r="B822" s="343" t="str">
        <f>"16.0408"</f>
        <v>16.0408</v>
      </c>
      <c r="C822" s="75" t="s">
        <v>2785</v>
      </c>
      <c r="D822" s="127" t="s">
        <v>2786</v>
      </c>
      <c r="E822" s="232"/>
    </row>
    <row r="823" spans="1:5" ht="14.55" customHeight="1" outlineLevel="1" x14ac:dyDescent="0.25">
      <c r="A823" s="230" t="s">
        <v>1422</v>
      </c>
      <c r="B823" s="343" t="str">
        <f>"16.0409"</f>
        <v>16.0409</v>
      </c>
      <c r="C823" s="75" t="s">
        <v>2787</v>
      </c>
      <c r="D823" s="127" t="s">
        <v>2788</v>
      </c>
      <c r="E823" s="232"/>
    </row>
    <row r="824" spans="1:5" ht="14.55" customHeight="1" outlineLevel="1" x14ac:dyDescent="0.25">
      <c r="A824" s="230" t="s">
        <v>1422</v>
      </c>
      <c r="B824" s="343" t="str">
        <f>"16.0410"</f>
        <v>16.0410</v>
      </c>
      <c r="C824" s="75" t="s">
        <v>2789</v>
      </c>
      <c r="D824" s="127" t="s">
        <v>2790</v>
      </c>
      <c r="E824" s="232"/>
    </row>
    <row r="825" spans="1:5" ht="14.55" customHeight="1" outlineLevel="1" x14ac:dyDescent="0.25">
      <c r="A825" s="230" t="s">
        <v>1422</v>
      </c>
      <c r="B825" s="343" t="str">
        <f>"16.0499"</f>
        <v>16.0499</v>
      </c>
      <c r="C825" s="75" t="s">
        <v>2791</v>
      </c>
      <c r="D825" s="127" t="s">
        <v>2792</v>
      </c>
      <c r="E825" s="232"/>
    </row>
    <row r="826" spans="1:5" ht="14.55" customHeight="1" outlineLevel="1" x14ac:dyDescent="0.25">
      <c r="A826" s="230" t="s">
        <v>1422</v>
      </c>
      <c r="B826" s="343" t="str">
        <f>"16.05"</f>
        <v>16.05</v>
      </c>
      <c r="C826" s="75" t="s">
        <v>2793</v>
      </c>
      <c r="D826" s="127" t="s">
        <v>2794</v>
      </c>
      <c r="E826" s="232"/>
    </row>
    <row r="827" spans="1:5" ht="14.55" customHeight="1" outlineLevel="1" x14ac:dyDescent="0.25">
      <c r="A827" s="230" t="s">
        <v>1422</v>
      </c>
      <c r="B827" s="343" t="str">
        <f>"16.0500"</f>
        <v>16.0500</v>
      </c>
      <c r="C827" s="75" t="s">
        <v>2795</v>
      </c>
      <c r="D827" s="127" t="s">
        <v>2796</v>
      </c>
      <c r="E827" s="232"/>
    </row>
    <row r="828" spans="1:5" ht="14.55" customHeight="1" outlineLevel="1" x14ac:dyDescent="0.25">
      <c r="A828" s="230" t="s">
        <v>1422</v>
      </c>
      <c r="B828" s="343" t="str">
        <f>"16.0501"</f>
        <v>16.0501</v>
      </c>
      <c r="C828" s="75" t="s">
        <v>2797</v>
      </c>
      <c r="D828" s="127" t="s">
        <v>2798</v>
      </c>
      <c r="E828" s="232"/>
    </row>
    <row r="829" spans="1:5" ht="14.55" customHeight="1" outlineLevel="1" x14ac:dyDescent="0.25">
      <c r="A829" s="230" t="s">
        <v>1422</v>
      </c>
      <c r="B829" s="343" t="str">
        <f>"16.0502"</f>
        <v>16.0502</v>
      </c>
      <c r="C829" s="75" t="s">
        <v>2799</v>
      </c>
      <c r="D829" s="127" t="s">
        <v>2800</v>
      </c>
      <c r="E829" s="232"/>
    </row>
    <row r="830" spans="1:5" ht="14.55" customHeight="1" outlineLevel="1" x14ac:dyDescent="0.25">
      <c r="A830" s="230" t="s">
        <v>1422</v>
      </c>
      <c r="B830" s="343" t="str">
        <f>"16.0503"</f>
        <v>16.0503</v>
      </c>
      <c r="C830" s="75" t="s">
        <v>2801</v>
      </c>
      <c r="D830" s="127" t="s">
        <v>2802</v>
      </c>
      <c r="E830" s="232"/>
    </row>
    <row r="831" spans="1:5" ht="14.55" customHeight="1" outlineLevel="1" x14ac:dyDescent="0.25">
      <c r="A831" s="230" t="s">
        <v>1422</v>
      </c>
      <c r="B831" s="343" t="str">
        <f>"16.0504"</f>
        <v>16.0504</v>
      </c>
      <c r="C831" s="75" t="s">
        <v>2803</v>
      </c>
      <c r="D831" s="127" t="s">
        <v>2804</v>
      </c>
      <c r="E831" s="232"/>
    </row>
    <row r="832" spans="1:5" ht="14.55" customHeight="1" outlineLevel="1" x14ac:dyDescent="0.25">
      <c r="A832" s="230" t="s">
        <v>1422</v>
      </c>
      <c r="B832" s="343" t="str">
        <f>"16.0505"</f>
        <v>16.0505</v>
      </c>
      <c r="C832" s="75" t="s">
        <v>2805</v>
      </c>
      <c r="D832" s="127" t="s">
        <v>2806</v>
      </c>
      <c r="E832" s="232"/>
    </row>
    <row r="833" spans="1:5" ht="14.55" customHeight="1" outlineLevel="1" x14ac:dyDescent="0.25">
      <c r="A833" s="230" t="s">
        <v>1422</v>
      </c>
      <c r="B833" s="343" t="str">
        <f>"16.0506"</f>
        <v>16.0506</v>
      </c>
      <c r="C833" s="75" t="s">
        <v>2807</v>
      </c>
      <c r="D833" s="127" t="s">
        <v>2808</v>
      </c>
      <c r="E833" s="232"/>
    </row>
    <row r="834" spans="1:5" ht="14.55" customHeight="1" outlineLevel="1" x14ac:dyDescent="0.25">
      <c r="A834" s="230" t="s">
        <v>1422</v>
      </c>
      <c r="B834" s="343" t="str">
        <f>"16.0599"</f>
        <v>16.0599</v>
      </c>
      <c r="C834" s="75" t="s">
        <v>2809</v>
      </c>
      <c r="D834" s="127" t="s">
        <v>2810</v>
      </c>
      <c r="E834" s="232"/>
    </row>
    <row r="835" spans="1:5" ht="14.55" customHeight="1" outlineLevel="1" x14ac:dyDescent="0.25">
      <c r="A835" s="230" t="s">
        <v>1422</v>
      </c>
      <c r="B835" s="343" t="str">
        <f>"16.06"</f>
        <v>16.06</v>
      </c>
      <c r="C835" s="75" t="s">
        <v>2811</v>
      </c>
      <c r="D835" s="127" t="s">
        <v>2812</v>
      </c>
      <c r="E835" s="232"/>
    </row>
    <row r="836" spans="1:5" ht="14.55" customHeight="1" outlineLevel="1" x14ac:dyDescent="0.25">
      <c r="A836" s="230" t="s">
        <v>1422</v>
      </c>
      <c r="B836" s="343" t="str">
        <f>"16.0601"</f>
        <v>16.0601</v>
      </c>
      <c r="C836" s="75" t="s">
        <v>2811</v>
      </c>
      <c r="D836" s="127" t="s">
        <v>2813</v>
      </c>
      <c r="E836" s="232"/>
    </row>
    <row r="837" spans="1:5" ht="14.55" customHeight="1" outlineLevel="1" x14ac:dyDescent="0.25">
      <c r="A837" s="230" t="s">
        <v>1422</v>
      </c>
      <c r="B837" s="343" t="str">
        <f>"16.07"</f>
        <v>16.07</v>
      </c>
      <c r="C837" s="75" t="s">
        <v>2814</v>
      </c>
      <c r="D837" s="127" t="s">
        <v>2815</v>
      </c>
      <c r="E837" s="232"/>
    </row>
    <row r="838" spans="1:5" ht="14.55" customHeight="1" outlineLevel="1" x14ac:dyDescent="0.25">
      <c r="A838" s="230" t="s">
        <v>1422</v>
      </c>
      <c r="B838" s="343" t="str">
        <f>"16.0700"</f>
        <v>16.0700</v>
      </c>
      <c r="C838" s="75" t="s">
        <v>2816</v>
      </c>
      <c r="D838" s="127" t="s">
        <v>2817</v>
      </c>
      <c r="E838" s="232"/>
    </row>
    <row r="839" spans="1:5" ht="14.55" customHeight="1" outlineLevel="1" x14ac:dyDescent="0.25">
      <c r="A839" s="230" t="s">
        <v>1422</v>
      </c>
      <c r="B839" s="343" t="str">
        <f>"16.0701"</f>
        <v>16.0701</v>
      </c>
      <c r="C839" s="75" t="s">
        <v>2818</v>
      </c>
      <c r="D839" s="127" t="s">
        <v>2819</v>
      </c>
      <c r="E839" s="232"/>
    </row>
    <row r="840" spans="1:5" ht="14.55" customHeight="1" outlineLevel="1" x14ac:dyDescent="0.25">
      <c r="A840" s="230" t="s">
        <v>1422</v>
      </c>
      <c r="B840" s="343" t="str">
        <f>"16.0702"</f>
        <v>16.0702</v>
      </c>
      <c r="C840" s="75" t="s">
        <v>2820</v>
      </c>
      <c r="D840" s="127" t="s">
        <v>2821</v>
      </c>
      <c r="E840" s="232"/>
    </row>
    <row r="841" spans="1:5" ht="14.55" customHeight="1" outlineLevel="1" x14ac:dyDescent="0.25">
      <c r="A841" s="230" t="s">
        <v>1422</v>
      </c>
      <c r="B841" s="343" t="str">
        <f>"16.0704"</f>
        <v>16.0704</v>
      </c>
      <c r="C841" s="75" t="s">
        <v>2822</v>
      </c>
      <c r="D841" s="127" t="s">
        <v>2823</v>
      </c>
      <c r="E841" s="232"/>
    </row>
    <row r="842" spans="1:5" ht="14.55" customHeight="1" outlineLevel="1" x14ac:dyDescent="0.25">
      <c r="A842" s="230" t="s">
        <v>1422</v>
      </c>
      <c r="B842" s="343" t="str">
        <f>"16.0705"</f>
        <v>16.0705</v>
      </c>
      <c r="C842" s="75" t="s">
        <v>2824</v>
      </c>
      <c r="D842" s="127" t="s">
        <v>2825</v>
      </c>
      <c r="E842" s="232"/>
    </row>
    <row r="843" spans="1:5" ht="14.55" customHeight="1" outlineLevel="1" x14ac:dyDescent="0.25">
      <c r="A843" s="230" t="s">
        <v>1422</v>
      </c>
      <c r="B843" s="343" t="str">
        <f>"16.0706"</f>
        <v>16.0706</v>
      </c>
      <c r="C843" s="75" t="s">
        <v>2826</v>
      </c>
      <c r="D843" s="127" t="s">
        <v>2827</v>
      </c>
      <c r="E843" s="232"/>
    </row>
    <row r="844" spans="1:5" ht="14.55" customHeight="1" outlineLevel="1" x14ac:dyDescent="0.25">
      <c r="A844" s="230" t="s">
        <v>1422</v>
      </c>
      <c r="B844" s="343" t="str">
        <f>"16.0707"</f>
        <v>16.0707</v>
      </c>
      <c r="C844" s="75" t="s">
        <v>2828</v>
      </c>
      <c r="D844" s="127" t="s">
        <v>2829</v>
      </c>
      <c r="E844" s="232"/>
    </row>
    <row r="845" spans="1:5" ht="14.55" customHeight="1" outlineLevel="1" x14ac:dyDescent="0.25">
      <c r="A845" s="230" t="s">
        <v>1422</v>
      </c>
      <c r="B845" s="343" t="str">
        <f>"16.0799"</f>
        <v>16.0799</v>
      </c>
      <c r="C845" s="75" t="s">
        <v>2830</v>
      </c>
      <c r="D845" s="127" t="s">
        <v>2831</v>
      </c>
      <c r="E845" s="232"/>
    </row>
    <row r="846" spans="1:5" ht="14.55" customHeight="1" outlineLevel="1" x14ac:dyDescent="0.25">
      <c r="A846" s="230" t="s">
        <v>1422</v>
      </c>
      <c r="B846" s="343" t="str">
        <f>"16.08"</f>
        <v>16.08</v>
      </c>
      <c r="C846" s="75" t="s">
        <v>2832</v>
      </c>
      <c r="D846" s="127" t="s">
        <v>2833</v>
      </c>
      <c r="E846" s="232"/>
    </row>
    <row r="847" spans="1:5" ht="14.55" customHeight="1" outlineLevel="1" x14ac:dyDescent="0.25">
      <c r="A847" s="230" t="s">
        <v>1422</v>
      </c>
      <c r="B847" s="343" t="str">
        <f>"16.0801"</f>
        <v>16.0801</v>
      </c>
      <c r="C847" s="75" t="s">
        <v>2834</v>
      </c>
      <c r="D847" s="127" t="s">
        <v>2835</v>
      </c>
      <c r="E847" s="232"/>
    </row>
    <row r="848" spans="1:5" ht="14.55" customHeight="1" outlineLevel="1" x14ac:dyDescent="0.25">
      <c r="A848" s="230" t="s">
        <v>1422</v>
      </c>
      <c r="B848" s="343" t="str">
        <f>"16.09"</f>
        <v>16.09</v>
      </c>
      <c r="C848" s="75" t="s">
        <v>2836</v>
      </c>
      <c r="D848" s="127" t="s">
        <v>2837</v>
      </c>
      <c r="E848" s="232"/>
    </row>
    <row r="849" spans="1:5" ht="14.55" customHeight="1" outlineLevel="1" x14ac:dyDescent="0.25">
      <c r="A849" s="230" t="s">
        <v>1422</v>
      </c>
      <c r="B849" s="343" t="str">
        <f>"16.0900"</f>
        <v>16.0900</v>
      </c>
      <c r="C849" s="75" t="s">
        <v>2838</v>
      </c>
      <c r="D849" s="127" t="s">
        <v>2839</v>
      </c>
      <c r="E849" s="232"/>
    </row>
    <row r="850" spans="1:5" ht="14.55" customHeight="1" outlineLevel="1" x14ac:dyDescent="0.25">
      <c r="A850" s="230" t="s">
        <v>1422</v>
      </c>
      <c r="B850" s="343" t="str">
        <f>"16.0901"</f>
        <v>16.0901</v>
      </c>
      <c r="C850" s="75" t="s">
        <v>2840</v>
      </c>
      <c r="D850" s="127" t="s">
        <v>2841</v>
      </c>
      <c r="E850" s="232"/>
    </row>
    <row r="851" spans="1:5" ht="14.55" customHeight="1" outlineLevel="1" x14ac:dyDescent="0.25">
      <c r="A851" s="230" t="s">
        <v>1422</v>
      </c>
      <c r="B851" s="343" t="str">
        <f>"16.0902"</f>
        <v>16.0902</v>
      </c>
      <c r="C851" s="75" t="s">
        <v>2842</v>
      </c>
      <c r="D851" s="127" t="s">
        <v>2843</v>
      </c>
      <c r="E851" s="232"/>
    </row>
    <row r="852" spans="1:5" ht="14.55" customHeight="1" outlineLevel="1" x14ac:dyDescent="0.25">
      <c r="A852" s="230" t="s">
        <v>1422</v>
      </c>
      <c r="B852" s="343" t="str">
        <f>"16.0904"</f>
        <v>16.0904</v>
      </c>
      <c r="C852" s="75" t="s">
        <v>2844</v>
      </c>
      <c r="D852" s="127" t="s">
        <v>2845</v>
      </c>
      <c r="E852" s="232"/>
    </row>
    <row r="853" spans="1:5" ht="14.55" customHeight="1" outlineLevel="1" x14ac:dyDescent="0.25">
      <c r="A853" s="230" t="s">
        <v>1422</v>
      </c>
      <c r="B853" s="343" t="str">
        <f>"16.0905"</f>
        <v>16.0905</v>
      </c>
      <c r="C853" s="75" t="s">
        <v>2846</v>
      </c>
      <c r="D853" s="127" t="s">
        <v>2847</v>
      </c>
      <c r="E853" s="232"/>
    </row>
    <row r="854" spans="1:5" ht="14.55" customHeight="1" outlineLevel="1" x14ac:dyDescent="0.25">
      <c r="A854" s="230" t="s">
        <v>1422</v>
      </c>
      <c r="B854" s="343" t="str">
        <f>"16.0906"</f>
        <v>16.0906</v>
      </c>
      <c r="C854" s="75" t="s">
        <v>2848</v>
      </c>
      <c r="D854" s="127" t="s">
        <v>2849</v>
      </c>
      <c r="E854" s="232"/>
    </row>
    <row r="855" spans="1:5" ht="14.55" customHeight="1" outlineLevel="1" x14ac:dyDescent="0.25">
      <c r="A855" s="230" t="s">
        <v>1422</v>
      </c>
      <c r="B855" s="343" t="str">
        <f>"16.0907"</f>
        <v>16.0907</v>
      </c>
      <c r="C855" s="75" t="s">
        <v>2850</v>
      </c>
      <c r="D855" s="127" t="s">
        <v>2851</v>
      </c>
      <c r="E855" s="232"/>
    </row>
    <row r="856" spans="1:5" ht="14.55" customHeight="1" outlineLevel="1" x14ac:dyDescent="0.25">
      <c r="A856" s="230" t="s">
        <v>1422</v>
      </c>
      <c r="B856" s="343" t="str">
        <f>"16.0908"</f>
        <v>16.0908</v>
      </c>
      <c r="C856" s="75" t="s">
        <v>2852</v>
      </c>
      <c r="D856" s="127" t="s">
        <v>2853</v>
      </c>
      <c r="E856" s="232"/>
    </row>
    <row r="857" spans="1:5" ht="14.55" customHeight="1" outlineLevel="1" x14ac:dyDescent="0.25">
      <c r="A857" s="230" t="s">
        <v>1422</v>
      </c>
      <c r="B857" s="343" t="str">
        <f>"16.0999"</f>
        <v>16.0999</v>
      </c>
      <c r="C857" s="75" t="s">
        <v>2854</v>
      </c>
      <c r="D857" s="127" t="s">
        <v>2855</v>
      </c>
      <c r="E857" s="232"/>
    </row>
    <row r="858" spans="1:5" ht="14.55" customHeight="1" outlineLevel="1" x14ac:dyDescent="0.25">
      <c r="A858" s="230" t="s">
        <v>1422</v>
      </c>
      <c r="B858" s="343" t="str">
        <f>"16.10"</f>
        <v>16.10</v>
      </c>
      <c r="C858" s="75" t="s">
        <v>2856</v>
      </c>
      <c r="D858" s="127" t="s">
        <v>2857</v>
      </c>
      <c r="E858" s="232"/>
    </row>
    <row r="859" spans="1:5" ht="14.55" customHeight="1" outlineLevel="1" x14ac:dyDescent="0.25">
      <c r="A859" s="230" t="s">
        <v>1422</v>
      </c>
      <c r="B859" s="343" t="str">
        <f>"16.1001"</f>
        <v>16.1001</v>
      </c>
      <c r="C859" s="75" t="s">
        <v>2856</v>
      </c>
      <c r="D859" s="127" t="s">
        <v>2858</v>
      </c>
      <c r="E859" s="232"/>
    </row>
    <row r="860" spans="1:5" ht="14.55" customHeight="1" outlineLevel="1" x14ac:dyDescent="0.25">
      <c r="A860" s="230" t="s">
        <v>1422</v>
      </c>
      <c r="B860" s="343" t="str">
        <f>"16.11"</f>
        <v>16.11</v>
      </c>
      <c r="C860" s="75" t="s">
        <v>2859</v>
      </c>
      <c r="D860" s="127" t="s">
        <v>2860</v>
      </c>
      <c r="E860" s="232"/>
    </row>
    <row r="861" spans="1:5" ht="14.55" customHeight="1" outlineLevel="1" x14ac:dyDescent="0.25">
      <c r="A861" s="230" t="s">
        <v>1422</v>
      </c>
      <c r="B861" s="343" t="str">
        <f>"16.1100"</f>
        <v>16.1100</v>
      </c>
      <c r="C861" s="75" t="s">
        <v>2861</v>
      </c>
      <c r="D861" s="127" t="s">
        <v>2862</v>
      </c>
      <c r="E861" s="232"/>
    </row>
    <row r="862" spans="1:5" ht="14.55" customHeight="1" outlineLevel="1" x14ac:dyDescent="0.25">
      <c r="A862" s="230" t="s">
        <v>1422</v>
      </c>
      <c r="B862" s="343" t="str">
        <f>"16.1101"</f>
        <v>16.1101</v>
      </c>
      <c r="C862" s="75" t="s">
        <v>2863</v>
      </c>
      <c r="D862" s="127" t="s">
        <v>2864</v>
      </c>
      <c r="E862" s="232"/>
    </row>
    <row r="863" spans="1:5" ht="14.55" customHeight="1" outlineLevel="1" x14ac:dyDescent="0.25">
      <c r="A863" s="230" t="s">
        <v>1422</v>
      </c>
      <c r="B863" s="343" t="str">
        <f>"16.1102"</f>
        <v>16.1102</v>
      </c>
      <c r="C863" s="75" t="s">
        <v>2865</v>
      </c>
      <c r="D863" s="127" t="s">
        <v>2866</v>
      </c>
      <c r="E863" s="232"/>
    </row>
    <row r="864" spans="1:5" ht="14.55" customHeight="1" outlineLevel="1" x14ac:dyDescent="0.25">
      <c r="A864" s="230" t="s">
        <v>1422</v>
      </c>
      <c r="B864" s="343" t="str">
        <f>"16.1103"</f>
        <v>16.1103</v>
      </c>
      <c r="C864" s="75" t="s">
        <v>2867</v>
      </c>
      <c r="D864" s="127" t="s">
        <v>2868</v>
      </c>
      <c r="E864" s="232"/>
    </row>
    <row r="865" spans="1:5" ht="14.55" customHeight="1" outlineLevel="1" x14ac:dyDescent="0.25">
      <c r="A865" s="230" t="s">
        <v>1422</v>
      </c>
      <c r="B865" s="343" t="str">
        <f>"16.1199"</f>
        <v>16.1199</v>
      </c>
      <c r="C865" s="75" t="s">
        <v>2869</v>
      </c>
      <c r="D865" s="127" t="s">
        <v>2870</v>
      </c>
      <c r="E865" s="232"/>
    </row>
    <row r="866" spans="1:5" ht="14.55" customHeight="1" outlineLevel="1" x14ac:dyDescent="0.25">
      <c r="A866" s="230" t="s">
        <v>1422</v>
      </c>
      <c r="B866" s="343" t="str">
        <f>"16.12"</f>
        <v>16.12</v>
      </c>
      <c r="C866" s="75" t="s">
        <v>2871</v>
      </c>
      <c r="D866" s="127" t="s">
        <v>2872</v>
      </c>
      <c r="E866" s="232"/>
    </row>
    <row r="867" spans="1:5" ht="14.55" customHeight="1" outlineLevel="1" x14ac:dyDescent="0.25">
      <c r="A867" s="230" t="s">
        <v>1422</v>
      </c>
      <c r="B867" s="343" t="str">
        <f>"16.1200"</f>
        <v>16.1200</v>
      </c>
      <c r="C867" s="75" t="s">
        <v>2873</v>
      </c>
      <c r="D867" s="127" t="s">
        <v>2874</v>
      </c>
      <c r="E867" s="232"/>
    </row>
    <row r="868" spans="1:5" ht="14.55" customHeight="1" outlineLevel="1" x14ac:dyDescent="0.25">
      <c r="A868" s="230" t="s">
        <v>1422</v>
      </c>
      <c r="B868" s="343" t="str">
        <f>"16.1202"</f>
        <v>16.1202</v>
      </c>
      <c r="C868" s="75" t="s">
        <v>2875</v>
      </c>
      <c r="D868" s="127" t="s">
        <v>2876</v>
      </c>
      <c r="E868" s="232"/>
    </row>
    <row r="869" spans="1:5" ht="14.55" customHeight="1" outlineLevel="1" x14ac:dyDescent="0.25">
      <c r="A869" s="230" t="s">
        <v>1422</v>
      </c>
      <c r="B869" s="343" t="str">
        <f>"16.1203"</f>
        <v>16.1203</v>
      </c>
      <c r="C869" s="75" t="s">
        <v>2877</v>
      </c>
      <c r="D869" s="127" t="s">
        <v>2878</v>
      </c>
      <c r="E869" s="232"/>
    </row>
    <row r="870" spans="1:5" ht="14.55" customHeight="1" outlineLevel="1" x14ac:dyDescent="0.25">
      <c r="A870" s="230" t="s">
        <v>1422</v>
      </c>
      <c r="B870" s="343" t="str">
        <f>"16.1299"</f>
        <v>16.1299</v>
      </c>
      <c r="C870" s="75" t="s">
        <v>2879</v>
      </c>
      <c r="D870" s="127" t="s">
        <v>2880</v>
      </c>
      <c r="E870" s="232"/>
    </row>
    <row r="871" spans="1:5" ht="14.55" customHeight="1" outlineLevel="1" x14ac:dyDescent="0.25">
      <c r="A871" s="230" t="s">
        <v>1422</v>
      </c>
      <c r="B871" s="343" t="str">
        <f>"16.13"</f>
        <v>16.13</v>
      </c>
      <c r="C871" s="75" t="s">
        <v>2881</v>
      </c>
      <c r="D871" s="127" t="s">
        <v>2882</v>
      </c>
      <c r="E871" s="232"/>
    </row>
    <row r="872" spans="1:5" ht="14.55" customHeight="1" outlineLevel="1" x14ac:dyDescent="0.25">
      <c r="A872" s="230" t="s">
        <v>1422</v>
      </c>
      <c r="B872" s="343" t="str">
        <f>"16.1301"</f>
        <v>16.1301</v>
      </c>
      <c r="C872" s="75" t="s">
        <v>2881</v>
      </c>
      <c r="D872" s="127" t="s">
        <v>2883</v>
      </c>
      <c r="E872" s="232"/>
    </row>
    <row r="873" spans="1:5" ht="14.55" customHeight="1" outlineLevel="1" x14ac:dyDescent="0.25">
      <c r="A873" s="230" t="s">
        <v>1422</v>
      </c>
      <c r="B873" s="343" t="str">
        <f>"16.14"</f>
        <v>16.14</v>
      </c>
      <c r="C873" s="75" t="s">
        <v>2884</v>
      </c>
      <c r="D873" s="127" t="s">
        <v>2885</v>
      </c>
      <c r="E873" s="232"/>
    </row>
    <row r="874" spans="1:5" ht="14.55" customHeight="1" outlineLevel="1" x14ac:dyDescent="0.25">
      <c r="A874" s="230" t="s">
        <v>1422</v>
      </c>
      <c r="B874" s="343" t="str">
        <f>"16.1400"</f>
        <v>16.1400</v>
      </c>
      <c r="C874" s="75" t="s">
        <v>2886</v>
      </c>
      <c r="D874" s="127" t="s">
        <v>2887</v>
      </c>
      <c r="E874" s="232"/>
    </row>
    <row r="875" spans="1:5" ht="14.55" customHeight="1" outlineLevel="1" x14ac:dyDescent="0.25">
      <c r="A875" s="230" t="s">
        <v>1422</v>
      </c>
      <c r="B875" s="343" t="str">
        <f>"16.1401"</f>
        <v>16.1401</v>
      </c>
      <c r="C875" s="75" t="s">
        <v>2888</v>
      </c>
      <c r="D875" s="127" t="s">
        <v>2889</v>
      </c>
      <c r="E875" s="232"/>
    </row>
    <row r="876" spans="1:5" ht="14.55" customHeight="1" outlineLevel="1" x14ac:dyDescent="0.25">
      <c r="A876" s="230" t="s">
        <v>1422</v>
      </c>
      <c r="B876" s="343" t="str">
        <f>"16.1402"</f>
        <v>16.1402</v>
      </c>
      <c r="C876" s="75" t="s">
        <v>2890</v>
      </c>
      <c r="D876" s="127" t="s">
        <v>2891</v>
      </c>
      <c r="E876" s="232"/>
    </row>
    <row r="877" spans="1:5" ht="14.55" customHeight="1" outlineLevel="1" x14ac:dyDescent="0.25">
      <c r="A877" s="230" t="s">
        <v>1422</v>
      </c>
      <c r="B877" s="343" t="str">
        <f>"16.1403"</f>
        <v>16.1403</v>
      </c>
      <c r="C877" s="75" t="s">
        <v>2892</v>
      </c>
      <c r="D877" s="127" t="s">
        <v>2893</v>
      </c>
      <c r="E877" s="232"/>
    </row>
    <row r="878" spans="1:5" ht="14.55" customHeight="1" outlineLevel="1" x14ac:dyDescent="0.25">
      <c r="A878" s="230" t="s">
        <v>1422</v>
      </c>
      <c r="B878" s="343" t="str">
        <f>"16.1404"</f>
        <v>16.1404</v>
      </c>
      <c r="C878" s="75" t="s">
        <v>2894</v>
      </c>
      <c r="D878" s="127" t="s">
        <v>2895</v>
      </c>
      <c r="E878" s="232"/>
    </row>
    <row r="879" spans="1:5" ht="14.55" customHeight="1" outlineLevel="1" x14ac:dyDescent="0.25">
      <c r="A879" s="230" t="s">
        <v>1422</v>
      </c>
      <c r="B879" s="343" t="str">
        <f>"16.1405"</f>
        <v>16.1405</v>
      </c>
      <c r="C879" s="75" t="s">
        <v>2896</v>
      </c>
      <c r="D879" s="127" t="s">
        <v>2897</v>
      </c>
      <c r="E879" s="232"/>
    </row>
    <row r="880" spans="1:5" ht="14.55" customHeight="1" outlineLevel="1" x14ac:dyDescent="0.25">
      <c r="A880" s="230" t="s">
        <v>1422</v>
      </c>
      <c r="B880" s="343" t="str">
        <f>"16.1406"</f>
        <v>16.1406</v>
      </c>
      <c r="C880" s="75" t="s">
        <v>2898</v>
      </c>
      <c r="D880" s="127" t="s">
        <v>2899</v>
      </c>
      <c r="E880" s="232"/>
    </row>
    <row r="881" spans="1:5" ht="14.55" customHeight="1" outlineLevel="1" x14ac:dyDescent="0.25">
      <c r="A881" s="230" t="s">
        <v>1422</v>
      </c>
      <c r="B881" s="343" t="str">
        <f>"16.1407"</f>
        <v>16.1407</v>
      </c>
      <c r="C881" s="75" t="s">
        <v>2900</v>
      </c>
      <c r="D881" s="127" t="s">
        <v>2901</v>
      </c>
      <c r="E881" s="232"/>
    </row>
    <row r="882" spans="1:5" ht="14.55" customHeight="1" outlineLevel="1" x14ac:dyDescent="0.25">
      <c r="A882" s="230" t="s">
        <v>1422</v>
      </c>
      <c r="B882" s="343" t="str">
        <f>"16.1408"</f>
        <v>16.1408</v>
      </c>
      <c r="C882" s="75" t="s">
        <v>2902</v>
      </c>
      <c r="D882" s="127" t="s">
        <v>2903</v>
      </c>
      <c r="E882" s="232"/>
    </row>
    <row r="883" spans="1:5" ht="14.55" customHeight="1" outlineLevel="1" x14ac:dyDescent="0.25">
      <c r="A883" s="230" t="s">
        <v>1422</v>
      </c>
      <c r="B883" s="343" t="str">
        <f>"16.1409"</f>
        <v>16.1409</v>
      </c>
      <c r="C883" s="75" t="s">
        <v>2904</v>
      </c>
      <c r="D883" s="127" t="s">
        <v>2905</v>
      </c>
      <c r="E883" s="232"/>
    </row>
    <row r="884" spans="1:5" ht="14.55" customHeight="1" outlineLevel="1" x14ac:dyDescent="0.25">
      <c r="A884" s="230" t="s">
        <v>1422</v>
      </c>
      <c r="B884" s="343" t="str">
        <f>"16.1499"</f>
        <v>16.1499</v>
      </c>
      <c r="C884" s="75" t="s">
        <v>2906</v>
      </c>
      <c r="D884" s="127" t="s">
        <v>2907</v>
      </c>
      <c r="E884" s="232"/>
    </row>
    <row r="885" spans="1:5" ht="14.55" customHeight="1" outlineLevel="1" x14ac:dyDescent="0.25">
      <c r="A885" s="230" t="s">
        <v>1422</v>
      </c>
      <c r="B885" s="343" t="str">
        <f>"16.15"</f>
        <v>16.15</v>
      </c>
      <c r="C885" s="75" t="s">
        <v>2908</v>
      </c>
      <c r="D885" s="127" t="s">
        <v>2909</v>
      </c>
      <c r="E885" s="232"/>
    </row>
    <row r="886" spans="1:5" ht="14.55" customHeight="1" outlineLevel="1" x14ac:dyDescent="0.25">
      <c r="A886" s="230" t="s">
        <v>1422</v>
      </c>
      <c r="B886" s="343" t="str">
        <f>"16.1501"</f>
        <v>16.1501</v>
      </c>
      <c r="C886" s="75" t="s">
        <v>2910</v>
      </c>
      <c r="D886" s="127" t="s">
        <v>2911</v>
      </c>
      <c r="E886" s="232"/>
    </row>
    <row r="887" spans="1:5" ht="14.55" customHeight="1" outlineLevel="1" x14ac:dyDescent="0.25">
      <c r="A887" s="230" t="s">
        <v>1422</v>
      </c>
      <c r="B887" s="343" t="str">
        <f>"16.1502"</f>
        <v>16.1502</v>
      </c>
      <c r="C887" s="75" t="s">
        <v>2912</v>
      </c>
      <c r="D887" s="127" t="s">
        <v>2913</v>
      </c>
      <c r="E887" s="232"/>
    </row>
    <row r="888" spans="1:5" ht="14.55" customHeight="1" outlineLevel="1" x14ac:dyDescent="0.25">
      <c r="A888" s="230" t="s">
        <v>1422</v>
      </c>
      <c r="B888" s="343" t="str">
        <f>"16.1503"</f>
        <v>16.1503</v>
      </c>
      <c r="C888" s="75" t="s">
        <v>2914</v>
      </c>
      <c r="D888" s="127" t="s">
        <v>2915</v>
      </c>
      <c r="E888" s="232"/>
    </row>
    <row r="889" spans="1:5" ht="14.55" customHeight="1" outlineLevel="1" x14ac:dyDescent="0.25">
      <c r="A889" s="230" t="s">
        <v>1422</v>
      </c>
      <c r="B889" s="343" t="str">
        <f>"16.1504"</f>
        <v>16.1504</v>
      </c>
      <c r="C889" s="75" t="s">
        <v>2916</v>
      </c>
      <c r="D889" s="127" t="s">
        <v>2917</v>
      </c>
      <c r="E889" s="232"/>
    </row>
    <row r="890" spans="1:5" ht="14.55" customHeight="1" outlineLevel="1" x14ac:dyDescent="0.25">
      <c r="A890" s="230" t="s">
        <v>1422</v>
      </c>
      <c r="B890" s="343" t="str">
        <f>"16.1599"</f>
        <v>16.1599</v>
      </c>
      <c r="C890" s="75" t="s">
        <v>2918</v>
      </c>
      <c r="D890" s="127" t="s">
        <v>2919</v>
      </c>
      <c r="E890" s="232"/>
    </row>
    <row r="891" spans="1:5" ht="14.55" customHeight="1" outlineLevel="1" x14ac:dyDescent="0.25">
      <c r="A891" s="230" t="s">
        <v>1422</v>
      </c>
      <c r="B891" s="343" t="str">
        <f>"16.16"</f>
        <v>16.16</v>
      </c>
      <c r="C891" s="75" t="s">
        <v>2920</v>
      </c>
      <c r="D891" s="127" t="s">
        <v>2921</v>
      </c>
      <c r="E891" s="232"/>
    </row>
    <row r="892" spans="1:5" ht="14.55" customHeight="1" outlineLevel="1" x14ac:dyDescent="0.25">
      <c r="A892" s="230" t="s">
        <v>1422</v>
      </c>
      <c r="B892" s="343" t="str">
        <f>"16.1601"</f>
        <v>16.1601</v>
      </c>
      <c r="C892" s="75" t="s">
        <v>2922</v>
      </c>
      <c r="D892" s="127" t="s">
        <v>2923</v>
      </c>
      <c r="E892" s="232"/>
    </row>
    <row r="893" spans="1:5" ht="14.55" customHeight="1" outlineLevel="1" x14ac:dyDescent="0.25">
      <c r="A893" s="230" t="s">
        <v>1422</v>
      </c>
      <c r="B893" s="343" t="str">
        <f>"16.1602"</f>
        <v>16.1602</v>
      </c>
      <c r="C893" s="75" t="s">
        <v>2924</v>
      </c>
      <c r="D893" s="127" t="s">
        <v>2925</v>
      </c>
      <c r="E893" s="232"/>
    </row>
    <row r="894" spans="1:5" ht="14.55" customHeight="1" outlineLevel="1" x14ac:dyDescent="0.25">
      <c r="A894" s="230" t="s">
        <v>1422</v>
      </c>
      <c r="B894" s="343" t="str">
        <f>"16.1603"</f>
        <v>16.1603</v>
      </c>
      <c r="C894" s="75" t="s">
        <v>2926</v>
      </c>
      <c r="D894" s="127" t="s">
        <v>2927</v>
      </c>
      <c r="E894" s="232"/>
    </row>
    <row r="895" spans="1:5" ht="14.55" customHeight="1" outlineLevel="1" x14ac:dyDescent="0.25">
      <c r="A895" s="230" t="s">
        <v>1422</v>
      </c>
      <c r="B895" s="343" t="str">
        <f>"16.1699"</f>
        <v>16.1699</v>
      </c>
      <c r="C895" s="75" t="s">
        <v>2928</v>
      </c>
      <c r="D895" s="127" t="s">
        <v>2929</v>
      </c>
      <c r="E895" s="232"/>
    </row>
    <row r="896" spans="1:5" ht="14.55" customHeight="1" outlineLevel="1" x14ac:dyDescent="0.25">
      <c r="A896" s="230" t="s">
        <v>1422</v>
      </c>
      <c r="B896" s="343" t="str">
        <f>"16.17"</f>
        <v>16.17</v>
      </c>
      <c r="C896" s="75" t="s">
        <v>2930</v>
      </c>
      <c r="D896" s="127" t="s">
        <v>2931</v>
      </c>
      <c r="E896" s="232"/>
    </row>
    <row r="897" spans="1:5" ht="14.55" customHeight="1" outlineLevel="1" x14ac:dyDescent="0.25">
      <c r="A897" s="230" t="s">
        <v>1422</v>
      </c>
      <c r="B897" s="343" t="str">
        <f>"16.1701"</f>
        <v>16.1701</v>
      </c>
      <c r="C897" s="75" t="s">
        <v>2932</v>
      </c>
      <c r="D897" s="127" t="s">
        <v>2933</v>
      </c>
      <c r="E897" s="232"/>
    </row>
    <row r="898" spans="1:5" ht="14.55" customHeight="1" outlineLevel="1" x14ac:dyDescent="0.25">
      <c r="A898" s="230" t="s">
        <v>1422</v>
      </c>
      <c r="B898" s="343" t="str">
        <f>"16.1702"</f>
        <v>16.1702</v>
      </c>
      <c r="C898" s="75" t="s">
        <v>1479</v>
      </c>
      <c r="D898" s="127" t="s">
        <v>1480</v>
      </c>
      <c r="E898" s="232"/>
    </row>
    <row r="899" spans="1:5" ht="14.55" customHeight="1" outlineLevel="1" x14ac:dyDescent="0.25">
      <c r="A899" s="230" t="s">
        <v>1422</v>
      </c>
      <c r="B899" s="343" t="str">
        <f>"16.1799"</f>
        <v>16.1799</v>
      </c>
      <c r="C899" s="75" t="s">
        <v>1479</v>
      </c>
      <c r="D899" s="127" t="s">
        <v>1480</v>
      </c>
      <c r="E899" s="232"/>
    </row>
    <row r="900" spans="1:5" ht="14.55" customHeight="1" outlineLevel="1" x14ac:dyDescent="0.25">
      <c r="A900" s="230" t="s">
        <v>1422</v>
      </c>
      <c r="B900" s="343" t="str">
        <f>"16.18"</f>
        <v>16.18</v>
      </c>
      <c r="C900" s="75" t="s">
        <v>2934</v>
      </c>
      <c r="D900" s="127" t="s">
        <v>2935</v>
      </c>
      <c r="E900" s="232"/>
    </row>
    <row r="901" spans="1:5" ht="14.55" customHeight="1" outlineLevel="1" x14ac:dyDescent="0.25">
      <c r="A901" s="230" t="s">
        <v>1422</v>
      </c>
      <c r="B901" s="343" t="str">
        <f>"16.1801"</f>
        <v>16.1801</v>
      </c>
      <c r="C901" s="75" t="s">
        <v>2936</v>
      </c>
      <c r="D901" s="127" t="s">
        <v>2937</v>
      </c>
      <c r="E901" s="232"/>
    </row>
    <row r="902" spans="1:5" ht="14.55" customHeight="1" outlineLevel="1" x14ac:dyDescent="0.25">
      <c r="A902" s="230" t="s">
        <v>1422</v>
      </c>
      <c r="B902" s="343" t="str">
        <f>"16.99"</f>
        <v>16.99</v>
      </c>
      <c r="C902" s="75" t="s">
        <v>2938</v>
      </c>
      <c r="D902" s="127" t="s">
        <v>2939</v>
      </c>
      <c r="E902" s="232"/>
    </row>
    <row r="903" spans="1:5" ht="14.55" customHeight="1" outlineLevel="1" x14ac:dyDescent="0.25">
      <c r="A903" s="230" t="s">
        <v>1422</v>
      </c>
      <c r="B903" s="343" t="str">
        <f>"16.9999"</f>
        <v>16.9999</v>
      </c>
      <c r="C903" s="75" t="s">
        <v>2938</v>
      </c>
      <c r="D903" s="127" t="s">
        <v>2940</v>
      </c>
      <c r="E903" s="232"/>
    </row>
    <row r="904" spans="1:5" ht="14.55" customHeight="1" outlineLevel="1" x14ac:dyDescent="0.25">
      <c r="A904" s="230" t="s">
        <v>1422</v>
      </c>
      <c r="B904" s="343" t="str">
        <f>"19"</f>
        <v>19</v>
      </c>
      <c r="C904" s="75" t="s">
        <v>2941</v>
      </c>
      <c r="D904" s="127" t="s">
        <v>2942</v>
      </c>
      <c r="E904" s="232"/>
    </row>
    <row r="905" spans="1:5" ht="14.55" customHeight="1" outlineLevel="1" x14ac:dyDescent="0.25">
      <c r="A905" s="230" t="s">
        <v>1422</v>
      </c>
      <c r="B905" s="343" t="str">
        <f>"19.01"</f>
        <v>19.01</v>
      </c>
      <c r="C905" s="75" t="s">
        <v>2943</v>
      </c>
      <c r="D905" s="127" t="s">
        <v>2944</v>
      </c>
      <c r="E905" s="232"/>
    </row>
    <row r="906" spans="1:5" ht="14.55" customHeight="1" outlineLevel="1" x14ac:dyDescent="0.25">
      <c r="A906" s="230" t="s">
        <v>1422</v>
      </c>
      <c r="B906" s="343" t="str">
        <f>"19.0101"</f>
        <v>19.0101</v>
      </c>
      <c r="C906" s="75" t="s">
        <v>2943</v>
      </c>
      <c r="D906" s="127" t="s">
        <v>2945</v>
      </c>
      <c r="E906" s="232"/>
    </row>
    <row r="907" spans="1:5" ht="14.55" customHeight="1" outlineLevel="1" x14ac:dyDescent="0.25">
      <c r="A907" s="230" t="s">
        <v>1422</v>
      </c>
      <c r="B907" s="343" t="str">
        <f>"19.02"</f>
        <v>19.02</v>
      </c>
      <c r="C907" s="75" t="s">
        <v>2946</v>
      </c>
      <c r="D907" s="127" t="s">
        <v>2947</v>
      </c>
      <c r="E907" s="232"/>
    </row>
    <row r="908" spans="1:5" ht="14.55" customHeight="1" outlineLevel="1" x14ac:dyDescent="0.25">
      <c r="A908" s="230" t="s">
        <v>1422</v>
      </c>
      <c r="B908" s="343" t="str">
        <f>"19.0201"</f>
        <v>19.0201</v>
      </c>
      <c r="C908" s="75" t="s">
        <v>2948</v>
      </c>
      <c r="D908" s="127" t="s">
        <v>2949</v>
      </c>
      <c r="E908" s="232"/>
    </row>
    <row r="909" spans="1:5" ht="14.55" customHeight="1" outlineLevel="1" x14ac:dyDescent="0.25">
      <c r="A909" s="230" t="s">
        <v>1422</v>
      </c>
      <c r="B909" s="343" t="str">
        <f>"19.0202"</f>
        <v>19.0202</v>
      </c>
      <c r="C909" s="75" t="s">
        <v>2950</v>
      </c>
      <c r="D909" s="127" t="s">
        <v>2951</v>
      </c>
      <c r="E909" s="232"/>
    </row>
    <row r="910" spans="1:5" ht="14.55" customHeight="1" outlineLevel="1" x14ac:dyDescent="0.25">
      <c r="A910" s="230" t="s">
        <v>1422</v>
      </c>
      <c r="B910" s="343" t="str">
        <f>"19.0203"</f>
        <v>19.0203</v>
      </c>
      <c r="C910" s="75" t="s">
        <v>2952</v>
      </c>
      <c r="D910" s="127" t="s">
        <v>2953</v>
      </c>
      <c r="E910" s="232"/>
    </row>
    <row r="911" spans="1:5" ht="14.55" customHeight="1" outlineLevel="1" x14ac:dyDescent="0.25">
      <c r="A911" s="230" t="s">
        <v>1422</v>
      </c>
      <c r="B911" s="343" t="str">
        <f>"19.0299"</f>
        <v>19.0299</v>
      </c>
      <c r="C911" s="75" t="s">
        <v>2954</v>
      </c>
      <c r="D911" s="127" t="s">
        <v>2955</v>
      </c>
      <c r="E911" s="232"/>
    </row>
    <row r="912" spans="1:5" ht="14.55" customHeight="1" outlineLevel="1" x14ac:dyDescent="0.25">
      <c r="A912" s="230" t="s">
        <v>1422</v>
      </c>
      <c r="B912" s="343" t="str">
        <f>"19.04"</f>
        <v>19.04</v>
      </c>
      <c r="C912" s="75" t="s">
        <v>2956</v>
      </c>
      <c r="D912" s="127" t="s">
        <v>2957</v>
      </c>
      <c r="E912" s="232"/>
    </row>
    <row r="913" spans="1:5" ht="14.55" customHeight="1" outlineLevel="1" x14ac:dyDescent="0.25">
      <c r="A913" s="230" t="s">
        <v>1422</v>
      </c>
      <c r="B913" s="343" t="str">
        <f>"19.0401"</f>
        <v>19.0401</v>
      </c>
      <c r="C913" s="75" t="s">
        <v>2958</v>
      </c>
      <c r="D913" s="127" t="s">
        <v>2959</v>
      </c>
      <c r="E913" s="232"/>
    </row>
    <row r="914" spans="1:5" ht="14.55" customHeight="1" outlineLevel="1" x14ac:dyDescent="0.25">
      <c r="A914" s="230" t="s">
        <v>1422</v>
      </c>
      <c r="B914" s="343" t="str">
        <f>"19.0402"</f>
        <v>19.0402</v>
      </c>
      <c r="C914" s="75" t="s">
        <v>2960</v>
      </c>
      <c r="D914" s="127" t="s">
        <v>2961</v>
      </c>
      <c r="E914" s="232"/>
    </row>
    <row r="915" spans="1:5" ht="14.55" customHeight="1" outlineLevel="1" x14ac:dyDescent="0.25">
      <c r="A915" s="230" t="s">
        <v>1422</v>
      </c>
      <c r="B915" s="343" t="str">
        <f>"19.0403"</f>
        <v>19.0403</v>
      </c>
      <c r="C915" s="75" t="s">
        <v>2962</v>
      </c>
      <c r="D915" s="127" t="s">
        <v>2963</v>
      </c>
      <c r="E915" s="232"/>
    </row>
    <row r="916" spans="1:5" ht="14.55" customHeight="1" outlineLevel="1" x14ac:dyDescent="0.25">
      <c r="A916" s="230" t="s">
        <v>1422</v>
      </c>
      <c r="B916" s="343" t="str">
        <f>"19.0499"</f>
        <v>19.0499</v>
      </c>
      <c r="C916" s="75" t="s">
        <v>2964</v>
      </c>
      <c r="D916" s="127" t="s">
        <v>2965</v>
      </c>
      <c r="E916" s="232"/>
    </row>
    <row r="917" spans="1:5" ht="14.55" customHeight="1" outlineLevel="1" x14ac:dyDescent="0.25">
      <c r="A917" s="230" t="s">
        <v>1422</v>
      </c>
      <c r="B917" s="343" t="str">
        <f>"19.05"</f>
        <v>19.05</v>
      </c>
      <c r="C917" s="75" t="s">
        <v>2966</v>
      </c>
      <c r="D917" s="127" t="s">
        <v>2967</v>
      </c>
      <c r="E917" s="232"/>
    </row>
    <row r="918" spans="1:5" ht="14.55" customHeight="1" outlineLevel="1" x14ac:dyDescent="0.25">
      <c r="A918" s="230" t="s">
        <v>1422</v>
      </c>
      <c r="B918" s="343" t="str">
        <f>"19.0501"</f>
        <v>19.0501</v>
      </c>
      <c r="C918" s="75" t="s">
        <v>2968</v>
      </c>
      <c r="D918" s="127" t="s">
        <v>2969</v>
      </c>
      <c r="E918" s="232"/>
    </row>
    <row r="919" spans="1:5" ht="14.55" customHeight="1" outlineLevel="1" x14ac:dyDescent="0.25">
      <c r="A919" s="230" t="s">
        <v>1422</v>
      </c>
      <c r="B919" s="343" t="str">
        <f>"19.0504"</f>
        <v>19.0504</v>
      </c>
      <c r="C919" s="75" t="s">
        <v>2970</v>
      </c>
      <c r="D919" s="127" t="s">
        <v>2971</v>
      </c>
      <c r="E919" s="232"/>
    </row>
    <row r="920" spans="1:5" ht="14.55" customHeight="1" outlineLevel="1" x14ac:dyDescent="0.25">
      <c r="A920" s="230" t="s">
        <v>1422</v>
      </c>
      <c r="B920" s="343" t="str">
        <f>"19.0505"</f>
        <v>19.0505</v>
      </c>
      <c r="C920" s="75" t="s">
        <v>2972</v>
      </c>
      <c r="D920" s="127" t="s">
        <v>2973</v>
      </c>
      <c r="E920" s="232"/>
    </row>
    <row r="921" spans="1:5" ht="14.55" customHeight="1" outlineLevel="1" x14ac:dyDescent="0.25">
      <c r="A921" s="230" t="s">
        <v>1422</v>
      </c>
      <c r="B921" s="343" t="str">
        <f>"19.0599"</f>
        <v>19.0599</v>
      </c>
      <c r="C921" s="75" t="s">
        <v>2974</v>
      </c>
      <c r="D921" s="127" t="s">
        <v>2975</v>
      </c>
      <c r="E921" s="232"/>
    </row>
    <row r="922" spans="1:5" ht="14.55" customHeight="1" outlineLevel="1" x14ac:dyDescent="0.25">
      <c r="A922" s="230" t="s">
        <v>1422</v>
      </c>
      <c r="B922" s="343" t="str">
        <f>"19.06"</f>
        <v>19.06</v>
      </c>
      <c r="C922" s="75" t="s">
        <v>2976</v>
      </c>
      <c r="D922" s="127" t="s">
        <v>2977</v>
      </c>
      <c r="E922" s="232"/>
    </row>
    <row r="923" spans="1:5" ht="14.55" customHeight="1" outlineLevel="1" x14ac:dyDescent="0.25">
      <c r="A923" s="230" t="s">
        <v>1422</v>
      </c>
      <c r="B923" s="343" t="str">
        <f>"19.0601"</f>
        <v>19.0601</v>
      </c>
      <c r="C923" s="75" t="s">
        <v>2978</v>
      </c>
      <c r="D923" s="127" t="s">
        <v>2979</v>
      </c>
      <c r="E923" s="232"/>
    </row>
    <row r="924" spans="1:5" ht="14.55" customHeight="1" outlineLevel="1" x14ac:dyDescent="0.25">
      <c r="A924" s="230" t="s">
        <v>1422</v>
      </c>
      <c r="B924" s="343" t="str">
        <f>"19.0604"</f>
        <v>19.0604</v>
      </c>
      <c r="C924" s="75" t="s">
        <v>2980</v>
      </c>
      <c r="D924" s="127" t="s">
        <v>2981</v>
      </c>
      <c r="E924" s="232"/>
    </row>
    <row r="925" spans="1:5" ht="14.55" customHeight="1" outlineLevel="1" x14ac:dyDescent="0.25">
      <c r="A925" s="230" t="s">
        <v>1422</v>
      </c>
      <c r="B925" s="343" t="str">
        <f>"19.0605"</f>
        <v>19.0605</v>
      </c>
      <c r="C925" s="75" t="s">
        <v>2982</v>
      </c>
      <c r="D925" s="127" t="s">
        <v>2983</v>
      </c>
      <c r="E925" s="232"/>
    </row>
    <row r="926" spans="1:5" ht="14.55" customHeight="1" outlineLevel="1" x14ac:dyDescent="0.25">
      <c r="A926" s="230" t="s">
        <v>1422</v>
      </c>
      <c r="B926" s="343" t="str">
        <f>"19.0699"</f>
        <v>19.0699</v>
      </c>
      <c r="C926" s="75" t="s">
        <v>2984</v>
      </c>
      <c r="D926" s="127" t="s">
        <v>2985</v>
      </c>
      <c r="E926" s="232"/>
    </row>
    <row r="927" spans="1:5" ht="14.55" customHeight="1" outlineLevel="1" x14ac:dyDescent="0.25">
      <c r="A927" s="230" t="s">
        <v>1422</v>
      </c>
      <c r="B927" s="343" t="str">
        <f>"19.07"</f>
        <v>19.07</v>
      </c>
      <c r="C927" s="75" t="s">
        <v>2986</v>
      </c>
      <c r="D927" s="127" t="s">
        <v>2987</v>
      </c>
      <c r="E927" s="232"/>
    </row>
    <row r="928" spans="1:5" ht="14.55" customHeight="1" outlineLevel="1" x14ac:dyDescent="0.25">
      <c r="A928" s="230" t="s">
        <v>1422</v>
      </c>
      <c r="B928" s="343" t="str">
        <f>"19.0701"</f>
        <v>19.0701</v>
      </c>
      <c r="C928" s="75" t="s">
        <v>2988</v>
      </c>
      <c r="D928" s="127" t="s">
        <v>2989</v>
      </c>
      <c r="E928" s="232"/>
    </row>
    <row r="929" spans="1:5" ht="14.55" customHeight="1" outlineLevel="1" x14ac:dyDescent="0.25">
      <c r="A929" s="230" t="s">
        <v>1422</v>
      </c>
      <c r="B929" s="343" t="str">
        <f>"19.0702"</f>
        <v>19.0702</v>
      </c>
      <c r="C929" s="75" t="s">
        <v>2990</v>
      </c>
      <c r="D929" s="127" t="s">
        <v>2991</v>
      </c>
      <c r="E929" s="232"/>
    </row>
    <row r="930" spans="1:5" ht="14.55" customHeight="1" outlineLevel="1" x14ac:dyDescent="0.25">
      <c r="A930" s="230" t="s">
        <v>1422</v>
      </c>
      <c r="B930" s="343" t="str">
        <f>"19.0704"</f>
        <v>19.0704</v>
      </c>
      <c r="C930" s="75" t="s">
        <v>2992</v>
      </c>
      <c r="D930" s="127" t="s">
        <v>2993</v>
      </c>
      <c r="E930" s="232"/>
    </row>
    <row r="931" spans="1:5" ht="14.55" customHeight="1" outlineLevel="1" x14ac:dyDescent="0.25">
      <c r="A931" s="230" t="s">
        <v>1422</v>
      </c>
      <c r="B931" s="343" t="str">
        <f>"19.0706"</f>
        <v>19.0706</v>
      </c>
      <c r="C931" s="75" t="s">
        <v>2994</v>
      </c>
      <c r="D931" s="127" t="s">
        <v>2995</v>
      </c>
      <c r="E931" s="232"/>
    </row>
    <row r="932" spans="1:5" ht="14.55" customHeight="1" outlineLevel="1" x14ac:dyDescent="0.25">
      <c r="A932" s="230" t="s">
        <v>1422</v>
      </c>
      <c r="B932" s="343" t="str">
        <f>"19.0707"</f>
        <v>19.0707</v>
      </c>
      <c r="C932" s="75" t="s">
        <v>2996</v>
      </c>
      <c r="D932" s="127" t="s">
        <v>2997</v>
      </c>
      <c r="E932" s="232"/>
    </row>
    <row r="933" spans="1:5" ht="14.55" customHeight="1" outlineLevel="1" x14ac:dyDescent="0.25">
      <c r="A933" s="230" t="s">
        <v>1422</v>
      </c>
      <c r="B933" s="343" t="str">
        <f>"19.0708"</f>
        <v>19.0708</v>
      </c>
      <c r="C933" s="75" t="s">
        <v>2998</v>
      </c>
      <c r="D933" s="127" t="s">
        <v>2999</v>
      </c>
      <c r="E933" s="232"/>
    </row>
    <row r="934" spans="1:5" ht="14.55" customHeight="1" outlineLevel="1" x14ac:dyDescent="0.25">
      <c r="A934" s="230" t="s">
        <v>1422</v>
      </c>
      <c r="B934" s="343" t="str">
        <f>"19.0709"</f>
        <v>19.0709</v>
      </c>
      <c r="C934" s="75" t="s">
        <v>3000</v>
      </c>
      <c r="D934" s="127" t="s">
        <v>3001</v>
      </c>
      <c r="E934" s="232"/>
    </row>
    <row r="935" spans="1:5" ht="14.55" customHeight="1" outlineLevel="1" x14ac:dyDescent="0.25">
      <c r="A935" s="230" t="s">
        <v>1422</v>
      </c>
      <c r="B935" s="343" t="str">
        <f>"19.0710"</f>
        <v>19.0710</v>
      </c>
      <c r="C935" s="75" t="s">
        <v>3002</v>
      </c>
      <c r="D935" s="127" t="s">
        <v>3003</v>
      </c>
      <c r="E935" s="232"/>
    </row>
    <row r="936" spans="1:5" ht="14.55" customHeight="1" outlineLevel="1" x14ac:dyDescent="0.25">
      <c r="A936" s="230" t="s">
        <v>1422</v>
      </c>
      <c r="B936" s="343" t="str">
        <f>"19.0711"</f>
        <v>19.0711</v>
      </c>
      <c r="C936" s="75" t="s">
        <v>3004</v>
      </c>
      <c r="D936" s="127" t="s">
        <v>3005</v>
      </c>
      <c r="E936" s="232"/>
    </row>
    <row r="937" spans="1:5" ht="14.55" customHeight="1" outlineLevel="1" x14ac:dyDescent="0.25">
      <c r="A937" s="230" t="s">
        <v>1422</v>
      </c>
      <c r="B937" s="343" t="str">
        <f>"19.0712"</f>
        <v>19.0712</v>
      </c>
      <c r="C937" s="75" t="s">
        <v>3006</v>
      </c>
      <c r="D937" s="127" t="s">
        <v>3007</v>
      </c>
      <c r="E937" s="232"/>
    </row>
    <row r="938" spans="1:5" ht="14.55" customHeight="1" outlineLevel="1" x14ac:dyDescent="0.25">
      <c r="A938" s="230" t="s">
        <v>1422</v>
      </c>
      <c r="B938" s="343" t="str">
        <f>"19.0799"</f>
        <v>19.0799</v>
      </c>
      <c r="C938" s="75" t="s">
        <v>3008</v>
      </c>
      <c r="D938" s="127" t="s">
        <v>3009</v>
      </c>
      <c r="E938" s="232"/>
    </row>
    <row r="939" spans="1:5" ht="14.55" customHeight="1" outlineLevel="1" x14ac:dyDescent="0.25">
      <c r="A939" s="230" t="s">
        <v>1422</v>
      </c>
      <c r="B939" s="343" t="str">
        <f>"19.09"</f>
        <v>19.09</v>
      </c>
      <c r="C939" s="75" t="s">
        <v>3010</v>
      </c>
      <c r="D939" s="127" t="s">
        <v>3011</v>
      </c>
      <c r="E939" s="232"/>
    </row>
    <row r="940" spans="1:5" ht="14.55" customHeight="1" outlineLevel="1" x14ac:dyDescent="0.25">
      <c r="A940" s="230" t="s">
        <v>1422</v>
      </c>
      <c r="B940" s="343" t="str">
        <f>"19.0901"</f>
        <v>19.0901</v>
      </c>
      <c r="C940" s="75" t="s">
        <v>3012</v>
      </c>
      <c r="D940" s="127" t="s">
        <v>3013</v>
      </c>
      <c r="E940" s="232"/>
    </row>
    <row r="941" spans="1:5" ht="14.55" customHeight="1" outlineLevel="1" x14ac:dyDescent="0.25">
      <c r="A941" s="230" t="s">
        <v>1422</v>
      </c>
      <c r="B941" s="343" t="str">
        <f>"19.0902"</f>
        <v>19.0902</v>
      </c>
      <c r="C941" s="75" t="s">
        <v>3014</v>
      </c>
      <c r="D941" s="127" t="s">
        <v>3015</v>
      </c>
      <c r="E941" s="232"/>
    </row>
    <row r="942" spans="1:5" ht="14.55" customHeight="1" outlineLevel="1" x14ac:dyDescent="0.25">
      <c r="A942" s="230" t="s">
        <v>1422</v>
      </c>
      <c r="B942" s="343" t="str">
        <f>"19.0904"</f>
        <v>19.0904</v>
      </c>
      <c r="C942" s="75" t="s">
        <v>3016</v>
      </c>
      <c r="D942" s="127" t="s">
        <v>3017</v>
      </c>
      <c r="E942" s="232"/>
    </row>
    <row r="943" spans="1:5" ht="14.55" customHeight="1" outlineLevel="1" x14ac:dyDescent="0.25">
      <c r="A943" s="230" t="s">
        <v>1422</v>
      </c>
      <c r="B943" s="343" t="str">
        <f>"19.0905"</f>
        <v>19.0905</v>
      </c>
      <c r="C943" s="75" t="s">
        <v>3018</v>
      </c>
      <c r="D943" s="127" t="s">
        <v>3019</v>
      </c>
      <c r="E943" s="232"/>
    </row>
    <row r="944" spans="1:5" ht="14.55" customHeight="1" outlineLevel="1" x14ac:dyDescent="0.25">
      <c r="A944" s="230" t="s">
        <v>1422</v>
      </c>
      <c r="B944" s="343" t="str">
        <f>"19.0906"</f>
        <v>19.0906</v>
      </c>
      <c r="C944" s="75" t="s">
        <v>3020</v>
      </c>
      <c r="D944" s="127" t="s">
        <v>3021</v>
      </c>
      <c r="E944" s="232"/>
    </row>
    <row r="945" spans="1:5" ht="14.55" customHeight="1" outlineLevel="1" x14ac:dyDescent="0.25">
      <c r="A945" s="230" t="s">
        <v>1422</v>
      </c>
      <c r="B945" s="343" t="str">
        <f>"19.0999"</f>
        <v>19.0999</v>
      </c>
      <c r="C945" s="75" t="s">
        <v>3022</v>
      </c>
      <c r="D945" s="127" t="s">
        <v>3023</v>
      </c>
      <c r="E945" s="232"/>
    </row>
    <row r="946" spans="1:5" ht="14.55" customHeight="1" outlineLevel="1" x14ac:dyDescent="0.25">
      <c r="A946" s="230" t="s">
        <v>1422</v>
      </c>
      <c r="B946" s="343" t="str">
        <f>"19.10"</f>
        <v>19.10</v>
      </c>
      <c r="C946" s="75" t="s">
        <v>3024</v>
      </c>
      <c r="D946" s="127" t="s">
        <v>3025</v>
      </c>
      <c r="E946" s="232"/>
    </row>
    <row r="947" spans="1:5" ht="14.55" customHeight="1" outlineLevel="1" x14ac:dyDescent="0.25">
      <c r="A947" s="230" t="s">
        <v>1422</v>
      </c>
      <c r="B947" s="343" t="str">
        <f>"19.1001"</f>
        <v>19.1001</v>
      </c>
      <c r="C947" s="75" t="s">
        <v>3024</v>
      </c>
      <c r="D947" s="127" t="s">
        <v>3026</v>
      </c>
      <c r="E947" s="232"/>
    </row>
    <row r="948" spans="1:5" ht="14.55" customHeight="1" outlineLevel="1" x14ac:dyDescent="0.25">
      <c r="A948" s="230" t="s">
        <v>1422</v>
      </c>
      <c r="B948" s="343" t="str">
        <f>"19.99"</f>
        <v>19.99</v>
      </c>
      <c r="C948" s="75" t="s">
        <v>3027</v>
      </c>
      <c r="D948" s="127" t="s">
        <v>3028</v>
      </c>
      <c r="E948" s="232"/>
    </row>
    <row r="949" spans="1:5" ht="14.55" customHeight="1" outlineLevel="1" x14ac:dyDescent="0.25">
      <c r="A949" s="230" t="s">
        <v>1422</v>
      </c>
      <c r="B949" s="343" t="str">
        <f>"19.9999"</f>
        <v>19.9999</v>
      </c>
      <c r="C949" s="75" t="s">
        <v>3027</v>
      </c>
      <c r="D949" s="127" t="s">
        <v>3029</v>
      </c>
      <c r="E949" s="232"/>
    </row>
    <row r="950" spans="1:5" ht="14.55" customHeight="1" outlineLevel="1" x14ac:dyDescent="0.25">
      <c r="A950" s="230" t="s">
        <v>1422</v>
      </c>
      <c r="B950" s="343" t="str">
        <f>"21"</f>
        <v>21</v>
      </c>
      <c r="C950" s="75" t="s">
        <v>3030</v>
      </c>
      <c r="D950" s="127" t="s">
        <v>3031</v>
      </c>
      <c r="E950" s="232"/>
    </row>
    <row r="951" spans="1:5" ht="14.55" customHeight="1" outlineLevel="1" x14ac:dyDescent="0.25">
      <c r="A951" s="230" t="s">
        <v>1422</v>
      </c>
      <c r="B951" s="343" t="str">
        <f>"21.01"</f>
        <v>21.01</v>
      </c>
      <c r="C951" s="75" t="s">
        <v>1479</v>
      </c>
      <c r="D951" s="127" t="s">
        <v>3032</v>
      </c>
      <c r="E951" s="232"/>
    </row>
    <row r="952" spans="1:5" ht="14.55" customHeight="1" outlineLevel="1" x14ac:dyDescent="0.25">
      <c r="A952" s="230" t="s">
        <v>1422</v>
      </c>
      <c r="B952" s="343" t="str">
        <f>"21.0101"</f>
        <v>21.0101</v>
      </c>
      <c r="C952" s="75" t="s">
        <v>1479</v>
      </c>
      <c r="D952" s="127" t="s">
        <v>1480</v>
      </c>
      <c r="E952" s="232"/>
    </row>
    <row r="953" spans="1:5" ht="14.55" customHeight="1" outlineLevel="1" x14ac:dyDescent="0.25">
      <c r="A953" s="230" t="s">
        <v>1422</v>
      </c>
      <c r="B953" s="343" t="str">
        <f>"22"</f>
        <v>22</v>
      </c>
      <c r="C953" s="75" t="s">
        <v>3033</v>
      </c>
      <c r="D953" s="127" t="s">
        <v>3034</v>
      </c>
      <c r="E953" s="232"/>
    </row>
    <row r="954" spans="1:5" ht="14.55" customHeight="1" outlineLevel="1" x14ac:dyDescent="0.25">
      <c r="A954" s="230" t="s">
        <v>1422</v>
      </c>
      <c r="B954" s="343" t="str">
        <f>"22.00"</f>
        <v>22.00</v>
      </c>
      <c r="C954" s="75" t="s">
        <v>3035</v>
      </c>
      <c r="D954" s="127" t="s">
        <v>3036</v>
      </c>
      <c r="E954" s="232"/>
    </row>
    <row r="955" spans="1:5" ht="14.55" customHeight="1" outlineLevel="1" x14ac:dyDescent="0.25">
      <c r="A955" s="230" t="s">
        <v>1422</v>
      </c>
      <c r="B955" s="343" t="str">
        <f>"22.0000"</f>
        <v>22.0000</v>
      </c>
      <c r="C955" s="75" t="s">
        <v>3037</v>
      </c>
      <c r="D955" s="127" t="s">
        <v>3038</v>
      </c>
      <c r="E955" s="232"/>
    </row>
    <row r="956" spans="1:5" ht="14.55" customHeight="1" outlineLevel="1" x14ac:dyDescent="0.25">
      <c r="A956" s="230" t="s">
        <v>1422</v>
      </c>
      <c r="B956" s="343" t="str">
        <f>"22.0001"</f>
        <v>22.0001</v>
      </c>
      <c r="C956" s="75" t="s">
        <v>3039</v>
      </c>
      <c r="D956" s="127" t="s">
        <v>3040</v>
      </c>
      <c r="E956" s="232"/>
    </row>
    <row r="957" spans="1:5" ht="14.55" customHeight="1" outlineLevel="1" x14ac:dyDescent="0.25">
      <c r="A957" s="230" t="s">
        <v>1422</v>
      </c>
      <c r="B957" s="343" t="str">
        <f>"22.0099"</f>
        <v>22.0099</v>
      </c>
      <c r="C957" s="75" t="s">
        <v>3041</v>
      </c>
      <c r="D957" s="127" t="s">
        <v>3042</v>
      </c>
      <c r="E957" s="232"/>
    </row>
    <row r="958" spans="1:5" ht="14.55" customHeight="1" outlineLevel="1" x14ac:dyDescent="0.25">
      <c r="A958" s="230" t="s">
        <v>1422</v>
      </c>
      <c r="B958" s="343" t="str">
        <f>"22.01"</f>
        <v>22.01</v>
      </c>
      <c r="C958" s="75" t="s">
        <v>3043</v>
      </c>
      <c r="D958" s="127" t="s">
        <v>3044</v>
      </c>
      <c r="E958" s="232"/>
    </row>
    <row r="959" spans="1:5" ht="14.55" customHeight="1" outlineLevel="1" x14ac:dyDescent="0.25">
      <c r="A959" s="230" t="s">
        <v>1422</v>
      </c>
      <c r="B959" s="343" t="str">
        <f>"22.0101"</f>
        <v>22.0101</v>
      </c>
      <c r="C959" s="75" t="s">
        <v>3043</v>
      </c>
      <c r="D959" s="127" t="s">
        <v>3045</v>
      </c>
      <c r="E959" s="232"/>
    </row>
    <row r="960" spans="1:5" ht="14.55" customHeight="1" outlineLevel="1" x14ac:dyDescent="0.25">
      <c r="A960" s="230" t="s">
        <v>1422</v>
      </c>
      <c r="B960" s="343" t="str">
        <f>"22.02"</f>
        <v>22.02</v>
      </c>
      <c r="C960" s="75" t="s">
        <v>3046</v>
      </c>
      <c r="D960" s="127" t="s">
        <v>3047</v>
      </c>
      <c r="E960" s="232"/>
    </row>
    <row r="961" spans="1:5" ht="14.55" customHeight="1" outlineLevel="1" x14ac:dyDescent="0.25">
      <c r="A961" s="230" t="s">
        <v>1422</v>
      </c>
      <c r="B961" s="343" t="str">
        <f>"22.0201"</f>
        <v>22.0201</v>
      </c>
      <c r="C961" s="75" t="s">
        <v>3048</v>
      </c>
      <c r="D961" s="127" t="s">
        <v>3049</v>
      </c>
      <c r="E961" s="232"/>
    </row>
    <row r="962" spans="1:5" ht="14.55" customHeight="1" outlineLevel="1" x14ac:dyDescent="0.25">
      <c r="A962" s="230" t="s">
        <v>1422</v>
      </c>
      <c r="B962" s="343" t="str">
        <f>"22.0202"</f>
        <v>22.0202</v>
      </c>
      <c r="C962" s="75" t="s">
        <v>3050</v>
      </c>
      <c r="D962" s="127" t="s">
        <v>3051</v>
      </c>
      <c r="E962" s="232"/>
    </row>
    <row r="963" spans="1:5" ht="14.55" customHeight="1" outlineLevel="1" x14ac:dyDescent="0.25">
      <c r="A963" s="230" t="s">
        <v>1422</v>
      </c>
      <c r="B963" s="343" t="str">
        <f>"22.0203"</f>
        <v>22.0203</v>
      </c>
      <c r="C963" s="75" t="s">
        <v>3052</v>
      </c>
      <c r="D963" s="127" t="s">
        <v>3053</v>
      </c>
      <c r="E963" s="232"/>
    </row>
    <row r="964" spans="1:5" ht="14.55" customHeight="1" outlineLevel="1" x14ac:dyDescent="0.25">
      <c r="A964" s="230" t="s">
        <v>1422</v>
      </c>
      <c r="B964" s="343" t="str">
        <f>"22.0204"</f>
        <v>22.0204</v>
      </c>
      <c r="C964" s="75" t="s">
        <v>3054</v>
      </c>
      <c r="D964" s="127" t="s">
        <v>3055</v>
      </c>
      <c r="E964" s="232"/>
    </row>
    <row r="965" spans="1:5" ht="14.55" customHeight="1" outlineLevel="1" x14ac:dyDescent="0.25">
      <c r="A965" s="230" t="s">
        <v>1422</v>
      </c>
      <c r="B965" s="343" t="str">
        <f>"22.0205"</f>
        <v>22.0205</v>
      </c>
      <c r="C965" s="75" t="s">
        <v>3056</v>
      </c>
      <c r="D965" s="127" t="s">
        <v>3057</v>
      </c>
      <c r="E965" s="232"/>
    </row>
    <row r="966" spans="1:5" ht="14.55" customHeight="1" outlineLevel="1" x14ac:dyDescent="0.25">
      <c r="A966" s="230" t="s">
        <v>1422</v>
      </c>
      <c r="B966" s="343" t="str">
        <f>"22.0206"</f>
        <v>22.0206</v>
      </c>
      <c r="C966" s="75" t="s">
        <v>3058</v>
      </c>
      <c r="D966" s="127" t="s">
        <v>3059</v>
      </c>
      <c r="E966" s="232"/>
    </row>
    <row r="967" spans="1:5" ht="14.55" customHeight="1" outlineLevel="1" x14ac:dyDescent="0.25">
      <c r="A967" s="230" t="s">
        <v>1422</v>
      </c>
      <c r="B967" s="343" t="str">
        <f>"22.0207"</f>
        <v>22.0207</v>
      </c>
      <c r="C967" s="75" t="s">
        <v>3060</v>
      </c>
      <c r="D967" s="127" t="s">
        <v>3061</v>
      </c>
      <c r="E967" s="232"/>
    </row>
    <row r="968" spans="1:5" ht="14.55" customHeight="1" outlineLevel="1" x14ac:dyDescent="0.25">
      <c r="A968" s="230" t="s">
        <v>1422</v>
      </c>
      <c r="B968" s="343" t="str">
        <f>"22.0208"</f>
        <v>22.0208</v>
      </c>
      <c r="C968" s="75" t="s">
        <v>3062</v>
      </c>
      <c r="D968" s="127" t="s">
        <v>3063</v>
      </c>
      <c r="E968" s="232"/>
    </row>
    <row r="969" spans="1:5" ht="14.55" customHeight="1" outlineLevel="1" x14ac:dyDescent="0.25">
      <c r="A969" s="230" t="s">
        <v>1422</v>
      </c>
      <c r="B969" s="343" t="str">
        <f>"22.0209"</f>
        <v>22.0209</v>
      </c>
      <c r="C969" s="75" t="s">
        <v>3064</v>
      </c>
      <c r="D969" s="127" t="s">
        <v>3065</v>
      </c>
      <c r="E969" s="232"/>
    </row>
    <row r="970" spans="1:5" ht="14.55" customHeight="1" outlineLevel="1" x14ac:dyDescent="0.25">
      <c r="A970" s="230" t="s">
        <v>1422</v>
      </c>
      <c r="B970" s="343" t="str">
        <f>"22.0210"</f>
        <v>22.0210</v>
      </c>
      <c r="C970" s="75" t="s">
        <v>3066</v>
      </c>
      <c r="D970" s="127" t="s">
        <v>3067</v>
      </c>
      <c r="E970" s="232"/>
    </row>
    <row r="971" spans="1:5" ht="14.55" customHeight="1" outlineLevel="1" x14ac:dyDescent="0.25">
      <c r="A971" s="230" t="s">
        <v>1422</v>
      </c>
      <c r="B971" s="343" t="str">
        <f>"22.0211"</f>
        <v>22.0211</v>
      </c>
      <c r="C971" s="75" t="s">
        <v>3068</v>
      </c>
      <c r="D971" s="127" t="s">
        <v>3069</v>
      </c>
      <c r="E971" s="232"/>
    </row>
    <row r="972" spans="1:5" ht="14.55" customHeight="1" outlineLevel="1" x14ac:dyDescent="0.25">
      <c r="A972" s="230" t="s">
        <v>1422</v>
      </c>
      <c r="B972" s="343" t="str">
        <f>"22.0212"</f>
        <v>22.0212</v>
      </c>
      <c r="C972" s="75" t="s">
        <v>3070</v>
      </c>
      <c r="D972" s="127" t="s">
        <v>3071</v>
      </c>
      <c r="E972" s="232"/>
    </row>
    <row r="973" spans="1:5" ht="14.55" customHeight="1" outlineLevel="1" x14ac:dyDescent="0.25">
      <c r="A973" s="230" t="s">
        <v>1422</v>
      </c>
      <c r="B973" s="343" t="str">
        <f>"22.0213"</f>
        <v>22.0213</v>
      </c>
      <c r="C973" s="75" t="s">
        <v>3072</v>
      </c>
      <c r="D973" s="127" t="s">
        <v>3073</v>
      </c>
      <c r="E973" s="232"/>
    </row>
    <row r="974" spans="1:5" ht="14.55" customHeight="1" outlineLevel="1" x14ac:dyDescent="0.25">
      <c r="A974" s="230" t="s">
        <v>1422</v>
      </c>
      <c r="B974" s="343" t="str">
        <f>"22.0214"</f>
        <v>22.0214</v>
      </c>
      <c r="C974" s="75" t="s">
        <v>3074</v>
      </c>
      <c r="D974" s="127" t="s">
        <v>3075</v>
      </c>
      <c r="E974" s="232"/>
    </row>
    <row r="975" spans="1:5" ht="14.55" customHeight="1" outlineLevel="1" x14ac:dyDescent="0.25">
      <c r="A975" s="230" t="s">
        <v>1422</v>
      </c>
      <c r="B975" s="343" t="str">
        <f>"22.0215"</f>
        <v>22.0215</v>
      </c>
      <c r="C975" s="75" t="s">
        <v>3076</v>
      </c>
      <c r="D975" s="127" t="s">
        <v>3077</v>
      </c>
      <c r="E975" s="232"/>
    </row>
    <row r="976" spans="1:5" ht="14.55" customHeight="1" outlineLevel="1" x14ac:dyDescent="0.25">
      <c r="A976" s="230" t="s">
        <v>1422</v>
      </c>
      <c r="B976" s="343" t="str">
        <f>"22.0216"</f>
        <v>22.0216</v>
      </c>
      <c r="C976" s="75" t="s">
        <v>3078</v>
      </c>
      <c r="D976" s="127" t="s">
        <v>3079</v>
      </c>
      <c r="E976" s="232"/>
    </row>
    <row r="977" spans="1:5" ht="14.55" customHeight="1" outlineLevel="1" x14ac:dyDescent="0.25">
      <c r="A977" s="230" t="s">
        <v>1422</v>
      </c>
      <c r="B977" s="343" t="str">
        <f>"22.0217"</f>
        <v>22.0217</v>
      </c>
      <c r="C977" s="75" t="s">
        <v>3080</v>
      </c>
      <c r="D977" s="127" t="s">
        <v>3081</v>
      </c>
      <c r="E977" s="232"/>
    </row>
    <row r="978" spans="1:5" ht="14.55" customHeight="1" outlineLevel="1" x14ac:dyDescent="0.25">
      <c r="A978" s="230" t="s">
        <v>1422</v>
      </c>
      <c r="B978" s="343" t="str">
        <f>"22.0218"</f>
        <v>22.0218</v>
      </c>
      <c r="C978" s="75" t="s">
        <v>3082</v>
      </c>
      <c r="D978" s="127" t="s">
        <v>3083</v>
      </c>
      <c r="E978" s="232"/>
    </row>
    <row r="979" spans="1:5" ht="14.55" customHeight="1" outlineLevel="1" x14ac:dyDescent="0.25">
      <c r="A979" s="230" t="s">
        <v>1422</v>
      </c>
      <c r="B979" s="343" t="str">
        <f>"22.0219"</f>
        <v>22.0219</v>
      </c>
      <c r="C979" s="75" t="s">
        <v>3084</v>
      </c>
      <c r="D979" s="127" t="s">
        <v>3085</v>
      </c>
      <c r="E979" s="232"/>
    </row>
    <row r="980" spans="1:5" ht="14.55" customHeight="1" outlineLevel="1" x14ac:dyDescent="0.25">
      <c r="A980" s="230" t="s">
        <v>1422</v>
      </c>
      <c r="B980" s="343" t="str">
        <f>"22.0220"</f>
        <v>22.0220</v>
      </c>
      <c r="C980" s="75" t="s">
        <v>3086</v>
      </c>
      <c r="D980" s="127" t="s">
        <v>3087</v>
      </c>
      <c r="E980" s="232"/>
    </row>
    <row r="981" spans="1:5" ht="14.55" customHeight="1" outlineLevel="1" x14ac:dyDescent="0.25">
      <c r="A981" s="230" t="s">
        <v>1422</v>
      </c>
      <c r="B981" s="343" t="str">
        <f>"22.0221"</f>
        <v>22.0221</v>
      </c>
      <c r="C981" s="75" t="s">
        <v>3088</v>
      </c>
      <c r="D981" s="127" t="s">
        <v>3089</v>
      </c>
      <c r="E981" s="232"/>
    </row>
    <row r="982" spans="1:5" ht="14.55" customHeight="1" outlineLevel="1" x14ac:dyDescent="0.25">
      <c r="A982" s="230" t="s">
        <v>1422</v>
      </c>
      <c r="B982" s="343" t="str">
        <f>"22.0222"</f>
        <v>22.0222</v>
      </c>
      <c r="C982" s="75" t="s">
        <v>3090</v>
      </c>
      <c r="D982" s="127" t="s">
        <v>3091</v>
      </c>
      <c r="E982" s="232"/>
    </row>
    <row r="983" spans="1:5" ht="14.55" customHeight="1" outlineLevel="1" x14ac:dyDescent="0.25">
      <c r="A983" s="230" t="s">
        <v>1422</v>
      </c>
      <c r="B983" s="343" t="str">
        <f>"22.0223"</f>
        <v>22.0223</v>
      </c>
      <c r="C983" s="75" t="s">
        <v>3092</v>
      </c>
      <c r="D983" s="127" t="s">
        <v>3093</v>
      </c>
      <c r="E983" s="232"/>
    </row>
    <row r="984" spans="1:5" ht="14.55" customHeight="1" outlineLevel="1" x14ac:dyDescent="0.25">
      <c r="A984" s="230" t="s">
        <v>1422</v>
      </c>
      <c r="B984" s="343" t="str">
        <f>"22.0224"</f>
        <v>22.0224</v>
      </c>
      <c r="C984" s="75" t="s">
        <v>3094</v>
      </c>
      <c r="D984" s="127" t="s">
        <v>3095</v>
      </c>
      <c r="E984" s="232"/>
    </row>
    <row r="985" spans="1:5" ht="14.55" customHeight="1" outlineLevel="1" x14ac:dyDescent="0.25">
      <c r="A985" s="230" t="s">
        <v>1422</v>
      </c>
      <c r="B985" s="343" t="str">
        <f>"22.0299"</f>
        <v>22.0299</v>
      </c>
      <c r="C985" s="75" t="s">
        <v>3096</v>
      </c>
      <c r="D985" s="127" t="s">
        <v>3097</v>
      </c>
      <c r="E985" s="232"/>
    </row>
    <row r="986" spans="1:5" ht="14.55" customHeight="1" outlineLevel="1" x14ac:dyDescent="0.25">
      <c r="A986" s="230" t="s">
        <v>1422</v>
      </c>
      <c r="B986" s="343" t="str">
        <f>"22.03"</f>
        <v>22.03</v>
      </c>
      <c r="C986" s="75" t="s">
        <v>3098</v>
      </c>
      <c r="D986" s="127" t="s">
        <v>3099</v>
      </c>
      <c r="E986" s="232"/>
    </row>
    <row r="987" spans="1:5" ht="14.55" customHeight="1" outlineLevel="1" x14ac:dyDescent="0.25">
      <c r="A987" s="230" t="s">
        <v>1422</v>
      </c>
      <c r="B987" s="343" t="str">
        <f>"22.0301"</f>
        <v>22.0301</v>
      </c>
      <c r="C987" s="75" t="s">
        <v>3100</v>
      </c>
      <c r="D987" s="127" t="s">
        <v>3101</v>
      </c>
      <c r="E987" s="232"/>
    </row>
    <row r="988" spans="1:5" ht="14.55" customHeight="1" outlineLevel="1" x14ac:dyDescent="0.25">
      <c r="A988" s="230" t="s">
        <v>1422</v>
      </c>
      <c r="B988" s="343" t="str">
        <f>"22.0302"</f>
        <v>22.0302</v>
      </c>
      <c r="C988" s="75" t="s">
        <v>3102</v>
      </c>
      <c r="D988" s="127" t="s">
        <v>3103</v>
      </c>
      <c r="E988" s="232"/>
    </row>
    <row r="989" spans="1:5" ht="14.55" customHeight="1" outlineLevel="1" x14ac:dyDescent="0.25">
      <c r="A989" s="230" t="s">
        <v>1422</v>
      </c>
      <c r="B989" s="343" t="str">
        <f>"22.0303"</f>
        <v>22.0303</v>
      </c>
      <c r="C989" s="75" t="s">
        <v>3104</v>
      </c>
      <c r="D989" s="127" t="s">
        <v>3105</v>
      </c>
      <c r="E989" s="232"/>
    </row>
    <row r="990" spans="1:5" ht="14.55" customHeight="1" outlineLevel="1" x14ac:dyDescent="0.25">
      <c r="A990" s="230" t="s">
        <v>1422</v>
      </c>
      <c r="B990" s="343" t="str">
        <f>"22.0304"</f>
        <v>22.0304</v>
      </c>
      <c r="C990" s="75" t="s">
        <v>3106</v>
      </c>
      <c r="D990" s="127" t="s">
        <v>3107</v>
      </c>
      <c r="E990" s="232"/>
    </row>
    <row r="991" spans="1:5" ht="14.55" customHeight="1" outlineLevel="1" x14ac:dyDescent="0.25">
      <c r="A991" s="230" t="s">
        <v>1422</v>
      </c>
      <c r="B991" s="343" t="str">
        <f>"22.0305"</f>
        <v>22.0305</v>
      </c>
      <c r="C991" s="75" t="s">
        <v>3108</v>
      </c>
      <c r="D991" s="127" t="s">
        <v>3109</v>
      </c>
      <c r="E991" s="232"/>
    </row>
    <row r="992" spans="1:5" ht="14.55" customHeight="1" outlineLevel="1" x14ac:dyDescent="0.25">
      <c r="A992" s="230" t="s">
        <v>1422</v>
      </c>
      <c r="B992" s="343" t="str">
        <f>"22.0399"</f>
        <v>22.0399</v>
      </c>
      <c r="C992" s="75" t="s">
        <v>3110</v>
      </c>
      <c r="D992" s="127" t="s">
        <v>3111</v>
      </c>
      <c r="E992" s="232"/>
    </row>
    <row r="993" spans="1:5" ht="14.55" customHeight="1" outlineLevel="1" x14ac:dyDescent="0.25">
      <c r="A993" s="230" t="s">
        <v>1422</v>
      </c>
      <c r="B993" s="343" t="str">
        <f>"22.99"</f>
        <v>22.99</v>
      </c>
      <c r="C993" s="75" t="s">
        <v>3112</v>
      </c>
      <c r="D993" s="127" t="s">
        <v>3113</v>
      </c>
      <c r="E993" s="232"/>
    </row>
    <row r="994" spans="1:5" ht="14.55" customHeight="1" outlineLevel="1" x14ac:dyDescent="0.25">
      <c r="A994" s="230" t="s">
        <v>1422</v>
      </c>
      <c r="B994" s="343" t="str">
        <f>"22.9999"</f>
        <v>22.9999</v>
      </c>
      <c r="C994" s="75" t="s">
        <v>3112</v>
      </c>
      <c r="D994" s="127" t="s">
        <v>3114</v>
      </c>
      <c r="E994" s="232"/>
    </row>
    <row r="995" spans="1:5" ht="14.55" customHeight="1" outlineLevel="1" x14ac:dyDescent="0.25">
      <c r="A995" s="230" t="s">
        <v>1422</v>
      </c>
      <c r="B995" s="343" t="str">
        <f>"23"</f>
        <v>23</v>
      </c>
      <c r="C995" s="75" t="s">
        <v>3115</v>
      </c>
      <c r="D995" s="127" t="s">
        <v>3116</v>
      </c>
      <c r="E995" s="232"/>
    </row>
    <row r="996" spans="1:5" ht="14.55" customHeight="1" outlineLevel="1" x14ac:dyDescent="0.25">
      <c r="A996" s="230" t="s">
        <v>1422</v>
      </c>
      <c r="B996" s="343" t="str">
        <f>"23.01"</f>
        <v>23.01</v>
      </c>
      <c r="C996" s="75" t="s">
        <v>3117</v>
      </c>
      <c r="D996" s="127" t="s">
        <v>3118</v>
      </c>
      <c r="E996" s="232"/>
    </row>
    <row r="997" spans="1:5" ht="14.55" customHeight="1" outlineLevel="1" x14ac:dyDescent="0.25">
      <c r="A997" s="230" t="s">
        <v>1422</v>
      </c>
      <c r="B997" s="343" t="str">
        <f>"23.0101"</f>
        <v>23.0101</v>
      </c>
      <c r="C997" s="75" t="s">
        <v>3117</v>
      </c>
      <c r="D997" s="127" t="s">
        <v>3119</v>
      </c>
      <c r="E997" s="232"/>
    </row>
    <row r="998" spans="1:5" ht="14.55" customHeight="1" outlineLevel="1" x14ac:dyDescent="0.25">
      <c r="A998" s="230" t="s">
        <v>1422</v>
      </c>
      <c r="B998" s="343" t="str">
        <f>"23.13"</f>
        <v>23.13</v>
      </c>
      <c r="C998" s="75" t="s">
        <v>3120</v>
      </c>
      <c r="D998" s="127" t="s">
        <v>3121</v>
      </c>
      <c r="E998" s="232"/>
    </row>
    <row r="999" spans="1:5" ht="14.55" customHeight="1" outlineLevel="1" x14ac:dyDescent="0.25">
      <c r="A999" s="230" t="s">
        <v>1422</v>
      </c>
      <c r="B999" s="343" t="str">
        <f>"23.1301"</f>
        <v>23.1301</v>
      </c>
      <c r="C999" s="75" t="s">
        <v>3122</v>
      </c>
      <c r="D999" s="127" t="s">
        <v>3123</v>
      </c>
      <c r="E999" s="232"/>
    </row>
    <row r="1000" spans="1:5" ht="14.55" customHeight="1" outlineLevel="1" x14ac:dyDescent="0.25">
      <c r="A1000" s="230" t="s">
        <v>1422</v>
      </c>
      <c r="B1000" s="343" t="str">
        <f>"23.1302"</f>
        <v>23.1302</v>
      </c>
      <c r="C1000" s="75" t="s">
        <v>3124</v>
      </c>
      <c r="D1000" s="127" t="s">
        <v>3125</v>
      </c>
      <c r="E1000" s="232"/>
    </row>
    <row r="1001" spans="1:5" ht="14.55" customHeight="1" outlineLevel="1" x14ac:dyDescent="0.25">
      <c r="A1001" s="230" t="s">
        <v>1422</v>
      </c>
      <c r="B1001" s="343" t="str">
        <f>"23.1303"</f>
        <v>23.1303</v>
      </c>
      <c r="C1001" s="75" t="s">
        <v>3126</v>
      </c>
      <c r="D1001" s="127" t="s">
        <v>3127</v>
      </c>
      <c r="E1001" s="232"/>
    </row>
    <row r="1002" spans="1:5" ht="14.55" customHeight="1" outlineLevel="1" x14ac:dyDescent="0.25">
      <c r="A1002" s="230" t="s">
        <v>1422</v>
      </c>
      <c r="B1002" s="343" t="str">
        <f>"23.1304"</f>
        <v>23.1304</v>
      </c>
      <c r="C1002" s="75" t="s">
        <v>3128</v>
      </c>
      <c r="D1002" s="127" t="s">
        <v>3129</v>
      </c>
      <c r="E1002" s="232"/>
    </row>
    <row r="1003" spans="1:5" ht="14.55" customHeight="1" outlineLevel="1" x14ac:dyDescent="0.25">
      <c r="A1003" s="230" t="s">
        <v>1422</v>
      </c>
      <c r="B1003" s="343" t="str">
        <f>"23.1399"</f>
        <v>23.1399</v>
      </c>
      <c r="C1003" s="75" t="s">
        <v>3130</v>
      </c>
      <c r="D1003" s="127" t="s">
        <v>3131</v>
      </c>
      <c r="E1003" s="232"/>
    </row>
    <row r="1004" spans="1:5" ht="14.55" customHeight="1" outlineLevel="1" x14ac:dyDescent="0.25">
      <c r="A1004" s="230" t="s">
        <v>1422</v>
      </c>
      <c r="B1004" s="343" t="str">
        <f>"23.14"</f>
        <v>23.14</v>
      </c>
      <c r="C1004" s="75" t="s">
        <v>3132</v>
      </c>
      <c r="D1004" s="127" t="s">
        <v>3133</v>
      </c>
      <c r="E1004" s="232"/>
    </row>
    <row r="1005" spans="1:5" ht="14.55" customHeight="1" outlineLevel="1" x14ac:dyDescent="0.25">
      <c r="A1005" s="230" t="s">
        <v>1422</v>
      </c>
      <c r="B1005" s="343" t="str">
        <f>"23.1401"</f>
        <v>23.1401</v>
      </c>
      <c r="C1005" s="75" t="s">
        <v>3134</v>
      </c>
      <c r="D1005" s="127" t="s">
        <v>3135</v>
      </c>
      <c r="E1005" s="232"/>
    </row>
    <row r="1006" spans="1:5" ht="14.55" customHeight="1" outlineLevel="1" x14ac:dyDescent="0.25">
      <c r="A1006" s="230" t="s">
        <v>1422</v>
      </c>
      <c r="B1006" s="343" t="str">
        <f>"23.1402"</f>
        <v>23.1402</v>
      </c>
      <c r="C1006" s="75" t="s">
        <v>3136</v>
      </c>
      <c r="D1006" s="127" t="s">
        <v>3137</v>
      </c>
      <c r="E1006" s="232"/>
    </row>
    <row r="1007" spans="1:5" ht="14.55" customHeight="1" outlineLevel="1" x14ac:dyDescent="0.25">
      <c r="A1007" s="230" t="s">
        <v>1422</v>
      </c>
      <c r="B1007" s="343" t="str">
        <f>"23.1403"</f>
        <v>23.1403</v>
      </c>
      <c r="C1007" s="75" t="s">
        <v>3138</v>
      </c>
      <c r="D1007" s="127" t="s">
        <v>3139</v>
      </c>
      <c r="E1007" s="232"/>
    </row>
    <row r="1008" spans="1:5" ht="14.55" customHeight="1" outlineLevel="1" x14ac:dyDescent="0.25">
      <c r="A1008" s="230" t="s">
        <v>1422</v>
      </c>
      <c r="B1008" s="343" t="str">
        <f>"23.1404"</f>
        <v>23.1404</v>
      </c>
      <c r="C1008" s="75" t="s">
        <v>3140</v>
      </c>
      <c r="D1008" s="127" t="s">
        <v>3141</v>
      </c>
      <c r="E1008" s="232"/>
    </row>
    <row r="1009" spans="1:5" ht="14.55" customHeight="1" outlineLevel="1" x14ac:dyDescent="0.25">
      <c r="A1009" s="230" t="s">
        <v>1422</v>
      </c>
      <c r="B1009" s="343" t="str">
        <f>"23.1405"</f>
        <v>23.1405</v>
      </c>
      <c r="C1009" s="75" t="s">
        <v>3142</v>
      </c>
      <c r="D1009" s="127" t="s">
        <v>3143</v>
      </c>
      <c r="E1009" s="232"/>
    </row>
    <row r="1010" spans="1:5" ht="14.55" customHeight="1" outlineLevel="1" x14ac:dyDescent="0.25">
      <c r="A1010" s="230" t="s">
        <v>1422</v>
      </c>
      <c r="B1010" s="343" t="str">
        <f>"23.1499"</f>
        <v>23.1499</v>
      </c>
      <c r="C1010" s="75" t="s">
        <v>3144</v>
      </c>
      <c r="D1010" s="127" t="s">
        <v>3145</v>
      </c>
      <c r="E1010" s="232"/>
    </row>
    <row r="1011" spans="1:5" ht="14.55" customHeight="1" outlineLevel="1" x14ac:dyDescent="0.25">
      <c r="A1011" s="230" t="s">
        <v>1422</v>
      </c>
      <c r="B1011" s="343" t="str">
        <f>"23.99"</f>
        <v>23.99</v>
      </c>
      <c r="C1011" s="75" t="s">
        <v>3146</v>
      </c>
      <c r="D1011" s="127" t="s">
        <v>3147</v>
      </c>
      <c r="E1011" s="232"/>
    </row>
    <row r="1012" spans="1:5" ht="14.55" customHeight="1" outlineLevel="1" x14ac:dyDescent="0.25">
      <c r="A1012" s="230" t="s">
        <v>1422</v>
      </c>
      <c r="B1012" s="343" t="str">
        <f>"23.9999"</f>
        <v>23.9999</v>
      </c>
      <c r="C1012" s="75" t="s">
        <v>3146</v>
      </c>
      <c r="D1012" s="127" t="s">
        <v>3148</v>
      </c>
      <c r="E1012" s="232"/>
    </row>
    <row r="1013" spans="1:5" ht="14.55" customHeight="1" outlineLevel="1" x14ac:dyDescent="0.25">
      <c r="A1013" s="230" t="s">
        <v>1422</v>
      </c>
      <c r="B1013" s="343" t="str">
        <f>"24"</f>
        <v>24</v>
      </c>
      <c r="C1013" s="75" t="s">
        <v>3149</v>
      </c>
      <c r="D1013" s="127" t="s">
        <v>3150</v>
      </c>
      <c r="E1013" s="232"/>
    </row>
    <row r="1014" spans="1:5" ht="14.55" customHeight="1" outlineLevel="1" x14ac:dyDescent="0.25">
      <c r="A1014" s="230" t="s">
        <v>1422</v>
      </c>
      <c r="B1014" s="343" t="str">
        <f>"24.01"</f>
        <v>24.01</v>
      </c>
      <c r="C1014" s="75" t="s">
        <v>3151</v>
      </c>
      <c r="D1014" s="127" t="s">
        <v>3152</v>
      </c>
      <c r="E1014" s="232"/>
    </row>
    <row r="1015" spans="1:5" ht="14.55" customHeight="1" outlineLevel="1" x14ac:dyDescent="0.25">
      <c r="A1015" s="230" t="s">
        <v>1422</v>
      </c>
      <c r="B1015" s="343" t="str">
        <f>"24.0101"</f>
        <v>24.0101</v>
      </c>
      <c r="C1015" s="75" t="s">
        <v>3153</v>
      </c>
      <c r="D1015" s="127" t="s">
        <v>3154</v>
      </c>
      <c r="E1015" s="232"/>
    </row>
    <row r="1016" spans="1:5" ht="14.55" customHeight="1" outlineLevel="1" x14ac:dyDescent="0.25">
      <c r="A1016" s="230" t="s">
        <v>1422</v>
      </c>
      <c r="B1016" s="343" t="str">
        <f>"24.0102"</f>
        <v>24.0102</v>
      </c>
      <c r="C1016" s="75" t="s">
        <v>3155</v>
      </c>
      <c r="D1016" s="127" t="s">
        <v>3156</v>
      </c>
      <c r="E1016" s="232"/>
    </row>
    <row r="1017" spans="1:5" ht="14.55" customHeight="1" outlineLevel="1" x14ac:dyDescent="0.25">
      <c r="A1017" s="230" t="s">
        <v>1422</v>
      </c>
      <c r="B1017" s="343" t="str">
        <f>"24.0103"</f>
        <v>24.0103</v>
      </c>
      <c r="C1017" s="75" t="s">
        <v>3157</v>
      </c>
      <c r="D1017" s="127" t="s">
        <v>3158</v>
      </c>
      <c r="E1017" s="232"/>
    </row>
    <row r="1018" spans="1:5" ht="14.55" customHeight="1" outlineLevel="1" x14ac:dyDescent="0.25">
      <c r="A1018" s="230" t="s">
        <v>1422</v>
      </c>
      <c r="B1018" s="343" t="str">
        <f>"24.0199"</f>
        <v>24.0199</v>
      </c>
      <c r="C1018" s="75" t="s">
        <v>3159</v>
      </c>
      <c r="D1018" s="127" t="s">
        <v>3160</v>
      </c>
      <c r="E1018" s="232"/>
    </row>
    <row r="1019" spans="1:5" ht="14.55" customHeight="1" outlineLevel="1" x14ac:dyDescent="0.25">
      <c r="A1019" s="230" t="s">
        <v>1422</v>
      </c>
      <c r="B1019" s="343" t="str">
        <f>"25"</f>
        <v>25</v>
      </c>
      <c r="C1019" s="75" t="s">
        <v>3161</v>
      </c>
      <c r="D1019" s="127" t="s">
        <v>3162</v>
      </c>
      <c r="E1019" s="232"/>
    </row>
    <row r="1020" spans="1:5" ht="14.55" customHeight="1" outlineLevel="1" x14ac:dyDescent="0.25">
      <c r="A1020" s="230" t="s">
        <v>1422</v>
      </c>
      <c r="B1020" s="343" t="str">
        <f>"25.01"</f>
        <v>25.01</v>
      </c>
      <c r="C1020" s="75" t="s">
        <v>3163</v>
      </c>
      <c r="D1020" s="127" t="s">
        <v>3164</v>
      </c>
      <c r="E1020" s="232"/>
    </row>
    <row r="1021" spans="1:5" s="206" customFormat="1" ht="14.55" customHeight="1" outlineLevel="1" x14ac:dyDescent="0.25">
      <c r="A1021" s="230" t="s">
        <v>1422</v>
      </c>
      <c r="B1021" s="343" t="str">
        <f>"25.0101"</f>
        <v>25.0101</v>
      </c>
      <c r="C1021" s="75" t="s">
        <v>3165</v>
      </c>
      <c r="D1021" s="127" t="s">
        <v>3166</v>
      </c>
      <c r="E1021" s="232"/>
    </row>
    <row r="1022" spans="1:5" ht="14.55" customHeight="1" outlineLevel="1" x14ac:dyDescent="0.25">
      <c r="A1022" s="230" t="s">
        <v>1422</v>
      </c>
      <c r="B1022" s="343" t="str">
        <f>"25.0102"</f>
        <v>25.0102</v>
      </c>
      <c r="C1022" s="75" t="s">
        <v>3167</v>
      </c>
      <c r="D1022" s="127" t="s">
        <v>3168</v>
      </c>
      <c r="E1022" s="232"/>
    </row>
    <row r="1023" spans="1:5" ht="14.55" customHeight="1" outlineLevel="1" x14ac:dyDescent="0.25">
      <c r="A1023" s="230" t="s">
        <v>1422</v>
      </c>
      <c r="B1023" s="343" t="str">
        <f>"25.0103"</f>
        <v>25.0103</v>
      </c>
      <c r="C1023" s="75" t="s">
        <v>3169</v>
      </c>
      <c r="D1023" s="127" t="s">
        <v>3170</v>
      </c>
      <c r="E1023" s="232"/>
    </row>
    <row r="1024" spans="1:5" ht="14.55" customHeight="1" outlineLevel="1" x14ac:dyDescent="0.25">
      <c r="A1024" s="230" t="s">
        <v>1422</v>
      </c>
      <c r="B1024" s="343" t="str">
        <f>"25.0199"</f>
        <v>25.0199</v>
      </c>
      <c r="C1024" s="75" t="s">
        <v>3171</v>
      </c>
      <c r="D1024" s="127" t="s">
        <v>3172</v>
      </c>
      <c r="E1024" s="232"/>
    </row>
    <row r="1025" spans="1:5" ht="14.55" customHeight="1" outlineLevel="1" x14ac:dyDescent="0.25">
      <c r="A1025" s="230" t="s">
        <v>1422</v>
      </c>
      <c r="B1025" s="343" t="str">
        <f>"25.03"</f>
        <v>25.03</v>
      </c>
      <c r="C1025" s="75" t="s">
        <v>3173</v>
      </c>
      <c r="D1025" s="127" t="s">
        <v>3174</v>
      </c>
      <c r="E1025" s="232"/>
    </row>
    <row r="1026" spans="1:5" ht="14.55" customHeight="1" outlineLevel="1" x14ac:dyDescent="0.25">
      <c r="A1026" s="230" t="s">
        <v>1422</v>
      </c>
      <c r="B1026" s="343" t="str">
        <f>"25.0301"</f>
        <v>25.0301</v>
      </c>
      <c r="C1026" s="75" t="s">
        <v>3173</v>
      </c>
      <c r="D1026" s="127" t="s">
        <v>3175</v>
      </c>
      <c r="E1026" s="232"/>
    </row>
    <row r="1027" spans="1:5" ht="14.55" customHeight="1" outlineLevel="1" x14ac:dyDescent="0.25">
      <c r="A1027" s="230" t="s">
        <v>1422</v>
      </c>
      <c r="B1027" s="343" t="str">
        <f>"25.99"</f>
        <v>25.99</v>
      </c>
      <c r="C1027" s="75" t="s">
        <v>3176</v>
      </c>
      <c r="D1027" s="127" t="s">
        <v>3177</v>
      </c>
      <c r="E1027" s="232"/>
    </row>
    <row r="1028" spans="1:5" ht="14.55" customHeight="1" outlineLevel="1" x14ac:dyDescent="0.25">
      <c r="A1028" s="230" t="s">
        <v>1422</v>
      </c>
      <c r="B1028" s="343" t="str">
        <f>"25.9999"</f>
        <v>25.9999</v>
      </c>
      <c r="C1028" s="75" t="s">
        <v>3176</v>
      </c>
      <c r="D1028" s="127" t="s">
        <v>3178</v>
      </c>
      <c r="E1028" s="232"/>
    </row>
    <row r="1029" spans="1:5" ht="14.55" customHeight="1" outlineLevel="1" x14ac:dyDescent="0.25">
      <c r="A1029" s="230" t="s">
        <v>1422</v>
      </c>
      <c r="B1029" s="343" t="str">
        <f>"26"</f>
        <v>26</v>
      </c>
      <c r="C1029" s="75" t="s">
        <v>3179</v>
      </c>
      <c r="D1029" s="127" t="s">
        <v>3180</v>
      </c>
      <c r="E1029" s="232"/>
    </row>
    <row r="1030" spans="1:5" ht="14.55" customHeight="1" outlineLevel="1" x14ac:dyDescent="0.25">
      <c r="A1030" s="230" t="s">
        <v>1422</v>
      </c>
      <c r="B1030" s="343" t="str">
        <f>"26.01"</f>
        <v>26.01</v>
      </c>
      <c r="C1030" s="75" t="s">
        <v>3181</v>
      </c>
      <c r="D1030" s="127" t="s">
        <v>3182</v>
      </c>
      <c r="E1030" s="232"/>
    </row>
    <row r="1031" spans="1:5" ht="14.55" customHeight="1" outlineLevel="1" x14ac:dyDescent="0.25">
      <c r="A1031" s="230" t="s">
        <v>1422</v>
      </c>
      <c r="B1031" s="343" t="str">
        <f>"26.0101"</f>
        <v>26.0101</v>
      </c>
      <c r="C1031" s="75" t="s">
        <v>3183</v>
      </c>
      <c r="D1031" s="127" t="s">
        <v>3184</v>
      </c>
      <c r="E1031" s="232"/>
    </row>
    <row r="1032" spans="1:5" ht="14.55" customHeight="1" outlineLevel="1" x14ac:dyDescent="0.25">
      <c r="A1032" s="230" t="s">
        <v>1422</v>
      </c>
      <c r="B1032" s="343" t="str">
        <f>"26.0102"</f>
        <v>26.0102</v>
      </c>
      <c r="C1032" s="75" t="s">
        <v>3185</v>
      </c>
      <c r="D1032" s="127" t="s">
        <v>3186</v>
      </c>
      <c r="E1032" s="232"/>
    </row>
    <row r="1033" spans="1:5" ht="14.55" customHeight="1" outlineLevel="1" x14ac:dyDescent="0.25">
      <c r="A1033" s="230" t="s">
        <v>1422</v>
      </c>
      <c r="B1033" s="343" t="str">
        <f>"26.02"</f>
        <v>26.02</v>
      </c>
      <c r="C1033" s="75" t="s">
        <v>3187</v>
      </c>
      <c r="D1033" s="127" t="s">
        <v>3188</v>
      </c>
      <c r="E1033" s="232"/>
    </row>
    <row r="1034" spans="1:5" ht="14.55" customHeight="1" outlineLevel="1" x14ac:dyDescent="0.25">
      <c r="A1034" s="230" t="s">
        <v>1422</v>
      </c>
      <c r="B1034" s="343" t="str">
        <f>"26.0202"</f>
        <v>26.0202</v>
      </c>
      <c r="C1034" s="75" t="s">
        <v>3189</v>
      </c>
      <c r="D1034" s="127" t="s">
        <v>3190</v>
      </c>
      <c r="E1034" s="232"/>
    </row>
    <row r="1035" spans="1:5" ht="14.55" customHeight="1" outlineLevel="1" x14ac:dyDescent="0.25">
      <c r="A1035" s="230" t="s">
        <v>1422</v>
      </c>
      <c r="B1035" s="343" t="str">
        <f>"26.0203"</f>
        <v>26.0203</v>
      </c>
      <c r="C1035" s="75" t="s">
        <v>3191</v>
      </c>
      <c r="D1035" s="127" t="s">
        <v>3192</v>
      </c>
      <c r="E1035" s="232"/>
    </row>
    <row r="1036" spans="1:5" ht="14.55" customHeight="1" outlineLevel="1" x14ac:dyDescent="0.25">
      <c r="A1036" s="230" t="s">
        <v>1422</v>
      </c>
      <c r="B1036" s="343" t="str">
        <f>"26.0204"</f>
        <v>26.0204</v>
      </c>
      <c r="C1036" s="75" t="s">
        <v>3193</v>
      </c>
      <c r="D1036" s="127" t="s">
        <v>3194</v>
      </c>
      <c r="E1036" s="232"/>
    </row>
    <row r="1037" spans="1:5" ht="14.55" customHeight="1" outlineLevel="1" x14ac:dyDescent="0.25">
      <c r="A1037" s="230" t="s">
        <v>1422</v>
      </c>
      <c r="B1037" s="343" t="str">
        <f>"26.0205"</f>
        <v>26.0205</v>
      </c>
      <c r="C1037" s="75" t="s">
        <v>3195</v>
      </c>
      <c r="D1037" s="127" t="s">
        <v>3196</v>
      </c>
      <c r="E1037" s="232"/>
    </row>
    <row r="1038" spans="1:5" ht="14.55" customHeight="1" outlineLevel="1" x14ac:dyDescent="0.25">
      <c r="A1038" s="230" t="s">
        <v>1422</v>
      </c>
      <c r="B1038" s="343" t="str">
        <f>"26.0206"</f>
        <v>26.0206</v>
      </c>
      <c r="C1038" s="75" t="s">
        <v>3197</v>
      </c>
      <c r="D1038" s="127" t="s">
        <v>3198</v>
      </c>
      <c r="E1038" s="232"/>
    </row>
    <row r="1039" spans="1:5" ht="14.55" customHeight="1" outlineLevel="1" x14ac:dyDescent="0.25">
      <c r="A1039" s="230" t="s">
        <v>1422</v>
      </c>
      <c r="B1039" s="343" t="str">
        <f>"26.0207"</f>
        <v>26.0207</v>
      </c>
      <c r="C1039" s="75" t="s">
        <v>3199</v>
      </c>
      <c r="D1039" s="127" t="s">
        <v>3200</v>
      </c>
      <c r="E1039" s="232"/>
    </row>
    <row r="1040" spans="1:5" ht="14.55" customHeight="1" outlineLevel="1" x14ac:dyDescent="0.25">
      <c r="A1040" s="230" t="s">
        <v>1422</v>
      </c>
      <c r="B1040" s="343" t="str">
        <f>"26.0208"</f>
        <v>26.0208</v>
      </c>
      <c r="C1040" s="75" t="s">
        <v>3201</v>
      </c>
      <c r="D1040" s="127" t="s">
        <v>3202</v>
      </c>
      <c r="E1040" s="232"/>
    </row>
    <row r="1041" spans="1:5" ht="14.55" customHeight="1" outlineLevel="1" x14ac:dyDescent="0.25">
      <c r="A1041" s="230" t="s">
        <v>1422</v>
      </c>
      <c r="B1041" s="343" t="str">
        <f>"26.0209"</f>
        <v>26.0209</v>
      </c>
      <c r="C1041" s="75" t="s">
        <v>3203</v>
      </c>
      <c r="D1041" s="127" t="s">
        <v>3204</v>
      </c>
      <c r="E1041" s="232"/>
    </row>
    <row r="1042" spans="1:5" ht="14.55" customHeight="1" outlineLevel="1" x14ac:dyDescent="0.25">
      <c r="A1042" s="230" t="s">
        <v>1422</v>
      </c>
      <c r="B1042" s="343" t="str">
        <f>"26.0210"</f>
        <v>26.0210</v>
      </c>
      <c r="C1042" s="75" t="s">
        <v>3205</v>
      </c>
      <c r="D1042" s="127" t="s">
        <v>3206</v>
      </c>
      <c r="E1042" s="232"/>
    </row>
    <row r="1043" spans="1:5" ht="14.55" customHeight="1" outlineLevel="1" x14ac:dyDescent="0.25">
      <c r="A1043" s="230" t="s">
        <v>1422</v>
      </c>
      <c r="B1043" s="343" t="str">
        <f>"26.0299"</f>
        <v>26.0299</v>
      </c>
      <c r="C1043" s="75" t="s">
        <v>3207</v>
      </c>
      <c r="D1043" s="127" t="s">
        <v>3208</v>
      </c>
      <c r="E1043" s="232"/>
    </row>
    <row r="1044" spans="1:5" ht="14.55" customHeight="1" outlineLevel="1" x14ac:dyDescent="0.25">
      <c r="A1044" s="230" t="s">
        <v>1422</v>
      </c>
      <c r="B1044" s="343" t="str">
        <f>"26.03"</f>
        <v>26.03</v>
      </c>
      <c r="C1044" s="75" t="s">
        <v>3209</v>
      </c>
      <c r="D1044" s="127" t="s">
        <v>3210</v>
      </c>
      <c r="E1044" s="232"/>
    </row>
    <row r="1045" spans="1:5" ht="14.55" customHeight="1" outlineLevel="1" x14ac:dyDescent="0.25">
      <c r="A1045" s="230" t="s">
        <v>1422</v>
      </c>
      <c r="B1045" s="343" t="str">
        <f>"26.0301"</f>
        <v>26.0301</v>
      </c>
      <c r="C1045" s="75" t="s">
        <v>3209</v>
      </c>
      <c r="D1045" s="127" t="s">
        <v>3211</v>
      </c>
      <c r="E1045" s="232"/>
    </row>
    <row r="1046" spans="1:5" ht="14.55" customHeight="1" outlineLevel="1" x14ac:dyDescent="0.25">
      <c r="A1046" s="230" t="s">
        <v>1422</v>
      </c>
      <c r="B1046" s="343" t="str">
        <f>"26.0305"</f>
        <v>26.0305</v>
      </c>
      <c r="C1046" s="75" t="s">
        <v>3212</v>
      </c>
      <c r="D1046" s="127" t="s">
        <v>3213</v>
      </c>
      <c r="E1046" s="232"/>
    </row>
    <row r="1047" spans="1:5" ht="14.55" customHeight="1" outlineLevel="1" x14ac:dyDescent="0.25">
      <c r="A1047" s="230" t="s">
        <v>1422</v>
      </c>
      <c r="B1047" s="343" t="str">
        <f>"26.0307"</f>
        <v>26.0307</v>
      </c>
      <c r="C1047" s="75" t="s">
        <v>3214</v>
      </c>
      <c r="D1047" s="127" t="s">
        <v>3215</v>
      </c>
      <c r="E1047" s="232"/>
    </row>
    <row r="1048" spans="1:5" ht="14.55" customHeight="1" outlineLevel="1" x14ac:dyDescent="0.25">
      <c r="A1048" s="230" t="s">
        <v>1422</v>
      </c>
      <c r="B1048" s="343" t="str">
        <f>"26.0308"</f>
        <v>26.0308</v>
      </c>
      <c r="C1048" s="75" t="s">
        <v>3216</v>
      </c>
      <c r="D1048" s="127" t="s">
        <v>3217</v>
      </c>
      <c r="E1048" s="232"/>
    </row>
    <row r="1049" spans="1:5" ht="14.55" customHeight="1" outlineLevel="1" x14ac:dyDescent="0.25">
      <c r="A1049" s="230" t="s">
        <v>1422</v>
      </c>
      <c r="B1049" s="343" t="str">
        <f>"26.0399"</f>
        <v>26.0399</v>
      </c>
      <c r="C1049" s="75" t="s">
        <v>3218</v>
      </c>
      <c r="D1049" s="127" t="s">
        <v>3219</v>
      </c>
      <c r="E1049" s="232"/>
    </row>
    <row r="1050" spans="1:5" ht="14.55" customHeight="1" outlineLevel="1" x14ac:dyDescent="0.25">
      <c r="A1050" s="230" t="s">
        <v>1422</v>
      </c>
      <c r="B1050" s="343" t="str">
        <f>"26.04"</f>
        <v>26.04</v>
      </c>
      <c r="C1050" s="75" t="s">
        <v>3220</v>
      </c>
      <c r="D1050" s="127" t="s">
        <v>3221</v>
      </c>
      <c r="E1050" s="232"/>
    </row>
    <row r="1051" spans="1:5" ht="14.55" customHeight="1" outlineLevel="1" x14ac:dyDescent="0.25">
      <c r="A1051" s="230" t="s">
        <v>1422</v>
      </c>
      <c r="B1051" s="343" t="str">
        <f>"26.0401"</f>
        <v>26.0401</v>
      </c>
      <c r="C1051" s="75" t="s">
        <v>3222</v>
      </c>
      <c r="D1051" s="127" t="s">
        <v>3223</v>
      </c>
      <c r="E1051" s="232"/>
    </row>
    <row r="1052" spans="1:5" ht="14.55" customHeight="1" outlineLevel="1" x14ac:dyDescent="0.25">
      <c r="A1052" s="230" t="s">
        <v>1422</v>
      </c>
      <c r="B1052" s="343" t="str">
        <f>"26.0403"</f>
        <v>26.0403</v>
      </c>
      <c r="C1052" s="75" t="s">
        <v>3224</v>
      </c>
      <c r="D1052" s="127" t="s">
        <v>3225</v>
      </c>
      <c r="E1052" s="232"/>
    </row>
    <row r="1053" spans="1:5" ht="14.55" customHeight="1" outlineLevel="1" x14ac:dyDescent="0.25">
      <c r="A1053" s="230" t="s">
        <v>1422</v>
      </c>
      <c r="B1053" s="343" t="str">
        <f>"26.0404"</f>
        <v>26.0404</v>
      </c>
      <c r="C1053" s="75" t="s">
        <v>3226</v>
      </c>
      <c r="D1053" s="127" t="s">
        <v>3227</v>
      </c>
      <c r="E1053" s="232"/>
    </row>
    <row r="1054" spans="1:5" ht="14.55" customHeight="1" outlineLevel="1" x14ac:dyDescent="0.25">
      <c r="A1054" s="230" t="s">
        <v>1422</v>
      </c>
      <c r="B1054" s="343" t="str">
        <f>"26.0406"</f>
        <v>26.0406</v>
      </c>
      <c r="C1054" s="75" t="s">
        <v>3228</v>
      </c>
      <c r="D1054" s="127" t="s">
        <v>3229</v>
      </c>
      <c r="E1054" s="232"/>
    </row>
    <row r="1055" spans="1:5" ht="14.55" customHeight="1" outlineLevel="1" x14ac:dyDescent="0.25">
      <c r="A1055" s="230" t="s">
        <v>1422</v>
      </c>
      <c r="B1055" s="343" t="str">
        <f>"26.0407"</f>
        <v>26.0407</v>
      </c>
      <c r="C1055" s="75" t="s">
        <v>3230</v>
      </c>
      <c r="D1055" s="127" t="s">
        <v>3231</v>
      </c>
      <c r="E1055" s="232"/>
    </row>
    <row r="1056" spans="1:5" ht="14.55" customHeight="1" outlineLevel="1" x14ac:dyDescent="0.25">
      <c r="A1056" s="230" t="s">
        <v>1422</v>
      </c>
      <c r="B1056" s="343" t="str">
        <f>"26.0499"</f>
        <v>26.0499</v>
      </c>
      <c r="C1056" s="75" t="s">
        <v>3232</v>
      </c>
      <c r="D1056" s="127" t="s">
        <v>3233</v>
      </c>
      <c r="E1056" s="232"/>
    </row>
    <row r="1057" spans="1:5" ht="14.55" customHeight="1" outlineLevel="1" x14ac:dyDescent="0.25">
      <c r="A1057" s="230" t="s">
        <v>1422</v>
      </c>
      <c r="B1057" s="343" t="str">
        <f>"26.05"</f>
        <v>26.05</v>
      </c>
      <c r="C1057" s="75" t="s">
        <v>3234</v>
      </c>
      <c r="D1057" s="127" t="s">
        <v>3235</v>
      </c>
      <c r="E1057" s="232"/>
    </row>
    <row r="1058" spans="1:5" ht="14.55" customHeight="1" outlineLevel="1" x14ac:dyDescent="0.25">
      <c r="A1058" s="230" t="s">
        <v>1422</v>
      </c>
      <c r="B1058" s="343" t="str">
        <f>"26.0502"</f>
        <v>26.0502</v>
      </c>
      <c r="C1058" s="75" t="s">
        <v>3236</v>
      </c>
      <c r="D1058" s="127" t="s">
        <v>3237</v>
      </c>
      <c r="E1058" s="232"/>
    </row>
    <row r="1059" spans="1:5" ht="14.55" customHeight="1" outlineLevel="1" x14ac:dyDescent="0.25">
      <c r="A1059" s="230" t="s">
        <v>1422</v>
      </c>
      <c r="B1059" s="343" t="str">
        <f>"26.0503"</f>
        <v>26.0503</v>
      </c>
      <c r="C1059" s="75" t="s">
        <v>3238</v>
      </c>
      <c r="D1059" s="127" t="s">
        <v>3239</v>
      </c>
      <c r="E1059" s="232"/>
    </row>
    <row r="1060" spans="1:5" ht="14.55" customHeight="1" outlineLevel="1" x14ac:dyDescent="0.25">
      <c r="A1060" s="230" t="s">
        <v>1422</v>
      </c>
      <c r="B1060" s="343" t="str">
        <f>"26.0504"</f>
        <v>26.0504</v>
      </c>
      <c r="C1060" s="75" t="s">
        <v>3240</v>
      </c>
      <c r="D1060" s="127" t="s">
        <v>3241</v>
      </c>
      <c r="E1060" s="232"/>
    </row>
    <row r="1061" spans="1:5" ht="14.55" customHeight="1" outlineLevel="1" x14ac:dyDescent="0.25">
      <c r="A1061" s="230" t="s">
        <v>1422</v>
      </c>
      <c r="B1061" s="343" t="str">
        <f>"26.0505"</f>
        <v>26.0505</v>
      </c>
      <c r="C1061" s="75" t="s">
        <v>3242</v>
      </c>
      <c r="D1061" s="127" t="s">
        <v>3243</v>
      </c>
      <c r="E1061" s="232"/>
    </row>
    <row r="1062" spans="1:5" s="3" customFormat="1" ht="14.55" customHeight="1" outlineLevel="1" collapsed="1" x14ac:dyDescent="0.25">
      <c r="A1062" s="230" t="s">
        <v>1422</v>
      </c>
      <c r="B1062" s="343" t="str">
        <f>"26.0506"</f>
        <v>26.0506</v>
      </c>
      <c r="C1062" s="75" t="s">
        <v>3244</v>
      </c>
      <c r="D1062" s="127" t="s">
        <v>3245</v>
      </c>
      <c r="E1062" s="232"/>
    </row>
    <row r="1063" spans="1:5" ht="14.55" customHeight="1" outlineLevel="1" x14ac:dyDescent="0.25">
      <c r="A1063" s="230" t="s">
        <v>1422</v>
      </c>
      <c r="B1063" s="343" t="str">
        <f>"26.0507"</f>
        <v>26.0507</v>
      </c>
      <c r="C1063" s="75" t="s">
        <v>3246</v>
      </c>
      <c r="D1063" s="127" t="s">
        <v>3247</v>
      </c>
      <c r="E1063" s="232"/>
    </row>
    <row r="1064" spans="1:5" ht="14.55" customHeight="1" outlineLevel="1" x14ac:dyDescent="0.25">
      <c r="A1064" s="230" t="s">
        <v>1422</v>
      </c>
      <c r="B1064" s="343" t="str">
        <f>"26.0508"</f>
        <v>26.0508</v>
      </c>
      <c r="C1064" s="75" t="s">
        <v>3248</v>
      </c>
      <c r="D1064" s="127" t="s">
        <v>3249</v>
      </c>
      <c r="E1064" s="232"/>
    </row>
    <row r="1065" spans="1:5" ht="14.55" customHeight="1" outlineLevel="1" x14ac:dyDescent="0.25">
      <c r="A1065" s="230" t="s">
        <v>1422</v>
      </c>
      <c r="B1065" s="343" t="str">
        <f>"26.0509"</f>
        <v>26.0509</v>
      </c>
      <c r="C1065" s="75" t="s">
        <v>3250</v>
      </c>
      <c r="D1065" s="127" t="s">
        <v>3251</v>
      </c>
      <c r="E1065" s="232"/>
    </row>
    <row r="1066" spans="1:5" ht="14.55" customHeight="1" outlineLevel="1" x14ac:dyDescent="0.25">
      <c r="A1066" s="230" t="s">
        <v>1422</v>
      </c>
      <c r="B1066" s="343" t="str">
        <f>"26.0599"</f>
        <v>26.0599</v>
      </c>
      <c r="C1066" s="75" t="s">
        <v>3252</v>
      </c>
      <c r="D1066" s="127" t="s">
        <v>3253</v>
      </c>
      <c r="E1066" s="232"/>
    </row>
    <row r="1067" spans="1:5" ht="14.55" customHeight="1" outlineLevel="1" x14ac:dyDescent="0.25">
      <c r="A1067" s="230" t="s">
        <v>1422</v>
      </c>
      <c r="B1067" s="343" t="str">
        <f>"26.07"</f>
        <v>26.07</v>
      </c>
      <c r="C1067" s="75" t="s">
        <v>3254</v>
      </c>
      <c r="D1067" s="127" t="s">
        <v>3255</v>
      </c>
      <c r="E1067" s="232"/>
    </row>
    <row r="1068" spans="1:5" ht="14.55" customHeight="1" outlineLevel="1" x14ac:dyDescent="0.25">
      <c r="A1068" s="230" t="s">
        <v>1422</v>
      </c>
      <c r="B1068" s="343" t="str">
        <f>"26.0701"</f>
        <v>26.0701</v>
      </c>
      <c r="C1068" s="75" t="s">
        <v>3254</v>
      </c>
      <c r="D1068" s="127" t="s">
        <v>3256</v>
      </c>
      <c r="E1068" s="232"/>
    </row>
    <row r="1069" spans="1:5" ht="14.55" customHeight="1" outlineLevel="1" x14ac:dyDescent="0.25">
      <c r="A1069" s="230" t="s">
        <v>1422</v>
      </c>
      <c r="B1069" s="343" t="str">
        <f>"26.0702"</f>
        <v>26.0702</v>
      </c>
      <c r="C1069" s="75" t="s">
        <v>3257</v>
      </c>
      <c r="D1069" s="127" t="s">
        <v>3258</v>
      </c>
      <c r="E1069" s="232"/>
    </row>
    <row r="1070" spans="1:5" ht="14.55" customHeight="1" outlineLevel="1" x14ac:dyDescent="0.25">
      <c r="A1070" s="230" t="s">
        <v>1422</v>
      </c>
      <c r="B1070" s="343" t="str">
        <f>"26.0707"</f>
        <v>26.0707</v>
      </c>
      <c r="C1070" s="75" t="s">
        <v>3259</v>
      </c>
      <c r="D1070" s="127" t="s">
        <v>3260</v>
      </c>
      <c r="E1070" s="232"/>
    </row>
    <row r="1071" spans="1:5" ht="14.55" customHeight="1" outlineLevel="1" x14ac:dyDescent="0.25">
      <c r="A1071" s="230" t="s">
        <v>1422</v>
      </c>
      <c r="B1071" s="343" t="str">
        <f>"26.0708"</f>
        <v>26.0708</v>
      </c>
      <c r="C1071" s="75" t="s">
        <v>3261</v>
      </c>
      <c r="D1071" s="127" t="s">
        <v>3262</v>
      </c>
      <c r="E1071" s="232"/>
    </row>
    <row r="1072" spans="1:5" ht="14.55" customHeight="1" outlineLevel="1" x14ac:dyDescent="0.25">
      <c r="A1072" s="230" t="s">
        <v>1422</v>
      </c>
      <c r="B1072" s="343" t="str">
        <f>"26.0709"</f>
        <v>26.0709</v>
      </c>
      <c r="C1072" s="75" t="s">
        <v>3263</v>
      </c>
      <c r="D1072" s="127" t="s">
        <v>3264</v>
      </c>
      <c r="E1072" s="232"/>
    </row>
    <row r="1073" spans="1:5" ht="14.55" customHeight="1" outlineLevel="1" x14ac:dyDescent="0.25">
      <c r="A1073" s="230" t="s">
        <v>1422</v>
      </c>
      <c r="B1073" s="343" t="str">
        <f>"26.0799"</f>
        <v>26.0799</v>
      </c>
      <c r="C1073" s="75" t="s">
        <v>3265</v>
      </c>
      <c r="D1073" s="127" t="s">
        <v>3266</v>
      </c>
      <c r="E1073" s="232"/>
    </row>
    <row r="1074" spans="1:5" ht="14.55" customHeight="1" outlineLevel="1" x14ac:dyDescent="0.25">
      <c r="A1074" s="230" t="s">
        <v>1422</v>
      </c>
      <c r="B1074" s="343" t="str">
        <f>"26.08"</f>
        <v>26.08</v>
      </c>
      <c r="C1074" s="75" t="s">
        <v>3267</v>
      </c>
      <c r="D1074" s="127" t="s">
        <v>3268</v>
      </c>
      <c r="E1074" s="232"/>
    </row>
    <row r="1075" spans="1:5" ht="14.55" customHeight="1" outlineLevel="1" x14ac:dyDescent="0.25">
      <c r="A1075" s="230" t="s">
        <v>1422</v>
      </c>
      <c r="B1075" s="343" t="str">
        <f>"26.0801"</f>
        <v>26.0801</v>
      </c>
      <c r="C1075" s="75" t="s">
        <v>3269</v>
      </c>
      <c r="D1075" s="127" t="s">
        <v>3270</v>
      </c>
      <c r="E1075" s="232"/>
    </row>
    <row r="1076" spans="1:5" ht="14.55" customHeight="1" outlineLevel="1" x14ac:dyDescent="0.25">
      <c r="A1076" s="230" t="s">
        <v>1422</v>
      </c>
      <c r="B1076" s="343" t="str">
        <f>"26.0802"</f>
        <v>26.0802</v>
      </c>
      <c r="C1076" s="75" t="s">
        <v>3271</v>
      </c>
      <c r="D1076" s="127" t="s">
        <v>3272</v>
      </c>
      <c r="E1076" s="232"/>
    </row>
    <row r="1077" spans="1:5" ht="14.55" customHeight="1" outlineLevel="1" x14ac:dyDescent="0.25">
      <c r="A1077" s="230" t="s">
        <v>1422</v>
      </c>
      <c r="B1077" s="343" t="str">
        <f>"26.0803"</f>
        <v>26.0803</v>
      </c>
      <c r="C1077" s="75" t="s">
        <v>3273</v>
      </c>
      <c r="D1077" s="127" t="s">
        <v>3274</v>
      </c>
      <c r="E1077" s="232"/>
    </row>
    <row r="1078" spans="1:5" ht="14.55" customHeight="1" outlineLevel="1" x14ac:dyDescent="0.25">
      <c r="A1078" s="230" t="s">
        <v>1422</v>
      </c>
      <c r="B1078" s="343" t="str">
        <f>"26.0804"</f>
        <v>26.0804</v>
      </c>
      <c r="C1078" s="75" t="s">
        <v>3275</v>
      </c>
      <c r="D1078" s="127" t="s">
        <v>3276</v>
      </c>
      <c r="E1078" s="232"/>
    </row>
    <row r="1079" spans="1:5" ht="14.55" customHeight="1" outlineLevel="1" x14ac:dyDescent="0.25">
      <c r="A1079" s="230" t="s">
        <v>1422</v>
      </c>
      <c r="B1079" s="343" t="str">
        <f>"26.0805"</f>
        <v>26.0805</v>
      </c>
      <c r="C1079" s="75" t="s">
        <v>3277</v>
      </c>
      <c r="D1079" s="127" t="s">
        <v>3278</v>
      </c>
      <c r="E1079" s="232"/>
    </row>
    <row r="1080" spans="1:5" ht="14.55" customHeight="1" outlineLevel="1" x14ac:dyDescent="0.25">
      <c r="A1080" s="230" t="s">
        <v>1422</v>
      </c>
      <c r="B1080" s="343" t="str">
        <f>"26.0806"</f>
        <v>26.0806</v>
      </c>
      <c r="C1080" s="75" t="s">
        <v>3279</v>
      </c>
      <c r="D1080" s="127" t="s">
        <v>3280</v>
      </c>
      <c r="E1080" s="232"/>
    </row>
    <row r="1081" spans="1:5" ht="14.55" customHeight="1" outlineLevel="1" x14ac:dyDescent="0.25">
      <c r="A1081" s="230" t="s">
        <v>1422</v>
      </c>
      <c r="B1081" s="343" t="str">
        <f>"26.0807"</f>
        <v>26.0807</v>
      </c>
      <c r="C1081" s="75" t="s">
        <v>3281</v>
      </c>
      <c r="D1081" s="127" t="s">
        <v>3282</v>
      </c>
      <c r="E1081" s="232"/>
    </row>
    <row r="1082" spans="1:5" ht="14.55" customHeight="1" outlineLevel="1" x14ac:dyDescent="0.25">
      <c r="A1082" s="230" t="s">
        <v>1422</v>
      </c>
      <c r="B1082" s="343" t="str">
        <f>"26.0899"</f>
        <v>26.0899</v>
      </c>
      <c r="C1082" s="75" t="s">
        <v>3283</v>
      </c>
      <c r="D1082" s="127" t="s">
        <v>3284</v>
      </c>
      <c r="E1082" s="232"/>
    </row>
    <row r="1083" spans="1:5" ht="14.55" customHeight="1" outlineLevel="1" x14ac:dyDescent="0.25">
      <c r="A1083" s="230" t="s">
        <v>1422</v>
      </c>
      <c r="B1083" s="343" t="str">
        <f>"26.09"</f>
        <v>26.09</v>
      </c>
      <c r="C1083" s="75" t="s">
        <v>3285</v>
      </c>
      <c r="D1083" s="127" t="s">
        <v>3286</v>
      </c>
      <c r="E1083" s="232"/>
    </row>
    <row r="1084" spans="1:5" ht="14.55" customHeight="1" outlineLevel="1" x14ac:dyDescent="0.25">
      <c r="A1084" s="230" t="s">
        <v>1422</v>
      </c>
      <c r="B1084" s="343" t="str">
        <f>"26.0901"</f>
        <v>26.0901</v>
      </c>
      <c r="C1084" s="75" t="s">
        <v>3287</v>
      </c>
      <c r="D1084" s="127" t="s">
        <v>3288</v>
      </c>
      <c r="E1084" s="232"/>
    </row>
    <row r="1085" spans="1:5" ht="14.55" customHeight="1" outlineLevel="1" x14ac:dyDescent="0.25">
      <c r="A1085" s="230" t="s">
        <v>1422</v>
      </c>
      <c r="B1085" s="343" t="str">
        <f>"26.0902"</f>
        <v>26.0902</v>
      </c>
      <c r="C1085" s="75" t="s">
        <v>3289</v>
      </c>
      <c r="D1085" s="127" t="s">
        <v>3290</v>
      </c>
      <c r="E1085" s="232"/>
    </row>
    <row r="1086" spans="1:5" ht="14.55" customHeight="1" outlineLevel="1" x14ac:dyDescent="0.25">
      <c r="A1086" s="230" t="s">
        <v>1422</v>
      </c>
      <c r="B1086" s="343" t="str">
        <f>"26.0903"</f>
        <v>26.0903</v>
      </c>
      <c r="C1086" s="75" t="s">
        <v>3291</v>
      </c>
      <c r="D1086" s="127" t="s">
        <v>3292</v>
      </c>
      <c r="E1086" s="232"/>
    </row>
    <row r="1087" spans="1:5" ht="14.55" customHeight="1" outlineLevel="1" x14ac:dyDescent="0.25">
      <c r="A1087" s="230" t="s">
        <v>1422</v>
      </c>
      <c r="B1087" s="343" t="str">
        <f>"26.0904"</f>
        <v>26.0904</v>
      </c>
      <c r="C1087" s="75" t="s">
        <v>3293</v>
      </c>
      <c r="D1087" s="127" t="s">
        <v>3294</v>
      </c>
      <c r="E1087" s="232"/>
    </row>
    <row r="1088" spans="1:5" ht="14.55" customHeight="1" outlineLevel="1" x14ac:dyDescent="0.25">
      <c r="A1088" s="230" t="s">
        <v>1422</v>
      </c>
      <c r="B1088" s="343" t="str">
        <f>"26.0905"</f>
        <v>26.0905</v>
      </c>
      <c r="C1088" s="75" t="s">
        <v>3295</v>
      </c>
      <c r="D1088" s="127" t="s">
        <v>3296</v>
      </c>
      <c r="E1088" s="232"/>
    </row>
    <row r="1089" spans="1:5" ht="14.55" customHeight="1" outlineLevel="1" x14ac:dyDescent="0.25">
      <c r="A1089" s="230" t="s">
        <v>1422</v>
      </c>
      <c r="B1089" s="343" t="str">
        <f>"26.0907"</f>
        <v>26.0907</v>
      </c>
      <c r="C1089" s="75" t="s">
        <v>3297</v>
      </c>
      <c r="D1089" s="127" t="s">
        <v>3298</v>
      </c>
      <c r="E1089" s="232"/>
    </row>
    <row r="1090" spans="1:5" ht="14.55" customHeight="1" outlineLevel="1" x14ac:dyDescent="0.25">
      <c r="A1090" s="230" t="s">
        <v>1422</v>
      </c>
      <c r="B1090" s="343" t="str">
        <f>"26.0908"</f>
        <v>26.0908</v>
      </c>
      <c r="C1090" s="75" t="s">
        <v>3299</v>
      </c>
      <c r="D1090" s="127" t="s">
        <v>3300</v>
      </c>
      <c r="E1090" s="232"/>
    </row>
    <row r="1091" spans="1:5" ht="14.55" customHeight="1" outlineLevel="1" x14ac:dyDescent="0.25">
      <c r="A1091" s="230" t="s">
        <v>1422</v>
      </c>
      <c r="B1091" s="343" t="str">
        <f>"26.0909"</f>
        <v>26.0909</v>
      </c>
      <c r="C1091" s="75" t="s">
        <v>3301</v>
      </c>
      <c r="D1091" s="127" t="s">
        <v>3302</v>
      </c>
      <c r="E1091" s="232"/>
    </row>
    <row r="1092" spans="1:5" ht="14.55" customHeight="1" outlineLevel="1" x14ac:dyDescent="0.25">
      <c r="A1092" s="230" t="s">
        <v>1422</v>
      </c>
      <c r="B1092" s="343" t="str">
        <f>"26.0910"</f>
        <v>26.0910</v>
      </c>
      <c r="C1092" s="75" t="s">
        <v>3303</v>
      </c>
      <c r="D1092" s="127" t="s">
        <v>3304</v>
      </c>
      <c r="E1092" s="232"/>
    </row>
    <row r="1093" spans="1:5" s="3" customFormat="1" ht="14.55" customHeight="1" outlineLevel="1" collapsed="1" x14ac:dyDescent="0.25">
      <c r="A1093" s="230" t="s">
        <v>1422</v>
      </c>
      <c r="B1093" s="343" t="str">
        <f>"26.0911"</f>
        <v>26.0911</v>
      </c>
      <c r="C1093" s="75" t="s">
        <v>3305</v>
      </c>
      <c r="D1093" s="127" t="s">
        <v>3306</v>
      </c>
      <c r="E1093" s="232"/>
    </row>
    <row r="1094" spans="1:5" ht="14.55" customHeight="1" outlineLevel="1" x14ac:dyDescent="0.25">
      <c r="A1094" s="230" t="s">
        <v>1422</v>
      </c>
      <c r="B1094" s="343" t="str">
        <f>"26.0912"</f>
        <v>26.0912</v>
      </c>
      <c r="C1094" s="75" t="s">
        <v>3307</v>
      </c>
      <c r="D1094" s="127" t="s">
        <v>3308</v>
      </c>
      <c r="E1094" s="232"/>
    </row>
    <row r="1095" spans="1:5" ht="14.55" customHeight="1" outlineLevel="1" x14ac:dyDescent="0.25">
      <c r="A1095" s="230" t="s">
        <v>1422</v>
      </c>
      <c r="B1095" s="343" t="str">
        <f>"26.0913"</f>
        <v>26.0913</v>
      </c>
      <c r="C1095" s="75" t="s">
        <v>3309</v>
      </c>
      <c r="D1095" s="127" t="s">
        <v>3310</v>
      </c>
      <c r="E1095" s="232"/>
    </row>
    <row r="1096" spans="1:5" ht="14.55" customHeight="1" outlineLevel="1" x14ac:dyDescent="0.25">
      <c r="A1096" s="230" t="s">
        <v>1422</v>
      </c>
      <c r="B1096" s="343" t="str">
        <f>"26.0999"</f>
        <v>26.0999</v>
      </c>
      <c r="C1096" s="75" t="s">
        <v>3311</v>
      </c>
      <c r="D1096" s="127" t="s">
        <v>3312</v>
      </c>
      <c r="E1096" s="232"/>
    </row>
    <row r="1097" spans="1:5" ht="14.55" customHeight="1" outlineLevel="1" x14ac:dyDescent="0.25">
      <c r="A1097" s="230" t="s">
        <v>1422</v>
      </c>
      <c r="B1097" s="343" t="str">
        <f>"26.10"</f>
        <v>26.10</v>
      </c>
      <c r="C1097" s="75" t="s">
        <v>3313</v>
      </c>
      <c r="D1097" s="127" t="s">
        <v>3314</v>
      </c>
      <c r="E1097" s="232"/>
    </row>
    <row r="1098" spans="1:5" ht="14.55" customHeight="1" outlineLevel="1" x14ac:dyDescent="0.25">
      <c r="A1098" s="230" t="s">
        <v>1422</v>
      </c>
      <c r="B1098" s="343" t="str">
        <f>"26.1001"</f>
        <v>26.1001</v>
      </c>
      <c r="C1098" s="75" t="s">
        <v>3315</v>
      </c>
      <c r="D1098" s="127" t="s">
        <v>3316</v>
      </c>
      <c r="E1098" s="232"/>
    </row>
    <row r="1099" spans="1:5" ht="14.55" customHeight="1" outlineLevel="1" x14ac:dyDescent="0.25">
      <c r="A1099" s="230" t="s">
        <v>1422</v>
      </c>
      <c r="B1099" s="343" t="str">
        <f>"26.1002"</f>
        <v>26.1002</v>
      </c>
      <c r="C1099" s="75" t="s">
        <v>3317</v>
      </c>
      <c r="D1099" s="127" t="s">
        <v>3318</v>
      </c>
      <c r="E1099" s="232"/>
    </row>
    <row r="1100" spans="1:5" ht="14.55" customHeight="1" outlineLevel="1" x14ac:dyDescent="0.25">
      <c r="A1100" s="230" t="s">
        <v>1422</v>
      </c>
      <c r="B1100" s="343" t="str">
        <f>"26.1003"</f>
        <v>26.1003</v>
      </c>
      <c r="C1100" s="75" t="s">
        <v>3319</v>
      </c>
      <c r="D1100" s="127" t="s">
        <v>3320</v>
      </c>
      <c r="E1100" s="232"/>
    </row>
    <row r="1101" spans="1:5" ht="14.55" customHeight="1" outlineLevel="1" x14ac:dyDescent="0.25">
      <c r="A1101" s="230" t="s">
        <v>1422</v>
      </c>
      <c r="B1101" s="343" t="str">
        <f>"26.1004"</f>
        <v>26.1004</v>
      </c>
      <c r="C1101" s="75" t="s">
        <v>3321</v>
      </c>
      <c r="D1101" s="127" t="s">
        <v>3322</v>
      </c>
      <c r="E1101" s="232"/>
    </row>
    <row r="1102" spans="1:5" ht="14.55" customHeight="1" outlineLevel="1" x14ac:dyDescent="0.25">
      <c r="A1102" s="230" t="s">
        <v>1422</v>
      </c>
      <c r="B1102" s="343" t="str">
        <f>"26.1005"</f>
        <v>26.1005</v>
      </c>
      <c r="C1102" s="75" t="s">
        <v>3323</v>
      </c>
      <c r="D1102" s="127" t="s">
        <v>3324</v>
      </c>
      <c r="E1102" s="232"/>
    </row>
    <row r="1103" spans="1:5" ht="14.55" customHeight="1" outlineLevel="1" x14ac:dyDescent="0.25">
      <c r="A1103" s="230" t="s">
        <v>1422</v>
      </c>
      <c r="B1103" s="343" t="str">
        <f>"26.1006"</f>
        <v>26.1006</v>
      </c>
      <c r="C1103" s="75" t="s">
        <v>3325</v>
      </c>
      <c r="D1103" s="127" t="s">
        <v>3326</v>
      </c>
      <c r="E1103" s="232"/>
    </row>
    <row r="1104" spans="1:5" ht="14.55" customHeight="1" outlineLevel="1" x14ac:dyDescent="0.25">
      <c r="A1104" s="230" t="s">
        <v>1422</v>
      </c>
      <c r="B1104" s="343" t="str">
        <f>"26.1007"</f>
        <v>26.1007</v>
      </c>
      <c r="C1104" s="75" t="s">
        <v>3313</v>
      </c>
      <c r="D1104" s="127" t="s">
        <v>3327</v>
      </c>
      <c r="E1104" s="232"/>
    </row>
    <row r="1105" spans="1:1003" ht="14.55" customHeight="1" outlineLevel="1" x14ac:dyDescent="0.25">
      <c r="A1105" s="230" t="s">
        <v>1422</v>
      </c>
      <c r="B1105" s="343" t="str">
        <f>"26.1099"</f>
        <v>26.1099</v>
      </c>
      <c r="C1105" s="75" t="s">
        <v>3328</v>
      </c>
      <c r="D1105" s="127" t="s">
        <v>3329</v>
      </c>
      <c r="E1105" s="232"/>
    </row>
    <row r="1106" spans="1:1003" ht="14.55" customHeight="1" outlineLevel="1" x14ac:dyDescent="0.25">
      <c r="A1106" s="230" t="s">
        <v>1422</v>
      </c>
      <c r="B1106" s="343" t="str">
        <f>"26.11"</f>
        <v>26.11</v>
      </c>
      <c r="C1106" s="75" t="s">
        <v>3330</v>
      </c>
      <c r="D1106" s="127" t="s">
        <v>3331</v>
      </c>
      <c r="E1106" s="232"/>
    </row>
    <row r="1107" spans="1:1003" ht="14.55" customHeight="1" outlineLevel="1" x14ac:dyDescent="0.25">
      <c r="A1107" s="230" t="s">
        <v>1422</v>
      </c>
      <c r="B1107" s="343" t="str">
        <f>"26.1101"</f>
        <v>26.1101</v>
      </c>
      <c r="C1107" s="75" t="s">
        <v>3332</v>
      </c>
      <c r="D1107" s="127" t="s">
        <v>3333</v>
      </c>
      <c r="E1107" s="232"/>
    </row>
    <row r="1108" spans="1:1003" s="234" customFormat="1" ht="14.55" customHeight="1" outlineLevel="1" x14ac:dyDescent="0.25">
      <c r="A1108" s="230" t="s">
        <v>1422</v>
      </c>
      <c r="B1108" s="343" t="str">
        <f>"26.1102"</f>
        <v>26.1102</v>
      </c>
      <c r="C1108" s="75" t="s">
        <v>3334</v>
      </c>
      <c r="D1108" s="127" t="s">
        <v>3335</v>
      </c>
      <c r="E1108" s="232"/>
      <c r="F1108" s="75"/>
      <c r="G1108" s="75"/>
      <c r="H1108" s="75"/>
      <c r="I1108" s="75"/>
      <c r="J1108" s="75"/>
      <c r="K1108" s="75"/>
      <c r="L1108" s="75"/>
      <c r="M1108" s="75"/>
      <c r="N1108" s="75"/>
      <c r="O1108" s="75"/>
      <c r="P1108" s="75"/>
      <c r="Q1108" s="75"/>
      <c r="R1108" s="75"/>
      <c r="S1108" s="75"/>
      <c r="T1108" s="75"/>
      <c r="U1108" s="75"/>
      <c r="V1108" s="75"/>
      <c r="W1108" s="75"/>
      <c r="X1108" s="75"/>
      <c r="Y1108" s="75"/>
      <c r="Z1108" s="75"/>
      <c r="AA1108" s="75"/>
      <c r="AB1108" s="75"/>
      <c r="AC1108" s="75"/>
      <c r="AD1108" s="75"/>
      <c r="AE1108" s="75"/>
      <c r="AF1108" s="75"/>
      <c r="AG1108" s="75"/>
      <c r="AH1108" s="75"/>
      <c r="AI1108" s="75"/>
      <c r="AJ1108" s="75"/>
      <c r="AK1108" s="75"/>
      <c r="AL1108" s="75"/>
      <c r="AM1108" s="75"/>
      <c r="AN1108" s="75"/>
      <c r="AO1108" s="75"/>
      <c r="AP1108" s="75"/>
      <c r="AQ1108" s="75"/>
      <c r="AR1108" s="75"/>
      <c r="AS1108" s="75"/>
      <c r="AT1108" s="75"/>
      <c r="AU1108" s="75"/>
      <c r="AV1108" s="75"/>
      <c r="AW1108" s="75"/>
      <c r="AX1108" s="75"/>
      <c r="AY1108" s="75"/>
      <c r="AZ1108" s="75"/>
      <c r="BA1108" s="75"/>
      <c r="BB1108" s="75"/>
      <c r="BC1108" s="75"/>
      <c r="BD1108" s="75"/>
      <c r="BE1108" s="75"/>
      <c r="BF1108" s="75"/>
      <c r="BG1108" s="75"/>
      <c r="BH1108" s="75"/>
      <c r="BI1108" s="75"/>
      <c r="BJ1108" s="75"/>
      <c r="BK1108" s="75"/>
      <c r="BL1108" s="75"/>
      <c r="BM1108" s="75"/>
      <c r="BN1108" s="75"/>
      <c r="BO1108" s="75"/>
      <c r="BP1108" s="75"/>
      <c r="BQ1108" s="75"/>
      <c r="BR1108" s="75"/>
      <c r="BS1108" s="75"/>
      <c r="BT1108" s="75"/>
      <c r="BU1108" s="75"/>
      <c r="BV1108" s="75"/>
      <c r="BW1108" s="75"/>
      <c r="BX1108" s="75"/>
      <c r="BY1108" s="75"/>
      <c r="BZ1108" s="75"/>
      <c r="CA1108" s="75"/>
      <c r="CB1108" s="75"/>
      <c r="CC1108" s="75"/>
      <c r="CD1108" s="75"/>
      <c r="CE1108" s="75"/>
      <c r="CF1108" s="75"/>
      <c r="CG1108" s="75"/>
      <c r="CH1108" s="75"/>
      <c r="CI1108" s="75"/>
      <c r="CJ1108" s="75"/>
      <c r="CK1108" s="75"/>
      <c r="CL1108" s="75"/>
      <c r="CM1108" s="75"/>
      <c r="CN1108" s="75"/>
      <c r="CO1108" s="75"/>
      <c r="CP1108" s="75"/>
      <c r="CQ1108" s="75"/>
      <c r="CR1108" s="75"/>
      <c r="CS1108" s="75"/>
      <c r="CT1108" s="75"/>
      <c r="CU1108" s="75"/>
      <c r="CV1108" s="75"/>
      <c r="CW1108" s="75"/>
      <c r="CX1108" s="75"/>
      <c r="CY1108" s="75"/>
      <c r="CZ1108" s="75"/>
      <c r="DA1108" s="75"/>
      <c r="DB1108" s="75"/>
      <c r="DC1108" s="75"/>
      <c r="DD1108" s="75"/>
      <c r="DE1108" s="75"/>
      <c r="DF1108" s="75"/>
      <c r="DG1108" s="75"/>
      <c r="DH1108" s="75"/>
      <c r="DI1108" s="75"/>
      <c r="DJ1108" s="75"/>
      <c r="DK1108" s="75"/>
      <c r="DL1108" s="75"/>
      <c r="DM1108" s="75"/>
      <c r="DN1108" s="75"/>
      <c r="DO1108" s="75"/>
      <c r="DP1108" s="75"/>
      <c r="DQ1108" s="75"/>
      <c r="DR1108" s="75"/>
      <c r="DS1108" s="75"/>
      <c r="DT1108" s="75"/>
      <c r="DU1108" s="75"/>
      <c r="DV1108" s="75"/>
      <c r="DW1108" s="75"/>
      <c r="DX1108" s="75"/>
      <c r="DY1108" s="75"/>
      <c r="DZ1108" s="75"/>
      <c r="EA1108" s="75"/>
      <c r="EB1108" s="75"/>
      <c r="EC1108" s="75"/>
      <c r="ED1108" s="75"/>
      <c r="EE1108" s="75"/>
      <c r="EF1108" s="75"/>
      <c r="EG1108" s="75"/>
      <c r="EH1108" s="75"/>
      <c r="EI1108" s="75"/>
      <c r="EJ1108" s="75"/>
      <c r="EK1108" s="75"/>
      <c r="EL1108" s="75"/>
      <c r="EM1108" s="75"/>
      <c r="EN1108" s="75"/>
      <c r="EO1108" s="75"/>
      <c r="EP1108" s="75"/>
      <c r="EQ1108" s="75"/>
      <c r="ER1108" s="75"/>
      <c r="ES1108" s="75"/>
      <c r="ET1108" s="75"/>
      <c r="EU1108" s="75"/>
      <c r="EV1108" s="75"/>
      <c r="EW1108" s="75"/>
      <c r="EX1108" s="75"/>
      <c r="EY1108" s="75"/>
      <c r="EZ1108" s="75"/>
      <c r="FA1108" s="75"/>
      <c r="FB1108" s="75"/>
      <c r="FC1108" s="75"/>
      <c r="FD1108" s="75"/>
      <c r="FE1108" s="75"/>
      <c r="FF1108" s="75"/>
      <c r="FG1108" s="75"/>
      <c r="FH1108" s="75"/>
      <c r="FI1108" s="75"/>
      <c r="FJ1108" s="75"/>
      <c r="FK1108" s="75"/>
      <c r="FL1108" s="75"/>
      <c r="FM1108" s="75"/>
      <c r="FN1108" s="75"/>
      <c r="FO1108" s="75"/>
      <c r="FP1108" s="75"/>
      <c r="FQ1108" s="75"/>
      <c r="FR1108" s="75"/>
      <c r="FS1108" s="75"/>
      <c r="FT1108" s="75"/>
      <c r="FU1108" s="75"/>
      <c r="FV1108" s="75"/>
      <c r="FW1108" s="75"/>
      <c r="FX1108" s="75"/>
      <c r="FY1108" s="75"/>
      <c r="FZ1108" s="75"/>
      <c r="GA1108" s="75"/>
      <c r="GB1108" s="75"/>
      <c r="GC1108" s="75"/>
      <c r="GD1108" s="75"/>
      <c r="GE1108" s="75"/>
      <c r="GF1108" s="75"/>
      <c r="GG1108" s="75"/>
      <c r="GH1108" s="75"/>
      <c r="GI1108" s="75"/>
      <c r="GJ1108" s="75"/>
      <c r="GK1108" s="75"/>
      <c r="GL1108" s="75"/>
      <c r="GM1108" s="75"/>
      <c r="GN1108" s="75"/>
      <c r="GO1108" s="75"/>
      <c r="GP1108" s="75"/>
      <c r="GQ1108" s="75"/>
      <c r="GR1108" s="75"/>
      <c r="GS1108" s="75"/>
      <c r="GT1108" s="75"/>
      <c r="GU1108" s="75"/>
      <c r="GV1108" s="75"/>
      <c r="GW1108" s="75"/>
      <c r="GX1108" s="75"/>
      <c r="GY1108" s="75"/>
      <c r="GZ1108" s="75"/>
      <c r="HA1108" s="75"/>
      <c r="HB1108" s="75"/>
      <c r="HC1108" s="75"/>
      <c r="HD1108" s="75"/>
      <c r="HE1108" s="75"/>
      <c r="HF1108" s="75"/>
      <c r="HG1108" s="75"/>
      <c r="HH1108" s="75"/>
      <c r="HI1108" s="75"/>
      <c r="HJ1108" s="75"/>
      <c r="HK1108" s="75"/>
      <c r="HL1108" s="75"/>
      <c r="HM1108" s="75"/>
      <c r="HN1108" s="75"/>
      <c r="HO1108" s="75"/>
      <c r="HP1108" s="75"/>
      <c r="HQ1108" s="75"/>
      <c r="HR1108" s="75"/>
      <c r="HS1108" s="75"/>
      <c r="HT1108" s="75"/>
      <c r="HU1108" s="75"/>
      <c r="HV1108" s="75"/>
      <c r="HW1108" s="75"/>
      <c r="HX1108" s="75"/>
      <c r="HY1108" s="75"/>
      <c r="HZ1108" s="75"/>
      <c r="IA1108" s="75"/>
      <c r="IB1108" s="75"/>
      <c r="IC1108" s="75"/>
      <c r="ID1108" s="75"/>
      <c r="IE1108" s="75"/>
      <c r="IF1108" s="75"/>
      <c r="IG1108" s="75"/>
      <c r="IH1108" s="75"/>
      <c r="II1108" s="75"/>
      <c r="IJ1108" s="75"/>
      <c r="IK1108" s="75"/>
      <c r="IL1108" s="75"/>
      <c r="IM1108" s="75"/>
      <c r="IN1108" s="75"/>
      <c r="IO1108" s="75"/>
      <c r="IP1108" s="75"/>
      <c r="IQ1108" s="75"/>
      <c r="IR1108" s="75"/>
      <c r="IS1108" s="75"/>
      <c r="IT1108" s="75"/>
      <c r="IU1108" s="75"/>
      <c r="IV1108" s="75"/>
      <c r="IW1108" s="75"/>
      <c r="IX1108" s="75"/>
      <c r="IY1108" s="75"/>
      <c r="IZ1108" s="75"/>
      <c r="JA1108" s="75"/>
      <c r="JB1108" s="75"/>
      <c r="JC1108" s="75"/>
      <c r="JD1108" s="75"/>
      <c r="JE1108" s="75"/>
      <c r="JF1108" s="75"/>
      <c r="JG1108" s="75"/>
      <c r="JH1108" s="75"/>
      <c r="JI1108" s="75"/>
      <c r="JJ1108" s="75"/>
      <c r="JK1108" s="75"/>
      <c r="JL1108" s="75"/>
      <c r="JM1108" s="75"/>
      <c r="JN1108" s="75"/>
      <c r="JO1108" s="75"/>
      <c r="JP1108" s="75"/>
      <c r="JQ1108" s="75"/>
      <c r="JR1108" s="75"/>
      <c r="JS1108" s="75"/>
      <c r="JT1108" s="75"/>
      <c r="JU1108" s="75"/>
      <c r="JV1108" s="75"/>
      <c r="JW1108" s="75"/>
      <c r="JX1108" s="75"/>
      <c r="JY1108" s="75"/>
      <c r="JZ1108" s="75"/>
      <c r="KA1108" s="75"/>
      <c r="KB1108" s="75"/>
      <c r="KC1108" s="75"/>
      <c r="KD1108" s="75"/>
      <c r="KE1108" s="75"/>
      <c r="KF1108" s="75"/>
      <c r="KG1108" s="75"/>
      <c r="KH1108" s="75"/>
      <c r="KI1108" s="75"/>
      <c r="KJ1108" s="75"/>
      <c r="KK1108" s="75"/>
      <c r="KL1108" s="75"/>
      <c r="KM1108" s="75"/>
      <c r="KN1108" s="75"/>
      <c r="KO1108" s="75"/>
      <c r="KP1108" s="75"/>
      <c r="KQ1108" s="75"/>
      <c r="KR1108" s="75"/>
      <c r="KS1108" s="75"/>
      <c r="KT1108" s="75"/>
      <c r="KU1108" s="75"/>
      <c r="KV1108" s="75"/>
      <c r="KW1108" s="75"/>
      <c r="KX1108" s="75"/>
      <c r="KY1108" s="75"/>
      <c r="KZ1108" s="75"/>
      <c r="LA1108" s="75"/>
      <c r="LB1108" s="75"/>
      <c r="LC1108" s="75"/>
      <c r="LD1108" s="75"/>
      <c r="LE1108" s="75"/>
      <c r="LF1108" s="75"/>
      <c r="LG1108" s="75"/>
      <c r="LH1108" s="75"/>
      <c r="LI1108" s="75"/>
      <c r="LJ1108" s="75"/>
      <c r="LK1108" s="75"/>
      <c r="LL1108" s="75"/>
      <c r="LM1108" s="75"/>
      <c r="LN1108" s="75"/>
      <c r="LO1108" s="75"/>
      <c r="LP1108" s="75"/>
      <c r="LQ1108" s="75"/>
      <c r="LR1108" s="75"/>
      <c r="LS1108" s="75"/>
      <c r="LT1108" s="75"/>
      <c r="LU1108" s="75"/>
      <c r="LV1108" s="75"/>
      <c r="LW1108" s="75"/>
      <c r="LX1108" s="75"/>
      <c r="LY1108" s="75"/>
      <c r="LZ1108" s="75"/>
      <c r="MA1108" s="75"/>
      <c r="MB1108" s="75"/>
      <c r="MC1108" s="75"/>
      <c r="MD1108" s="75"/>
      <c r="ME1108" s="75"/>
      <c r="MF1108" s="75"/>
      <c r="MG1108" s="75"/>
      <c r="MH1108" s="75"/>
      <c r="MI1108" s="75"/>
      <c r="MJ1108" s="75"/>
      <c r="MK1108" s="75"/>
      <c r="ML1108" s="75"/>
      <c r="MM1108" s="75"/>
      <c r="MN1108" s="75"/>
      <c r="MO1108" s="75"/>
      <c r="MP1108" s="75"/>
      <c r="MQ1108" s="75"/>
      <c r="MR1108" s="75"/>
      <c r="MS1108" s="75"/>
      <c r="MT1108" s="75"/>
      <c r="MU1108" s="75"/>
      <c r="MV1108" s="75"/>
      <c r="MW1108" s="75"/>
      <c r="MX1108" s="75"/>
      <c r="MY1108" s="75"/>
      <c r="MZ1108" s="75"/>
      <c r="NA1108" s="75"/>
      <c r="NB1108" s="75"/>
      <c r="NC1108" s="75"/>
      <c r="ND1108" s="75"/>
      <c r="NE1108" s="75"/>
      <c r="NF1108" s="75"/>
      <c r="NG1108" s="75"/>
      <c r="NH1108" s="75"/>
      <c r="NI1108" s="75"/>
      <c r="NJ1108" s="75"/>
      <c r="NK1108" s="75"/>
      <c r="NL1108" s="75"/>
      <c r="NM1108" s="75"/>
      <c r="NN1108" s="75"/>
      <c r="NO1108" s="75"/>
      <c r="NP1108" s="75"/>
      <c r="NQ1108" s="75"/>
      <c r="NR1108" s="75"/>
      <c r="NS1108" s="75"/>
      <c r="NT1108" s="75"/>
      <c r="NU1108" s="75"/>
      <c r="NV1108" s="75"/>
      <c r="NW1108" s="75"/>
      <c r="NX1108" s="75"/>
      <c r="NY1108" s="75"/>
      <c r="NZ1108" s="75"/>
      <c r="OA1108" s="75"/>
      <c r="OB1108" s="75"/>
      <c r="OC1108" s="75"/>
      <c r="OD1108" s="75"/>
      <c r="OE1108" s="75"/>
      <c r="OF1108" s="75"/>
      <c r="OG1108" s="75"/>
      <c r="OH1108" s="75"/>
      <c r="OI1108" s="75"/>
      <c r="OJ1108" s="75"/>
      <c r="OK1108" s="75"/>
      <c r="OL1108" s="75"/>
      <c r="OM1108" s="75"/>
      <c r="ON1108" s="75"/>
      <c r="OO1108" s="75"/>
      <c r="OP1108" s="75"/>
      <c r="OQ1108" s="75"/>
      <c r="OR1108" s="75"/>
      <c r="OS1108" s="75"/>
      <c r="OT1108" s="75"/>
      <c r="OU1108" s="75"/>
      <c r="OV1108" s="75"/>
      <c r="OW1108" s="75"/>
      <c r="OX1108" s="75"/>
      <c r="OY1108" s="75"/>
      <c r="OZ1108" s="75"/>
      <c r="PA1108" s="75"/>
      <c r="PB1108" s="75"/>
      <c r="PC1108" s="75"/>
      <c r="PD1108" s="75"/>
      <c r="PE1108" s="75"/>
      <c r="PF1108" s="75"/>
      <c r="PG1108" s="75"/>
      <c r="PH1108" s="75"/>
      <c r="PI1108" s="75"/>
      <c r="PJ1108" s="75"/>
      <c r="PK1108" s="75"/>
      <c r="PL1108" s="75"/>
      <c r="PM1108" s="75"/>
      <c r="PN1108" s="75"/>
      <c r="PO1108" s="75"/>
      <c r="PP1108" s="75"/>
      <c r="PQ1108" s="75"/>
      <c r="PR1108" s="75"/>
      <c r="PS1108" s="75"/>
      <c r="PT1108" s="75"/>
      <c r="PU1108" s="75"/>
      <c r="PV1108" s="75"/>
      <c r="PW1108" s="75"/>
      <c r="PX1108" s="75"/>
      <c r="PY1108" s="75"/>
      <c r="PZ1108" s="75"/>
      <c r="QA1108" s="75"/>
      <c r="QB1108" s="75"/>
      <c r="QC1108" s="75"/>
      <c r="QD1108" s="75"/>
      <c r="QE1108" s="75"/>
      <c r="QF1108" s="75"/>
      <c r="QG1108" s="75"/>
      <c r="QH1108" s="75"/>
      <c r="QI1108" s="75"/>
      <c r="QJ1108" s="75"/>
      <c r="QK1108" s="75"/>
      <c r="QL1108" s="75"/>
      <c r="QM1108" s="75"/>
      <c r="QN1108" s="75"/>
      <c r="QO1108" s="75"/>
      <c r="QP1108" s="75"/>
      <c r="QQ1108" s="75"/>
      <c r="QR1108" s="75"/>
      <c r="QS1108" s="75"/>
      <c r="QT1108" s="75"/>
      <c r="QU1108" s="75"/>
      <c r="QV1108" s="75"/>
      <c r="QW1108" s="75"/>
      <c r="QX1108" s="75"/>
      <c r="QY1108" s="75"/>
      <c r="QZ1108" s="75"/>
      <c r="RA1108" s="75"/>
      <c r="RB1108" s="75"/>
      <c r="RC1108" s="75"/>
      <c r="RD1108" s="75"/>
      <c r="RE1108" s="75"/>
      <c r="RF1108" s="75"/>
      <c r="RG1108" s="75"/>
      <c r="RH1108" s="75"/>
      <c r="RI1108" s="75"/>
      <c r="RJ1108" s="75"/>
      <c r="RK1108" s="75"/>
      <c r="RL1108" s="75"/>
      <c r="RM1108" s="75"/>
      <c r="RN1108" s="75"/>
      <c r="RO1108" s="75"/>
      <c r="RP1108" s="75"/>
      <c r="RQ1108" s="75"/>
      <c r="RR1108" s="75"/>
      <c r="RS1108" s="75"/>
      <c r="RT1108" s="75"/>
      <c r="RU1108" s="75"/>
      <c r="RV1108" s="75"/>
      <c r="RW1108" s="75"/>
      <c r="RX1108" s="75"/>
      <c r="RY1108" s="75"/>
      <c r="RZ1108" s="75"/>
      <c r="SA1108" s="75"/>
      <c r="SB1108" s="75"/>
      <c r="SC1108" s="75"/>
      <c r="SD1108" s="75"/>
      <c r="SE1108" s="75"/>
      <c r="SF1108" s="75"/>
      <c r="SG1108" s="75"/>
      <c r="SH1108" s="75"/>
      <c r="SI1108" s="75"/>
      <c r="SJ1108" s="75"/>
      <c r="SK1108" s="75"/>
      <c r="SL1108" s="75"/>
      <c r="SM1108" s="75"/>
      <c r="SN1108" s="75"/>
      <c r="SO1108" s="75"/>
      <c r="SP1108" s="75"/>
      <c r="SQ1108" s="75"/>
      <c r="SR1108" s="75"/>
      <c r="SS1108" s="75"/>
      <c r="ST1108" s="75"/>
      <c r="SU1108" s="75"/>
      <c r="SV1108" s="75"/>
      <c r="SW1108" s="75"/>
      <c r="SX1108" s="75"/>
      <c r="SY1108" s="75"/>
      <c r="SZ1108" s="75"/>
      <c r="TA1108" s="75"/>
      <c r="TB1108" s="75"/>
      <c r="TC1108" s="75"/>
      <c r="TD1108" s="75"/>
      <c r="TE1108" s="75"/>
      <c r="TF1108" s="75"/>
      <c r="TG1108" s="75"/>
      <c r="TH1108" s="75"/>
      <c r="TI1108" s="75"/>
      <c r="TJ1108" s="75"/>
      <c r="TK1108" s="75"/>
      <c r="TL1108" s="75"/>
      <c r="TM1108" s="75"/>
      <c r="TN1108" s="75"/>
      <c r="TO1108" s="75"/>
      <c r="TP1108" s="75"/>
      <c r="TQ1108" s="75"/>
      <c r="TR1108" s="75"/>
      <c r="TS1108" s="75"/>
      <c r="TT1108" s="75"/>
      <c r="TU1108" s="75"/>
      <c r="TV1108" s="75"/>
      <c r="TW1108" s="75"/>
      <c r="TX1108" s="75"/>
      <c r="TY1108" s="75"/>
      <c r="TZ1108" s="75"/>
      <c r="UA1108" s="75"/>
      <c r="UB1108" s="75"/>
      <c r="UC1108" s="75"/>
      <c r="UD1108" s="75"/>
      <c r="UE1108" s="75"/>
      <c r="UF1108" s="75"/>
      <c r="UG1108" s="75"/>
      <c r="UH1108" s="75"/>
      <c r="UI1108" s="75"/>
      <c r="UJ1108" s="75"/>
      <c r="UK1108" s="75"/>
      <c r="UL1108" s="75"/>
      <c r="UM1108" s="75"/>
      <c r="UN1108" s="75"/>
      <c r="UO1108" s="75"/>
      <c r="UP1108" s="75"/>
      <c r="UQ1108" s="75"/>
      <c r="UR1108" s="75"/>
      <c r="US1108" s="75"/>
      <c r="UT1108" s="75"/>
      <c r="UU1108" s="75"/>
      <c r="UV1108" s="75"/>
      <c r="UW1108" s="75"/>
      <c r="UX1108" s="75"/>
      <c r="UY1108" s="75"/>
      <c r="UZ1108" s="75"/>
      <c r="VA1108" s="75"/>
      <c r="VB1108" s="75"/>
      <c r="VC1108" s="75"/>
      <c r="VD1108" s="75"/>
      <c r="VE1108" s="75"/>
      <c r="VF1108" s="75"/>
      <c r="VG1108" s="75"/>
      <c r="VH1108" s="75"/>
      <c r="VI1108" s="75"/>
      <c r="VJ1108" s="75"/>
      <c r="VK1108" s="75"/>
      <c r="VL1108" s="75"/>
      <c r="VM1108" s="75"/>
      <c r="VN1108" s="75"/>
      <c r="VO1108" s="75"/>
      <c r="VP1108" s="75"/>
      <c r="VQ1108" s="75"/>
      <c r="VR1108" s="75"/>
      <c r="VS1108" s="75"/>
      <c r="VT1108" s="75"/>
      <c r="VU1108" s="75"/>
      <c r="VV1108" s="75"/>
      <c r="VW1108" s="75"/>
      <c r="VX1108" s="75"/>
      <c r="VY1108" s="75"/>
      <c r="VZ1108" s="75"/>
      <c r="WA1108" s="75"/>
      <c r="WB1108" s="75"/>
      <c r="WC1108" s="75"/>
      <c r="WD1108" s="75"/>
      <c r="WE1108" s="75"/>
      <c r="WF1108" s="75"/>
      <c r="WG1108" s="75"/>
      <c r="WH1108" s="75"/>
      <c r="WI1108" s="75"/>
      <c r="WJ1108" s="75"/>
      <c r="WK1108" s="75"/>
      <c r="WL1108" s="75"/>
      <c r="WM1108" s="75"/>
      <c r="WN1108" s="75"/>
      <c r="WO1108" s="75"/>
      <c r="WP1108" s="75"/>
      <c r="WQ1108" s="75"/>
      <c r="WR1108" s="75"/>
      <c r="WS1108" s="75"/>
      <c r="WT1108" s="75"/>
      <c r="WU1108" s="75"/>
      <c r="WV1108" s="75"/>
      <c r="WW1108" s="75"/>
      <c r="WX1108" s="75"/>
      <c r="WY1108" s="75"/>
      <c r="WZ1108" s="75"/>
      <c r="XA1108" s="75"/>
      <c r="XB1108" s="75"/>
      <c r="XC1108" s="75"/>
      <c r="XD1108" s="75"/>
      <c r="XE1108" s="75"/>
      <c r="XF1108" s="75"/>
      <c r="XG1108" s="75"/>
      <c r="XH1108" s="75"/>
      <c r="XI1108" s="75"/>
      <c r="XJ1108" s="75"/>
      <c r="XK1108" s="75"/>
      <c r="XL1108" s="75"/>
      <c r="XM1108" s="75"/>
      <c r="XN1108" s="75"/>
      <c r="XO1108" s="75"/>
      <c r="XP1108" s="75"/>
      <c r="XQ1108" s="75"/>
      <c r="XR1108" s="75"/>
      <c r="XS1108" s="75"/>
      <c r="XT1108" s="75"/>
      <c r="XU1108" s="75"/>
      <c r="XV1108" s="75"/>
      <c r="XW1108" s="75"/>
      <c r="XX1108" s="75"/>
      <c r="XY1108" s="75"/>
      <c r="XZ1108" s="75"/>
      <c r="YA1108" s="75"/>
      <c r="YB1108" s="75"/>
      <c r="YC1108" s="75"/>
      <c r="YD1108" s="75"/>
      <c r="YE1108" s="75"/>
      <c r="YF1108" s="75"/>
      <c r="YG1108" s="75"/>
      <c r="YH1108" s="75"/>
      <c r="YI1108" s="75"/>
      <c r="YJ1108" s="75"/>
      <c r="YK1108" s="75"/>
      <c r="YL1108" s="75"/>
      <c r="YM1108" s="75"/>
      <c r="YN1108" s="75"/>
      <c r="YO1108" s="75"/>
      <c r="YP1108" s="75"/>
      <c r="YQ1108" s="75"/>
      <c r="YR1108" s="75"/>
      <c r="YS1108" s="75"/>
      <c r="YT1108" s="75"/>
      <c r="YU1108" s="75"/>
      <c r="YV1108" s="75"/>
      <c r="YW1108" s="75"/>
      <c r="YX1108" s="75"/>
      <c r="YY1108" s="75"/>
      <c r="YZ1108" s="75"/>
      <c r="ZA1108" s="75"/>
      <c r="ZB1108" s="75"/>
      <c r="ZC1108" s="75"/>
      <c r="ZD1108" s="75"/>
      <c r="ZE1108" s="75"/>
      <c r="ZF1108" s="75"/>
      <c r="ZG1108" s="75"/>
      <c r="ZH1108" s="75"/>
      <c r="ZI1108" s="75"/>
      <c r="ZJ1108" s="75"/>
      <c r="ZK1108" s="75"/>
      <c r="ZL1108" s="75"/>
      <c r="ZM1108" s="75"/>
      <c r="ZN1108" s="75"/>
      <c r="ZO1108" s="75"/>
      <c r="ZP1108" s="75"/>
      <c r="ZQ1108" s="75"/>
      <c r="ZR1108" s="75"/>
      <c r="ZS1108" s="75"/>
      <c r="ZT1108" s="75"/>
      <c r="ZU1108" s="75"/>
      <c r="ZV1108" s="75"/>
      <c r="ZW1108" s="75"/>
      <c r="ZX1108" s="75"/>
      <c r="ZY1108" s="75"/>
      <c r="ZZ1108" s="75"/>
      <c r="AAA1108" s="75"/>
      <c r="AAB1108" s="75"/>
      <c r="AAC1108" s="75"/>
      <c r="AAD1108" s="75"/>
      <c r="AAE1108" s="75"/>
      <c r="AAF1108" s="75"/>
      <c r="AAG1108" s="75"/>
      <c r="AAH1108" s="75"/>
      <c r="AAI1108" s="75"/>
      <c r="AAJ1108" s="75"/>
      <c r="AAK1108" s="75"/>
      <c r="AAL1108" s="75"/>
      <c r="AAM1108" s="75"/>
      <c r="AAN1108" s="75"/>
      <c r="AAO1108" s="75"/>
      <c r="AAP1108" s="75"/>
      <c r="AAQ1108" s="75"/>
      <c r="AAR1108" s="75"/>
      <c r="AAS1108" s="75"/>
      <c r="AAT1108" s="75"/>
      <c r="AAU1108" s="75"/>
      <c r="AAV1108" s="75"/>
      <c r="AAW1108" s="75"/>
      <c r="AAX1108" s="75"/>
      <c r="AAY1108" s="75"/>
      <c r="AAZ1108" s="75"/>
      <c r="ABA1108" s="75"/>
      <c r="ABB1108" s="75"/>
      <c r="ABC1108" s="75"/>
      <c r="ABD1108" s="75"/>
      <c r="ABE1108" s="75"/>
      <c r="ABF1108" s="75"/>
      <c r="ABG1108" s="75"/>
      <c r="ABH1108" s="75"/>
      <c r="ABI1108" s="75"/>
      <c r="ABJ1108" s="75"/>
      <c r="ABK1108" s="75"/>
      <c r="ABL1108" s="75"/>
      <c r="ABM1108" s="75"/>
      <c r="ABN1108" s="75"/>
      <c r="ABO1108" s="75"/>
      <c r="ABP1108" s="75"/>
      <c r="ABQ1108" s="75"/>
      <c r="ABR1108" s="75"/>
      <c r="ABS1108" s="75"/>
      <c r="ABT1108" s="75"/>
      <c r="ABU1108" s="75"/>
      <c r="ABV1108" s="75"/>
      <c r="ABW1108" s="75"/>
      <c r="ABX1108" s="75"/>
      <c r="ABY1108" s="75"/>
      <c r="ABZ1108" s="75"/>
      <c r="ACA1108" s="75"/>
      <c r="ACB1108" s="75"/>
      <c r="ACC1108" s="75"/>
      <c r="ACD1108" s="75"/>
      <c r="ACE1108" s="75"/>
      <c r="ACF1108" s="75"/>
      <c r="ACG1108" s="75"/>
      <c r="ACH1108" s="75"/>
      <c r="ACI1108" s="75"/>
      <c r="ACJ1108" s="75"/>
      <c r="ACK1108" s="75"/>
      <c r="ACL1108" s="75"/>
      <c r="ACM1108" s="75"/>
      <c r="ACN1108" s="75"/>
      <c r="ACO1108" s="75"/>
      <c r="ACP1108" s="75"/>
      <c r="ACQ1108" s="75"/>
      <c r="ACR1108" s="75"/>
      <c r="ACS1108" s="75"/>
      <c r="ACT1108" s="75"/>
      <c r="ACU1108" s="75"/>
      <c r="ACV1108" s="75"/>
      <c r="ACW1108" s="75"/>
      <c r="ACX1108" s="75"/>
      <c r="ACY1108" s="75"/>
      <c r="ACZ1108" s="75"/>
      <c r="ADA1108" s="75"/>
      <c r="ADB1108" s="75"/>
      <c r="ADC1108" s="75"/>
      <c r="ADD1108" s="75"/>
      <c r="ADE1108" s="75"/>
      <c r="ADF1108" s="75"/>
      <c r="ADG1108" s="75"/>
      <c r="ADH1108" s="75"/>
      <c r="ADI1108" s="75"/>
      <c r="ADJ1108" s="75"/>
      <c r="ADK1108" s="75"/>
      <c r="ADL1108" s="75"/>
      <c r="ADM1108" s="75"/>
      <c r="ADN1108" s="75"/>
      <c r="ADO1108" s="75"/>
      <c r="ADP1108" s="75"/>
      <c r="ADQ1108" s="75"/>
      <c r="ADR1108" s="75"/>
      <c r="ADS1108" s="75"/>
      <c r="ADT1108" s="75"/>
      <c r="ADU1108" s="75"/>
      <c r="ADV1108" s="75"/>
      <c r="ADW1108" s="75"/>
      <c r="ADX1108" s="75"/>
      <c r="ADY1108" s="75"/>
      <c r="ADZ1108" s="75"/>
      <c r="AEA1108" s="75"/>
      <c r="AEB1108" s="75"/>
      <c r="AEC1108" s="75"/>
      <c r="AED1108" s="75"/>
      <c r="AEE1108" s="75"/>
      <c r="AEF1108" s="75"/>
      <c r="AEG1108" s="75"/>
      <c r="AEH1108" s="75"/>
      <c r="AEI1108" s="75"/>
      <c r="AEJ1108" s="75"/>
      <c r="AEK1108" s="75"/>
      <c r="AEL1108" s="75"/>
      <c r="AEM1108" s="75"/>
      <c r="AEN1108" s="75"/>
      <c r="AEO1108" s="75"/>
      <c r="AEP1108" s="75"/>
      <c r="AEQ1108" s="75"/>
      <c r="AER1108" s="75"/>
      <c r="AES1108" s="75"/>
      <c r="AET1108" s="75"/>
      <c r="AEU1108" s="75"/>
      <c r="AEV1108" s="75"/>
      <c r="AEW1108" s="75"/>
      <c r="AEX1108" s="75"/>
      <c r="AEY1108" s="75"/>
      <c r="AEZ1108" s="75"/>
      <c r="AFA1108" s="75"/>
      <c r="AFB1108" s="75"/>
      <c r="AFC1108" s="75"/>
      <c r="AFD1108" s="75"/>
      <c r="AFE1108" s="75"/>
      <c r="AFF1108" s="75"/>
      <c r="AFG1108" s="75"/>
      <c r="AFH1108" s="75"/>
      <c r="AFI1108" s="75"/>
      <c r="AFJ1108" s="75"/>
      <c r="AFK1108" s="75"/>
      <c r="AFL1108" s="75"/>
      <c r="AFM1108" s="75"/>
      <c r="AFN1108" s="75"/>
      <c r="AFO1108" s="75"/>
      <c r="AFP1108" s="75"/>
      <c r="AFQ1108" s="75"/>
      <c r="AFR1108" s="75"/>
      <c r="AFS1108" s="75"/>
      <c r="AFT1108" s="75"/>
      <c r="AFU1108" s="75"/>
      <c r="AFV1108" s="75"/>
      <c r="AFW1108" s="75"/>
      <c r="AFX1108" s="75"/>
      <c r="AFY1108" s="75"/>
      <c r="AFZ1108" s="75"/>
      <c r="AGA1108" s="75"/>
      <c r="AGB1108" s="75"/>
      <c r="AGC1108" s="75"/>
      <c r="AGD1108" s="75"/>
      <c r="AGE1108" s="75"/>
      <c r="AGF1108" s="75"/>
      <c r="AGG1108" s="75"/>
      <c r="AGH1108" s="75"/>
      <c r="AGI1108" s="75"/>
      <c r="AGJ1108" s="75"/>
      <c r="AGK1108" s="75"/>
      <c r="AGL1108" s="75"/>
      <c r="AGM1108" s="75"/>
      <c r="AGN1108" s="75"/>
      <c r="AGO1108" s="75"/>
      <c r="AGP1108" s="75"/>
      <c r="AGQ1108" s="75"/>
      <c r="AGR1108" s="75"/>
      <c r="AGS1108" s="75"/>
      <c r="AGT1108" s="75"/>
      <c r="AGU1108" s="75"/>
      <c r="AGV1108" s="75"/>
      <c r="AGW1108" s="75"/>
      <c r="AGX1108" s="75"/>
      <c r="AGY1108" s="75"/>
      <c r="AGZ1108" s="75"/>
      <c r="AHA1108" s="75"/>
      <c r="AHB1108" s="75"/>
      <c r="AHC1108" s="75"/>
      <c r="AHD1108" s="75"/>
      <c r="AHE1108" s="75"/>
      <c r="AHF1108" s="75"/>
      <c r="AHG1108" s="75"/>
      <c r="AHH1108" s="75"/>
      <c r="AHI1108" s="75"/>
      <c r="AHJ1108" s="75"/>
      <c r="AHK1108" s="75"/>
      <c r="AHL1108" s="75"/>
      <c r="AHM1108" s="75"/>
      <c r="AHN1108" s="75"/>
      <c r="AHO1108" s="75"/>
      <c r="AHP1108" s="75"/>
      <c r="AHQ1108" s="75"/>
      <c r="AHR1108" s="75"/>
      <c r="AHS1108" s="75"/>
      <c r="AHT1108" s="75"/>
      <c r="AHU1108" s="75"/>
      <c r="AHV1108" s="75"/>
      <c r="AHW1108" s="75"/>
      <c r="AHX1108" s="75"/>
      <c r="AHY1108" s="75"/>
      <c r="AHZ1108" s="75"/>
      <c r="AIA1108" s="75"/>
      <c r="AIB1108" s="75"/>
      <c r="AIC1108" s="75"/>
      <c r="AID1108" s="75"/>
      <c r="AIE1108" s="75"/>
      <c r="AIF1108" s="75"/>
      <c r="AIG1108" s="75"/>
      <c r="AIH1108" s="75"/>
      <c r="AII1108" s="75"/>
      <c r="AIJ1108" s="75"/>
      <c r="AIK1108" s="75"/>
      <c r="AIL1108" s="75"/>
      <c r="AIM1108" s="75"/>
      <c r="AIN1108" s="75"/>
      <c r="AIO1108" s="75"/>
      <c r="AIP1108" s="75"/>
      <c r="AIQ1108" s="75"/>
      <c r="AIR1108" s="75"/>
      <c r="AIS1108" s="75"/>
      <c r="AIT1108" s="75"/>
      <c r="AIU1108" s="75"/>
      <c r="AIV1108" s="75"/>
      <c r="AIW1108" s="75"/>
      <c r="AIX1108" s="75"/>
      <c r="AIY1108" s="75"/>
      <c r="AIZ1108" s="75"/>
      <c r="AJA1108" s="75"/>
      <c r="AJB1108" s="75"/>
      <c r="AJC1108" s="75"/>
      <c r="AJD1108" s="75"/>
      <c r="AJE1108" s="75"/>
      <c r="AJF1108" s="75"/>
      <c r="AJG1108" s="75"/>
      <c r="AJH1108" s="75"/>
      <c r="AJI1108" s="75"/>
      <c r="AJJ1108" s="75"/>
      <c r="AJK1108" s="75"/>
      <c r="AJL1108" s="75"/>
      <c r="AJM1108" s="75"/>
      <c r="AJN1108" s="75"/>
      <c r="AJO1108" s="75"/>
      <c r="AJP1108" s="75"/>
      <c r="AJQ1108" s="75"/>
      <c r="AJR1108" s="75"/>
      <c r="AJS1108" s="75"/>
      <c r="AJT1108" s="75"/>
      <c r="AJU1108" s="75"/>
      <c r="AJV1108" s="75"/>
      <c r="AJW1108" s="75"/>
      <c r="AJX1108" s="75"/>
      <c r="AJY1108" s="75"/>
      <c r="AJZ1108" s="75"/>
      <c r="AKA1108" s="75"/>
      <c r="AKB1108" s="75"/>
      <c r="AKC1108" s="75"/>
      <c r="AKD1108" s="75"/>
      <c r="AKE1108" s="75"/>
      <c r="AKF1108" s="75"/>
      <c r="AKG1108" s="75"/>
      <c r="AKH1108" s="75"/>
      <c r="AKI1108" s="75"/>
      <c r="AKJ1108" s="75"/>
      <c r="AKK1108" s="75"/>
      <c r="AKL1108" s="75"/>
      <c r="AKM1108" s="75"/>
      <c r="AKN1108" s="75"/>
      <c r="AKO1108" s="75"/>
      <c r="AKP1108" s="75"/>
      <c r="AKQ1108" s="75"/>
      <c r="AKR1108" s="75"/>
      <c r="AKS1108" s="75"/>
      <c r="AKT1108" s="75"/>
      <c r="AKU1108" s="75"/>
      <c r="AKV1108" s="75"/>
      <c r="AKW1108" s="75"/>
      <c r="AKX1108" s="75"/>
      <c r="AKY1108" s="75"/>
      <c r="AKZ1108" s="75"/>
      <c r="ALA1108" s="75"/>
      <c r="ALB1108" s="75"/>
      <c r="ALC1108" s="75"/>
      <c r="ALD1108" s="75"/>
      <c r="ALE1108" s="75"/>
      <c r="ALF1108" s="75"/>
      <c r="ALG1108" s="75"/>
      <c r="ALH1108" s="75"/>
      <c r="ALI1108" s="75"/>
      <c r="ALJ1108" s="75"/>
      <c r="ALK1108" s="75"/>
      <c r="ALL1108" s="75"/>
      <c r="ALM1108" s="75"/>
      <c r="ALN1108" s="75"/>
      <c r="ALO1108" s="75"/>
    </row>
    <row r="1109" spans="1:1003" s="237" customFormat="1" ht="14.55" customHeight="1" outlineLevel="1" x14ac:dyDescent="0.25">
      <c r="A1109" s="230" t="s">
        <v>1422</v>
      </c>
      <c r="B1109" s="343" t="str">
        <f>"26.1103"</f>
        <v>26.1103</v>
      </c>
      <c r="C1109" s="75" t="s">
        <v>3336</v>
      </c>
      <c r="D1109" s="127" t="s">
        <v>3337</v>
      </c>
      <c r="E1109" s="232"/>
      <c r="F1109" s="75"/>
      <c r="G1109" s="75"/>
      <c r="H1109" s="75"/>
      <c r="I1109" s="75"/>
      <c r="J1109" s="75"/>
      <c r="K1109" s="75"/>
      <c r="L1109" s="75"/>
      <c r="M1109" s="75"/>
      <c r="N1109" s="75"/>
      <c r="O1109" s="75"/>
      <c r="P1109" s="75"/>
      <c r="Q1109" s="75"/>
      <c r="R1109" s="75"/>
      <c r="S1109" s="75"/>
      <c r="T1109" s="75"/>
      <c r="U1109" s="75"/>
      <c r="V1109" s="75"/>
      <c r="W1109" s="75"/>
      <c r="X1109" s="75"/>
      <c r="Y1109" s="75"/>
      <c r="Z1109" s="75"/>
      <c r="AA1109" s="75"/>
      <c r="AB1109" s="75"/>
      <c r="AC1109" s="75"/>
      <c r="AD1109" s="75"/>
      <c r="AE1109" s="75"/>
      <c r="AF1109" s="75"/>
      <c r="AG1109" s="75"/>
      <c r="AH1109" s="75"/>
      <c r="AI1109" s="75"/>
      <c r="AJ1109" s="75"/>
      <c r="AK1109" s="75"/>
      <c r="AL1109" s="75"/>
      <c r="AM1109" s="75"/>
      <c r="AN1109" s="75"/>
      <c r="AO1109" s="75"/>
      <c r="AP1109" s="75"/>
      <c r="AQ1109" s="75"/>
      <c r="AR1109" s="75"/>
      <c r="AS1109" s="75"/>
      <c r="AT1109" s="75"/>
      <c r="AU1109" s="75"/>
      <c r="AV1109" s="75"/>
      <c r="AW1109" s="75"/>
      <c r="AX1109" s="75"/>
      <c r="AY1109" s="75"/>
      <c r="AZ1109" s="75"/>
      <c r="BA1109" s="75"/>
      <c r="BB1109" s="75"/>
      <c r="BC1109" s="75"/>
      <c r="BD1109" s="75"/>
      <c r="BE1109" s="75"/>
      <c r="BF1109" s="75"/>
      <c r="BG1109" s="75"/>
      <c r="BH1109" s="75"/>
      <c r="BI1109" s="75"/>
      <c r="BJ1109" s="75"/>
      <c r="BK1109" s="75"/>
      <c r="BL1109" s="75"/>
      <c r="BM1109" s="75"/>
      <c r="BN1109" s="75"/>
      <c r="BO1109" s="75"/>
      <c r="BP1109" s="75"/>
      <c r="BQ1109" s="75"/>
      <c r="BR1109" s="75"/>
      <c r="BS1109" s="75"/>
      <c r="BT1109" s="75"/>
      <c r="BU1109" s="75"/>
      <c r="BV1109" s="75"/>
      <c r="BW1109" s="75"/>
      <c r="BX1109" s="75"/>
      <c r="BY1109" s="75"/>
      <c r="BZ1109" s="75"/>
      <c r="CA1109" s="75"/>
      <c r="CB1109" s="75"/>
      <c r="CC1109" s="75"/>
      <c r="CD1109" s="75"/>
      <c r="CE1109" s="75"/>
      <c r="CF1109" s="75"/>
      <c r="CG1109" s="75"/>
      <c r="CH1109" s="75"/>
      <c r="CI1109" s="75"/>
      <c r="CJ1109" s="75"/>
      <c r="CK1109" s="75"/>
      <c r="CL1109" s="75"/>
      <c r="CM1109" s="75"/>
      <c r="CN1109" s="75"/>
      <c r="CO1109" s="75"/>
      <c r="CP1109" s="75"/>
      <c r="CQ1109" s="75"/>
      <c r="CR1109" s="75"/>
      <c r="CS1109" s="75"/>
      <c r="CT1109" s="75"/>
      <c r="CU1109" s="75"/>
      <c r="CV1109" s="75"/>
      <c r="CW1109" s="75"/>
      <c r="CX1109" s="75"/>
      <c r="CY1109" s="75"/>
      <c r="CZ1109" s="75"/>
      <c r="DA1109" s="75"/>
      <c r="DB1109" s="75"/>
      <c r="DC1109" s="75"/>
      <c r="DD1109" s="75"/>
      <c r="DE1109" s="75"/>
      <c r="DF1109" s="75"/>
      <c r="DG1109" s="75"/>
      <c r="DH1109" s="75"/>
      <c r="DI1109" s="75"/>
      <c r="DJ1109" s="75"/>
      <c r="DK1109" s="75"/>
      <c r="DL1109" s="75"/>
      <c r="DM1109" s="75"/>
      <c r="DN1109" s="75"/>
      <c r="DO1109" s="75"/>
      <c r="DP1109" s="75"/>
      <c r="DQ1109" s="75"/>
      <c r="DR1109" s="75"/>
      <c r="DS1109" s="75"/>
      <c r="DT1109" s="75"/>
      <c r="DU1109" s="75"/>
      <c r="DV1109" s="75"/>
      <c r="DW1109" s="75"/>
      <c r="DX1109" s="75"/>
      <c r="DY1109" s="75"/>
      <c r="DZ1109" s="75"/>
      <c r="EA1109" s="75"/>
      <c r="EB1109" s="75"/>
      <c r="EC1109" s="75"/>
      <c r="ED1109" s="75"/>
      <c r="EE1109" s="75"/>
      <c r="EF1109" s="75"/>
      <c r="EG1109" s="75"/>
      <c r="EH1109" s="75"/>
      <c r="EI1109" s="75"/>
      <c r="EJ1109" s="75"/>
      <c r="EK1109" s="75"/>
      <c r="EL1109" s="75"/>
      <c r="EM1109" s="75"/>
      <c r="EN1109" s="75"/>
      <c r="EO1109" s="75"/>
      <c r="EP1109" s="75"/>
      <c r="EQ1109" s="75"/>
      <c r="ER1109" s="75"/>
      <c r="ES1109" s="75"/>
      <c r="ET1109" s="75"/>
      <c r="EU1109" s="75"/>
      <c r="EV1109" s="75"/>
      <c r="EW1109" s="75"/>
      <c r="EX1109" s="75"/>
      <c r="EY1109" s="75"/>
      <c r="EZ1109" s="75"/>
      <c r="FA1109" s="75"/>
      <c r="FB1109" s="75"/>
      <c r="FC1109" s="75"/>
      <c r="FD1109" s="75"/>
      <c r="FE1109" s="75"/>
      <c r="FF1109" s="75"/>
      <c r="FG1109" s="75"/>
      <c r="FH1109" s="75"/>
      <c r="FI1109" s="75"/>
      <c r="FJ1109" s="75"/>
      <c r="FK1109" s="75"/>
      <c r="FL1109" s="75"/>
      <c r="FM1109" s="75"/>
      <c r="FN1109" s="75"/>
      <c r="FO1109" s="75"/>
      <c r="FP1109" s="75"/>
      <c r="FQ1109" s="75"/>
      <c r="FR1109" s="75"/>
      <c r="FS1109" s="75"/>
      <c r="FT1109" s="75"/>
      <c r="FU1109" s="75"/>
      <c r="FV1109" s="75"/>
      <c r="FW1109" s="75"/>
      <c r="FX1109" s="75"/>
      <c r="FY1109" s="75"/>
      <c r="FZ1109" s="75"/>
      <c r="GA1109" s="75"/>
      <c r="GB1109" s="75"/>
      <c r="GC1109" s="75"/>
      <c r="GD1109" s="75"/>
      <c r="GE1109" s="75"/>
      <c r="GF1109" s="75"/>
      <c r="GG1109" s="75"/>
      <c r="GH1109" s="75"/>
      <c r="GI1109" s="75"/>
      <c r="GJ1109" s="75"/>
      <c r="GK1109" s="75"/>
      <c r="GL1109" s="75"/>
      <c r="GM1109" s="75"/>
      <c r="GN1109" s="75"/>
      <c r="GO1109" s="75"/>
      <c r="GP1109" s="75"/>
      <c r="GQ1109" s="75"/>
      <c r="GR1109" s="75"/>
      <c r="GS1109" s="75"/>
      <c r="GT1109" s="75"/>
      <c r="GU1109" s="75"/>
      <c r="GV1109" s="75"/>
      <c r="GW1109" s="75"/>
      <c r="GX1109" s="75"/>
      <c r="GY1109" s="75"/>
      <c r="GZ1109" s="75"/>
      <c r="HA1109" s="75"/>
      <c r="HB1109" s="75"/>
      <c r="HC1109" s="75"/>
      <c r="HD1109" s="75"/>
      <c r="HE1109" s="75"/>
      <c r="HF1109" s="75"/>
      <c r="HG1109" s="75"/>
      <c r="HH1109" s="75"/>
      <c r="HI1109" s="75"/>
      <c r="HJ1109" s="75"/>
      <c r="HK1109" s="75"/>
      <c r="HL1109" s="75"/>
      <c r="HM1109" s="75"/>
      <c r="HN1109" s="75"/>
      <c r="HO1109" s="75"/>
      <c r="HP1109" s="75"/>
      <c r="HQ1109" s="75"/>
      <c r="HR1109" s="75"/>
      <c r="HS1109" s="75"/>
      <c r="HT1109" s="75"/>
      <c r="HU1109" s="75"/>
      <c r="HV1109" s="75"/>
      <c r="HW1109" s="75"/>
      <c r="HX1109" s="75"/>
      <c r="HY1109" s="75"/>
      <c r="HZ1109" s="75"/>
      <c r="IA1109" s="75"/>
      <c r="IB1109" s="75"/>
      <c r="IC1109" s="75"/>
      <c r="ID1109" s="75"/>
      <c r="IE1109" s="75"/>
      <c r="IF1109" s="75"/>
      <c r="IG1109" s="75"/>
      <c r="IH1109" s="75"/>
      <c r="II1109" s="75"/>
      <c r="IJ1109" s="75"/>
      <c r="IK1109" s="75"/>
      <c r="IL1109" s="75"/>
      <c r="IM1109" s="75"/>
      <c r="IN1109" s="75"/>
      <c r="IO1109" s="75"/>
      <c r="IP1109" s="75"/>
      <c r="IQ1109" s="75"/>
      <c r="IR1109" s="75"/>
      <c r="IS1109" s="75"/>
      <c r="IT1109" s="75"/>
      <c r="IU1109" s="75"/>
      <c r="IV1109" s="75"/>
      <c r="IW1109" s="75"/>
      <c r="IX1109" s="75"/>
      <c r="IY1109" s="75"/>
      <c r="IZ1109" s="75"/>
      <c r="JA1109" s="75"/>
      <c r="JB1109" s="75"/>
      <c r="JC1109" s="75"/>
      <c r="JD1109" s="75"/>
      <c r="JE1109" s="75"/>
      <c r="JF1109" s="75"/>
      <c r="JG1109" s="75"/>
      <c r="JH1109" s="75"/>
      <c r="JI1109" s="75"/>
      <c r="JJ1109" s="75"/>
      <c r="JK1109" s="75"/>
      <c r="JL1109" s="75"/>
      <c r="JM1109" s="75"/>
      <c r="JN1109" s="75"/>
      <c r="JO1109" s="75"/>
      <c r="JP1109" s="75"/>
      <c r="JQ1109" s="75"/>
      <c r="JR1109" s="75"/>
      <c r="JS1109" s="75"/>
      <c r="JT1109" s="75"/>
      <c r="JU1109" s="75"/>
      <c r="JV1109" s="75"/>
      <c r="JW1109" s="75"/>
      <c r="JX1109" s="75"/>
      <c r="JY1109" s="75"/>
      <c r="JZ1109" s="75"/>
      <c r="KA1109" s="75"/>
      <c r="KB1109" s="75"/>
      <c r="KC1109" s="75"/>
      <c r="KD1109" s="75"/>
      <c r="KE1109" s="75"/>
      <c r="KF1109" s="75"/>
      <c r="KG1109" s="75"/>
      <c r="KH1109" s="75"/>
      <c r="KI1109" s="75"/>
      <c r="KJ1109" s="75"/>
      <c r="KK1109" s="75"/>
      <c r="KL1109" s="75"/>
      <c r="KM1109" s="75"/>
      <c r="KN1109" s="75"/>
      <c r="KO1109" s="75"/>
      <c r="KP1109" s="75"/>
      <c r="KQ1109" s="75"/>
      <c r="KR1109" s="75"/>
      <c r="KS1109" s="75"/>
      <c r="KT1109" s="75"/>
      <c r="KU1109" s="75"/>
      <c r="KV1109" s="75"/>
      <c r="KW1109" s="75"/>
      <c r="KX1109" s="75"/>
      <c r="KY1109" s="75"/>
      <c r="KZ1109" s="75"/>
      <c r="LA1109" s="75"/>
      <c r="LB1109" s="75"/>
      <c r="LC1109" s="75"/>
      <c r="LD1109" s="75"/>
      <c r="LE1109" s="75"/>
      <c r="LF1109" s="75"/>
      <c r="LG1109" s="75"/>
      <c r="LH1109" s="75"/>
      <c r="LI1109" s="75"/>
      <c r="LJ1109" s="75"/>
      <c r="LK1109" s="75"/>
      <c r="LL1109" s="75"/>
      <c r="LM1109" s="75"/>
      <c r="LN1109" s="75"/>
      <c r="LO1109" s="75"/>
      <c r="LP1109" s="75"/>
      <c r="LQ1109" s="75"/>
      <c r="LR1109" s="75"/>
      <c r="LS1109" s="75"/>
      <c r="LT1109" s="75"/>
      <c r="LU1109" s="75"/>
      <c r="LV1109" s="75"/>
      <c r="LW1109" s="75"/>
      <c r="LX1109" s="75"/>
      <c r="LY1109" s="75"/>
      <c r="LZ1109" s="75"/>
      <c r="MA1109" s="75"/>
      <c r="MB1109" s="75"/>
      <c r="MC1109" s="75"/>
      <c r="MD1109" s="75"/>
      <c r="ME1109" s="75"/>
      <c r="MF1109" s="75"/>
      <c r="MG1109" s="75"/>
      <c r="MH1109" s="75"/>
      <c r="MI1109" s="75"/>
      <c r="MJ1109" s="75"/>
      <c r="MK1109" s="75"/>
      <c r="ML1109" s="75"/>
      <c r="MM1109" s="75"/>
      <c r="MN1109" s="75"/>
      <c r="MO1109" s="75"/>
      <c r="MP1109" s="75"/>
      <c r="MQ1109" s="75"/>
      <c r="MR1109" s="75"/>
      <c r="MS1109" s="75"/>
      <c r="MT1109" s="75"/>
      <c r="MU1109" s="75"/>
      <c r="MV1109" s="75"/>
      <c r="MW1109" s="75"/>
      <c r="MX1109" s="75"/>
      <c r="MY1109" s="75"/>
      <c r="MZ1109" s="75"/>
      <c r="NA1109" s="75"/>
      <c r="NB1109" s="75"/>
      <c r="NC1109" s="75"/>
      <c r="ND1109" s="75"/>
      <c r="NE1109" s="75"/>
      <c r="NF1109" s="75"/>
      <c r="NG1109" s="75"/>
      <c r="NH1109" s="75"/>
      <c r="NI1109" s="75"/>
      <c r="NJ1109" s="75"/>
      <c r="NK1109" s="75"/>
      <c r="NL1109" s="75"/>
      <c r="NM1109" s="75"/>
      <c r="NN1109" s="75"/>
      <c r="NO1109" s="75"/>
      <c r="NP1109" s="75"/>
      <c r="NQ1109" s="75"/>
      <c r="NR1109" s="75"/>
      <c r="NS1109" s="75"/>
      <c r="NT1109" s="75"/>
      <c r="NU1109" s="75"/>
      <c r="NV1109" s="75"/>
      <c r="NW1109" s="75"/>
      <c r="NX1109" s="75"/>
      <c r="NY1109" s="75"/>
      <c r="NZ1109" s="75"/>
      <c r="OA1109" s="75"/>
      <c r="OB1109" s="75"/>
      <c r="OC1109" s="75"/>
      <c r="OD1109" s="75"/>
      <c r="OE1109" s="75"/>
      <c r="OF1109" s="75"/>
      <c r="OG1109" s="75"/>
      <c r="OH1109" s="75"/>
      <c r="OI1109" s="75"/>
      <c r="OJ1109" s="75"/>
      <c r="OK1109" s="75"/>
      <c r="OL1109" s="75"/>
      <c r="OM1109" s="75"/>
      <c r="ON1109" s="75"/>
      <c r="OO1109" s="75"/>
      <c r="OP1109" s="75"/>
      <c r="OQ1109" s="75"/>
      <c r="OR1109" s="75"/>
      <c r="OS1109" s="75"/>
      <c r="OT1109" s="75"/>
      <c r="OU1109" s="75"/>
      <c r="OV1109" s="75"/>
      <c r="OW1109" s="75"/>
      <c r="OX1109" s="75"/>
      <c r="OY1109" s="75"/>
      <c r="OZ1109" s="75"/>
      <c r="PA1109" s="75"/>
      <c r="PB1109" s="75"/>
      <c r="PC1109" s="75"/>
      <c r="PD1109" s="75"/>
      <c r="PE1109" s="75"/>
      <c r="PF1109" s="75"/>
      <c r="PG1109" s="75"/>
      <c r="PH1109" s="75"/>
      <c r="PI1109" s="75"/>
      <c r="PJ1109" s="75"/>
      <c r="PK1109" s="75"/>
      <c r="PL1109" s="75"/>
      <c r="PM1109" s="75"/>
      <c r="PN1109" s="75"/>
      <c r="PO1109" s="75"/>
      <c r="PP1109" s="75"/>
      <c r="PQ1109" s="75"/>
      <c r="PR1109" s="75"/>
      <c r="PS1109" s="75"/>
      <c r="PT1109" s="75"/>
      <c r="PU1109" s="75"/>
      <c r="PV1109" s="75"/>
      <c r="PW1109" s="75"/>
      <c r="PX1109" s="75"/>
      <c r="PY1109" s="75"/>
      <c r="PZ1109" s="75"/>
      <c r="QA1109" s="75"/>
      <c r="QB1109" s="75"/>
      <c r="QC1109" s="75"/>
      <c r="QD1109" s="75"/>
      <c r="QE1109" s="75"/>
      <c r="QF1109" s="75"/>
      <c r="QG1109" s="75"/>
      <c r="QH1109" s="75"/>
      <c r="QI1109" s="75"/>
      <c r="QJ1109" s="75"/>
      <c r="QK1109" s="75"/>
      <c r="QL1109" s="75"/>
      <c r="QM1109" s="75"/>
      <c r="QN1109" s="75"/>
      <c r="QO1109" s="75"/>
      <c r="QP1109" s="75"/>
      <c r="QQ1109" s="75"/>
      <c r="QR1109" s="75"/>
      <c r="QS1109" s="75"/>
      <c r="QT1109" s="75"/>
      <c r="QU1109" s="75"/>
      <c r="QV1109" s="75"/>
      <c r="QW1109" s="75"/>
      <c r="QX1109" s="75"/>
      <c r="QY1109" s="75"/>
      <c r="QZ1109" s="75"/>
      <c r="RA1109" s="75"/>
      <c r="RB1109" s="75"/>
      <c r="RC1109" s="75"/>
      <c r="RD1109" s="75"/>
      <c r="RE1109" s="75"/>
      <c r="RF1109" s="75"/>
      <c r="RG1109" s="75"/>
      <c r="RH1109" s="75"/>
      <c r="RI1109" s="75"/>
      <c r="RJ1109" s="75"/>
      <c r="RK1109" s="75"/>
      <c r="RL1109" s="75"/>
      <c r="RM1109" s="75"/>
      <c r="RN1109" s="75"/>
      <c r="RO1109" s="75"/>
      <c r="RP1109" s="75"/>
      <c r="RQ1109" s="75"/>
      <c r="RR1109" s="75"/>
      <c r="RS1109" s="75"/>
      <c r="RT1109" s="75"/>
      <c r="RU1109" s="75"/>
      <c r="RV1109" s="75"/>
      <c r="RW1109" s="75"/>
      <c r="RX1109" s="75"/>
      <c r="RY1109" s="75"/>
      <c r="RZ1109" s="75"/>
      <c r="SA1109" s="75"/>
      <c r="SB1109" s="75"/>
      <c r="SC1109" s="75"/>
      <c r="SD1109" s="75"/>
      <c r="SE1109" s="75"/>
      <c r="SF1109" s="75"/>
      <c r="SG1109" s="75"/>
      <c r="SH1109" s="75"/>
      <c r="SI1109" s="75"/>
      <c r="SJ1109" s="75"/>
      <c r="SK1109" s="75"/>
      <c r="SL1109" s="75"/>
      <c r="SM1109" s="75"/>
      <c r="SN1109" s="75"/>
      <c r="SO1109" s="75"/>
      <c r="SP1109" s="75"/>
      <c r="SQ1109" s="75"/>
      <c r="SR1109" s="75"/>
      <c r="SS1109" s="75"/>
      <c r="ST1109" s="75"/>
      <c r="SU1109" s="75"/>
      <c r="SV1109" s="75"/>
      <c r="SW1109" s="75"/>
      <c r="SX1109" s="75"/>
      <c r="SY1109" s="75"/>
      <c r="SZ1109" s="75"/>
      <c r="TA1109" s="75"/>
      <c r="TB1109" s="75"/>
      <c r="TC1109" s="75"/>
      <c r="TD1109" s="75"/>
      <c r="TE1109" s="75"/>
      <c r="TF1109" s="75"/>
      <c r="TG1109" s="75"/>
      <c r="TH1109" s="75"/>
      <c r="TI1109" s="75"/>
      <c r="TJ1109" s="75"/>
      <c r="TK1109" s="75"/>
      <c r="TL1109" s="75"/>
      <c r="TM1109" s="75"/>
      <c r="TN1109" s="75"/>
      <c r="TO1109" s="75"/>
      <c r="TP1109" s="75"/>
      <c r="TQ1109" s="75"/>
      <c r="TR1109" s="75"/>
      <c r="TS1109" s="75"/>
      <c r="TT1109" s="75"/>
      <c r="TU1109" s="75"/>
      <c r="TV1109" s="75"/>
      <c r="TW1109" s="75"/>
      <c r="TX1109" s="75"/>
      <c r="TY1109" s="75"/>
      <c r="TZ1109" s="75"/>
      <c r="UA1109" s="75"/>
      <c r="UB1109" s="75"/>
      <c r="UC1109" s="75"/>
      <c r="UD1109" s="75"/>
      <c r="UE1109" s="75"/>
      <c r="UF1109" s="75"/>
      <c r="UG1109" s="75"/>
      <c r="UH1109" s="75"/>
      <c r="UI1109" s="75"/>
      <c r="UJ1109" s="75"/>
      <c r="UK1109" s="75"/>
      <c r="UL1109" s="75"/>
      <c r="UM1109" s="75"/>
      <c r="UN1109" s="75"/>
      <c r="UO1109" s="75"/>
      <c r="UP1109" s="75"/>
      <c r="UQ1109" s="75"/>
      <c r="UR1109" s="75"/>
      <c r="US1109" s="75"/>
      <c r="UT1109" s="75"/>
      <c r="UU1109" s="75"/>
      <c r="UV1109" s="75"/>
      <c r="UW1109" s="75"/>
      <c r="UX1109" s="75"/>
      <c r="UY1109" s="75"/>
      <c r="UZ1109" s="75"/>
      <c r="VA1109" s="75"/>
      <c r="VB1109" s="75"/>
      <c r="VC1109" s="75"/>
      <c r="VD1109" s="75"/>
      <c r="VE1109" s="75"/>
      <c r="VF1109" s="75"/>
      <c r="VG1109" s="75"/>
      <c r="VH1109" s="75"/>
      <c r="VI1109" s="75"/>
      <c r="VJ1109" s="75"/>
      <c r="VK1109" s="75"/>
      <c r="VL1109" s="75"/>
      <c r="VM1109" s="75"/>
      <c r="VN1109" s="75"/>
      <c r="VO1109" s="75"/>
      <c r="VP1109" s="75"/>
      <c r="VQ1109" s="75"/>
      <c r="VR1109" s="75"/>
      <c r="VS1109" s="75"/>
      <c r="VT1109" s="75"/>
      <c r="VU1109" s="75"/>
      <c r="VV1109" s="75"/>
      <c r="VW1109" s="75"/>
      <c r="VX1109" s="75"/>
      <c r="VY1109" s="75"/>
      <c r="VZ1109" s="75"/>
      <c r="WA1109" s="75"/>
      <c r="WB1109" s="75"/>
      <c r="WC1109" s="75"/>
      <c r="WD1109" s="75"/>
      <c r="WE1109" s="75"/>
      <c r="WF1109" s="75"/>
      <c r="WG1109" s="75"/>
      <c r="WH1109" s="75"/>
      <c r="WI1109" s="75"/>
      <c r="WJ1109" s="75"/>
      <c r="WK1109" s="75"/>
      <c r="WL1109" s="75"/>
      <c r="WM1109" s="75"/>
      <c r="WN1109" s="75"/>
      <c r="WO1109" s="75"/>
      <c r="WP1109" s="75"/>
      <c r="WQ1109" s="75"/>
      <c r="WR1109" s="75"/>
      <c r="WS1109" s="75"/>
      <c r="WT1109" s="75"/>
      <c r="WU1109" s="75"/>
      <c r="WV1109" s="75"/>
      <c r="WW1109" s="75"/>
      <c r="WX1109" s="75"/>
      <c r="WY1109" s="75"/>
      <c r="WZ1109" s="75"/>
      <c r="XA1109" s="75"/>
      <c r="XB1109" s="75"/>
      <c r="XC1109" s="75"/>
      <c r="XD1109" s="75"/>
      <c r="XE1109" s="75"/>
      <c r="XF1109" s="75"/>
      <c r="XG1109" s="75"/>
      <c r="XH1109" s="75"/>
      <c r="XI1109" s="75"/>
      <c r="XJ1109" s="75"/>
      <c r="XK1109" s="75"/>
      <c r="XL1109" s="75"/>
      <c r="XM1109" s="75"/>
      <c r="XN1109" s="75"/>
      <c r="XO1109" s="75"/>
      <c r="XP1109" s="75"/>
      <c r="XQ1109" s="75"/>
      <c r="XR1109" s="75"/>
      <c r="XS1109" s="75"/>
      <c r="XT1109" s="75"/>
      <c r="XU1109" s="75"/>
      <c r="XV1109" s="75"/>
      <c r="XW1109" s="75"/>
      <c r="XX1109" s="75"/>
      <c r="XY1109" s="75"/>
      <c r="XZ1109" s="75"/>
      <c r="YA1109" s="75"/>
      <c r="YB1109" s="75"/>
      <c r="YC1109" s="75"/>
      <c r="YD1109" s="75"/>
      <c r="YE1109" s="75"/>
      <c r="YF1109" s="75"/>
      <c r="YG1109" s="75"/>
      <c r="YH1109" s="75"/>
      <c r="YI1109" s="75"/>
      <c r="YJ1109" s="75"/>
      <c r="YK1109" s="75"/>
      <c r="YL1109" s="75"/>
      <c r="YM1109" s="75"/>
      <c r="YN1109" s="75"/>
      <c r="YO1109" s="75"/>
      <c r="YP1109" s="75"/>
      <c r="YQ1109" s="75"/>
      <c r="YR1109" s="75"/>
      <c r="YS1109" s="75"/>
      <c r="YT1109" s="75"/>
      <c r="YU1109" s="75"/>
      <c r="YV1109" s="75"/>
      <c r="YW1109" s="75"/>
      <c r="YX1109" s="75"/>
      <c r="YY1109" s="75"/>
      <c r="YZ1109" s="75"/>
      <c r="ZA1109" s="75"/>
      <c r="ZB1109" s="75"/>
      <c r="ZC1109" s="75"/>
      <c r="ZD1109" s="75"/>
      <c r="ZE1109" s="75"/>
      <c r="ZF1109" s="75"/>
      <c r="ZG1109" s="75"/>
      <c r="ZH1109" s="75"/>
      <c r="ZI1109" s="75"/>
      <c r="ZJ1109" s="75"/>
      <c r="ZK1109" s="75"/>
      <c r="ZL1109" s="75"/>
      <c r="ZM1109" s="75"/>
      <c r="ZN1109" s="75"/>
      <c r="ZO1109" s="75"/>
      <c r="ZP1109" s="75"/>
      <c r="ZQ1109" s="75"/>
      <c r="ZR1109" s="75"/>
      <c r="ZS1109" s="75"/>
      <c r="ZT1109" s="75"/>
      <c r="ZU1109" s="75"/>
      <c r="ZV1109" s="75"/>
      <c r="ZW1109" s="75"/>
      <c r="ZX1109" s="75"/>
      <c r="ZY1109" s="75"/>
      <c r="ZZ1109" s="75"/>
      <c r="AAA1109" s="75"/>
      <c r="AAB1109" s="75"/>
      <c r="AAC1109" s="75"/>
      <c r="AAD1109" s="75"/>
      <c r="AAE1109" s="75"/>
      <c r="AAF1109" s="75"/>
      <c r="AAG1109" s="75"/>
      <c r="AAH1109" s="75"/>
      <c r="AAI1109" s="75"/>
      <c r="AAJ1109" s="75"/>
      <c r="AAK1109" s="75"/>
      <c r="AAL1109" s="75"/>
      <c r="AAM1109" s="75"/>
      <c r="AAN1109" s="75"/>
      <c r="AAO1109" s="75"/>
      <c r="AAP1109" s="75"/>
      <c r="AAQ1109" s="75"/>
      <c r="AAR1109" s="75"/>
      <c r="AAS1109" s="75"/>
      <c r="AAT1109" s="75"/>
      <c r="AAU1109" s="75"/>
      <c r="AAV1109" s="75"/>
      <c r="AAW1109" s="75"/>
      <c r="AAX1109" s="75"/>
      <c r="AAY1109" s="75"/>
      <c r="AAZ1109" s="75"/>
      <c r="ABA1109" s="75"/>
      <c r="ABB1109" s="75"/>
      <c r="ABC1109" s="75"/>
      <c r="ABD1109" s="75"/>
      <c r="ABE1109" s="75"/>
      <c r="ABF1109" s="75"/>
      <c r="ABG1109" s="75"/>
      <c r="ABH1109" s="75"/>
      <c r="ABI1109" s="75"/>
      <c r="ABJ1109" s="75"/>
      <c r="ABK1109" s="75"/>
      <c r="ABL1109" s="75"/>
      <c r="ABM1109" s="75"/>
      <c r="ABN1109" s="75"/>
      <c r="ABO1109" s="75"/>
      <c r="ABP1109" s="75"/>
      <c r="ABQ1109" s="75"/>
      <c r="ABR1109" s="75"/>
      <c r="ABS1109" s="75"/>
      <c r="ABT1109" s="75"/>
      <c r="ABU1109" s="75"/>
      <c r="ABV1109" s="75"/>
      <c r="ABW1109" s="75"/>
      <c r="ABX1109" s="75"/>
      <c r="ABY1109" s="75"/>
      <c r="ABZ1109" s="75"/>
      <c r="ACA1109" s="75"/>
      <c r="ACB1109" s="75"/>
      <c r="ACC1109" s="75"/>
      <c r="ACD1109" s="75"/>
      <c r="ACE1109" s="75"/>
      <c r="ACF1109" s="75"/>
      <c r="ACG1109" s="75"/>
      <c r="ACH1109" s="75"/>
      <c r="ACI1109" s="75"/>
      <c r="ACJ1109" s="75"/>
      <c r="ACK1109" s="75"/>
      <c r="ACL1109" s="75"/>
      <c r="ACM1109" s="75"/>
      <c r="ACN1109" s="75"/>
      <c r="ACO1109" s="75"/>
      <c r="ACP1109" s="75"/>
      <c r="ACQ1109" s="75"/>
      <c r="ACR1109" s="75"/>
      <c r="ACS1109" s="75"/>
      <c r="ACT1109" s="75"/>
      <c r="ACU1109" s="75"/>
      <c r="ACV1109" s="75"/>
      <c r="ACW1109" s="75"/>
      <c r="ACX1109" s="75"/>
      <c r="ACY1109" s="75"/>
      <c r="ACZ1109" s="75"/>
      <c r="ADA1109" s="75"/>
      <c r="ADB1109" s="75"/>
      <c r="ADC1109" s="75"/>
      <c r="ADD1109" s="75"/>
      <c r="ADE1109" s="75"/>
      <c r="ADF1109" s="75"/>
      <c r="ADG1109" s="75"/>
      <c r="ADH1109" s="75"/>
      <c r="ADI1109" s="75"/>
      <c r="ADJ1109" s="75"/>
      <c r="ADK1109" s="75"/>
      <c r="ADL1109" s="75"/>
      <c r="ADM1109" s="75"/>
      <c r="ADN1109" s="75"/>
      <c r="ADO1109" s="75"/>
      <c r="ADP1109" s="75"/>
      <c r="ADQ1109" s="75"/>
      <c r="ADR1109" s="75"/>
      <c r="ADS1109" s="75"/>
      <c r="ADT1109" s="75"/>
      <c r="ADU1109" s="75"/>
      <c r="ADV1109" s="75"/>
      <c r="ADW1109" s="75"/>
      <c r="ADX1109" s="75"/>
      <c r="ADY1109" s="75"/>
      <c r="ADZ1109" s="75"/>
      <c r="AEA1109" s="75"/>
      <c r="AEB1109" s="75"/>
      <c r="AEC1109" s="75"/>
      <c r="AED1109" s="75"/>
      <c r="AEE1109" s="75"/>
      <c r="AEF1109" s="75"/>
      <c r="AEG1109" s="75"/>
      <c r="AEH1109" s="75"/>
      <c r="AEI1109" s="75"/>
      <c r="AEJ1109" s="75"/>
      <c r="AEK1109" s="75"/>
      <c r="AEL1109" s="75"/>
      <c r="AEM1109" s="75"/>
      <c r="AEN1109" s="75"/>
      <c r="AEO1109" s="75"/>
      <c r="AEP1109" s="75"/>
      <c r="AEQ1109" s="75"/>
      <c r="AER1109" s="75"/>
      <c r="AES1109" s="75"/>
      <c r="AET1109" s="75"/>
      <c r="AEU1109" s="75"/>
      <c r="AEV1109" s="75"/>
      <c r="AEW1109" s="75"/>
      <c r="AEX1109" s="75"/>
      <c r="AEY1109" s="75"/>
      <c r="AEZ1109" s="75"/>
      <c r="AFA1109" s="75"/>
      <c r="AFB1109" s="75"/>
      <c r="AFC1109" s="75"/>
      <c r="AFD1109" s="75"/>
      <c r="AFE1109" s="75"/>
      <c r="AFF1109" s="75"/>
      <c r="AFG1109" s="75"/>
      <c r="AFH1109" s="75"/>
      <c r="AFI1109" s="75"/>
      <c r="AFJ1109" s="75"/>
      <c r="AFK1109" s="75"/>
      <c r="AFL1109" s="75"/>
      <c r="AFM1109" s="75"/>
      <c r="AFN1109" s="75"/>
      <c r="AFO1109" s="75"/>
      <c r="AFP1109" s="75"/>
      <c r="AFQ1109" s="75"/>
      <c r="AFR1109" s="75"/>
      <c r="AFS1109" s="75"/>
      <c r="AFT1109" s="75"/>
      <c r="AFU1109" s="75"/>
      <c r="AFV1109" s="75"/>
      <c r="AFW1109" s="75"/>
      <c r="AFX1109" s="75"/>
      <c r="AFY1109" s="75"/>
      <c r="AFZ1109" s="75"/>
      <c r="AGA1109" s="75"/>
      <c r="AGB1109" s="75"/>
      <c r="AGC1109" s="75"/>
      <c r="AGD1109" s="75"/>
      <c r="AGE1109" s="75"/>
      <c r="AGF1109" s="75"/>
      <c r="AGG1109" s="75"/>
      <c r="AGH1109" s="75"/>
      <c r="AGI1109" s="75"/>
      <c r="AGJ1109" s="75"/>
      <c r="AGK1109" s="75"/>
      <c r="AGL1109" s="75"/>
      <c r="AGM1109" s="75"/>
      <c r="AGN1109" s="75"/>
      <c r="AGO1109" s="75"/>
      <c r="AGP1109" s="75"/>
      <c r="AGQ1109" s="75"/>
      <c r="AGR1109" s="75"/>
      <c r="AGS1109" s="75"/>
      <c r="AGT1109" s="75"/>
      <c r="AGU1109" s="75"/>
      <c r="AGV1109" s="75"/>
      <c r="AGW1109" s="75"/>
      <c r="AGX1109" s="75"/>
      <c r="AGY1109" s="75"/>
      <c r="AGZ1109" s="75"/>
      <c r="AHA1109" s="75"/>
      <c r="AHB1109" s="75"/>
      <c r="AHC1109" s="75"/>
      <c r="AHD1109" s="75"/>
      <c r="AHE1109" s="75"/>
      <c r="AHF1109" s="75"/>
      <c r="AHG1109" s="75"/>
      <c r="AHH1109" s="75"/>
      <c r="AHI1109" s="75"/>
      <c r="AHJ1109" s="75"/>
      <c r="AHK1109" s="75"/>
      <c r="AHL1109" s="75"/>
      <c r="AHM1109" s="75"/>
      <c r="AHN1109" s="75"/>
      <c r="AHO1109" s="75"/>
      <c r="AHP1109" s="75"/>
      <c r="AHQ1109" s="75"/>
      <c r="AHR1109" s="75"/>
      <c r="AHS1109" s="75"/>
      <c r="AHT1109" s="75"/>
      <c r="AHU1109" s="75"/>
      <c r="AHV1109" s="75"/>
      <c r="AHW1109" s="75"/>
      <c r="AHX1109" s="75"/>
      <c r="AHY1109" s="75"/>
      <c r="AHZ1109" s="75"/>
      <c r="AIA1109" s="75"/>
      <c r="AIB1109" s="75"/>
      <c r="AIC1109" s="75"/>
      <c r="AID1109" s="75"/>
      <c r="AIE1109" s="75"/>
      <c r="AIF1109" s="75"/>
      <c r="AIG1109" s="75"/>
      <c r="AIH1109" s="75"/>
      <c r="AII1109" s="75"/>
      <c r="AIJ1109" s="75"/>
      <c r="AIK1109" s="75"/>
      <c r="AIL1109" s="75"/>
      <c r="AIM1109" s="75"/>
      <c r="AIN1109" s="75"/>
      <c r="AIO1109" s="75"/>
      <c r="AIP1109" s="75"/>
      <c r="AIQ1109" s="75"/>
      <c r="AIR1109" s="75"/>
      <c r="AIS1109" s="75"/>
      <c r="AIT1109" s="75"/>
      <c r="AIU1109" s="75"/>
      <c r="AIV1109" s="75"/>
      <c r="AIW1109" s="75"/>
      <c r="AIX1109" s="75"/>
      <c r="AIY1109" s="75"/>
      <c r="AIZ1109" s="75"/>
      <c r="AJA1109" s="75"/>
      <c r="AJB1109" s="75"/>
      <c r="AJC1109" s="75"/>
      <c r="AJD1109" s="75"/>
      <c r="AJE1109" s="75"/>
      <c r="AJF1109" s="75"/>
      <c r="AJG1109" s="75"/>
      <c r="AJH1109" s="75"/>
      <c r="AJI1109" s="75"/>
      <c r="AJJ1109" s="75"/>
      <c r="AJK1109" s="75"/>
      <c r="AJL1109" s="75"/>
      <c r="AJM1109" s="75"/>
      <c r="AJN1109" s="75"/>
      <c r="AJO1109" s="75"/>
      <c r="AJP1109" s="75"/>
      <c r="AJQ1109" s="75"/>
      <c r="AJR1109" s="75"/>
      <c r="AJS1109" s="75"/>
      <c r="AJT1109" s="75"/>
      <c r="AJU1109" s="75"/>
      <c r="AJV1109" s="75"/>
      <c r="AJW1109" s="75"/>
      <c r="AJX1109" s="75"/>
      <c r="AJY1109" s="75"/>
      <c r="AJZ1109" s="75"/>
      <c r="AKA1109" s="75"/>
      <c r="AKB1109" s="75"/>
      <c r="AKC1109" s="75"/>
      <c r="AKD1109" s="75"/>
      <c r="AKE1109" s="75"/>
      <c r="AKF1109" s="75"/>
      <c r="AKG1109" s="75"/>
      <c r="AKH1109" s="75"/>
      <c r="AKI1109" s="75"/>
      <c r="AKJ1109" s="75"/>
      <c r="AKK1109" s="75"/>
      <c r="AKL1109" s="75"/>
      <c r="AKM1109" s="75"/>
      <c r="AKN1109" s="75"/>
      <c r="AKO1109" s="75"/>
      <c r="AKP1109" s="75"/>
      <c r="AKQ1109" s="75"/>
      <c r="AKR1109" s="75"/>
      <c r="AKS1109" s="75"/>
      <c r="AKT1109" s="75"/>
      <c r="AKU1109" s="75"/>
      <c r="AKV1109" s="75"/>
      <c r="AKW1109" s="75"/>
      <c r="AKX1109" s="75"/>
      <c r="AKY1109" s="75"/>
      <c r="AKZ1109" s="75"/>
      <c r="ALA1109" s="75"/>
      <c r="ALB1109" s="75"/>
      <c r="ALC1109" s="75"/>
      <c r="ALD1109" s="75"/>
      <c r="ALE1109" s="75"/>
      <c r="ALF1109" s="75"/>
      <c r="ALG1109" s="75"/>
      <c r="ALH1109" s="75"/>
      <c r="ALI1109" s="75"/>
      <c r="ALJ1109" s="75"/>
      <c r="ALK1109" s="75"/>
      <c r="ALL1109" s="75"/>
      <c r="ALM1109" s="75"/>
      <c r="ALN1109" s="75"/>
    </row>
    <row r="1110" spans="1:1003" s="237" customFormat="1" ht="14.55" customHeight="1" outlineLevel="1" x14ac:dyDescent="0.25">
      <c r="A1110" s="230" t="s">
        <v>1422</v>
      </c>
      <c r="B1110" s="343" t="str">
        <f>"26.1104"</f>
        <v>26.1104</v>
      </c>
      <c r="C1110" s="75" t="s">
        <v>3338</v>
      </c>
      <c r="D1110" s="127" t="s">
        <v>3339</v>
      </c>
      <c r="E1110" s="232"/>
      <c r="F1110" s="75"/>
      <c r="G1110" s="75"/>
      <c r="H1110" s="75"/>
      <c r="I1110" s="75"/>
      <c r="J1110" s="75"/>
      <c r="K1110" s="75"/>
      <c r="L1110" s="75"/>
      <c r="M1110" s="75"/>
      <c r="N1110" s="75"/>
      <c r="O1110" s="75"/>
      <c r="P1110" s="75"/>
      <c r="Q1110" s="75"/>
      <c r="R1110" s="75"/>
      <c r="S1110" s="75"/>
      <c r="T1110" s="75"/>
      <c r="U1110" s="75"/>
      <c r="V1110" s="75"/>
      <c r="W1110" s="75"/>
      <c r="X1110" s="75"/>
      <c r="Y1110" s="75"/>
      <c r="Z1110" s="75"/>
      <c r="AA1110" s="75"/>
      <c r="AB1110" s="75"/>
      <c r="AC1110" s="75"/>
      <c r="AD1110" s="75"/>
      <c r="AE1110" s="75"/>
      <c r="AF1110" s="75"/>
      <c r="AG1110" s="75"/>
      <c r="AH1110" s="75"/>
      <c r="AI1110" s="75"/>
      <c r="AJ1110" s="75"/>
      <c r="AK1110" s="75"/>
      <c r="AL1110" s="75"/>
      <c r="AM1110" s="75"/>
      <c r="AN1110" s="75"/>
      <c r="AO1110" s="75"/>
      <c r="AP1110" s="75"/>
      <c r="AQ1110" s="75"/>
      <c r="AR1110" s="75"/>
      <c r="AS1110" s="75"/>
      <c r="AT1110" s="75"/>
      <c r="AU1110" s="75"/>
      <c r="AV1110" s="75"/>
      <c r="AW1110" s="75"/>
      <c r="AX1110" s="75"/>
      <c r="AY1110" s="75"/>
      <c r="AZ1110" s="75"/>
      <c r="BA1110" s="75"/>
      <c r="BB1110" s="75"/>
      <c r="BC1110" s="75"/>
      <c r="BD1110" s="75"/>
      <c r="BE1110" s="75"/>
      <c r="BF1110" s="75"/>
      <c r="BG1110" s="75"/>
      <c r="BH1110" s="75"/>
      <c r="BI1110" s="75"/>
      <c r="BJ1110" s="75"/>
      <c r="BK1110" s="75"/>
      <c r="BL1110" s="75"/>
      <c r="BM1110" s="75"/>
      <c r="BN1110" s="75"/>
      <c r="BO1110" s="75"/>
      <c r="BP1110" s="75"/>
      <c r="BQ1110" s="75"/>
      <c r="BR1110" s="75"/>
      <c r="BS1110" s="75"/>
      <c r="BT1110" s="75"/>
      <c r="BU1110" s="75"/>
      <c r="BV1110" s="75"/>
      <c r="BW1110" s="75"/>
      <c r="BX1110" s="75"/>
      <c r="BY1110" s="75"/>
      <c r="BZ1110" s="75"/>
      <c r="CA1110" s="75"/>
      <c r="CB1110" s="75"/>
      <c r="CC1110" s="75"/>
      <c r="CD1110" s="75"/>
      <c r="CE1110" s="75"/>
      <c r="CF1110" s="75"/>
      <c r="CG1110" s="75"/>
      <c r="CH1110" s="75"/>
      <c r="CI1110" s="75"/>
      <c r="CJ1110" s="75"/>
      <c r="CK1110" s="75"/>
      <c r="CL1110" s="75"/>
      <c r="CM1110" s="75"/>
      <c r="CN1110" s="75"/>
      <c r="CO1110" s="75"/>
      <c r="CP1110" s="75"/>
      <c r="CQ1110" s="75"/>
      <c r="CR1110" s="75"/>
      <c r="CS1110" s="75"/>
      <c r="CT1110" s="75"/>
      <c r="CU1110" s="75"/>
      <c r="CV1110" s="75"/>
      <c r="CW1110" s="75"/>
      <c r="CX1110" s="75"/>
      <c r="CY1110" s="75"/>
      <c r="CZ1110" s="75"/>
      <c r="DA1110" s="75"/>
      <c r="DB1110" s="75"/>
      <c r="DC1110" s="75"/>
      <c r="DD1110" s="75"/>
      <c r="DE1110" s="75"/>
      <c r="DF1110" s="75"/>
      <c r="DG1110" s="75"/>
      <c r="DH1110" s="75"/>
      <c r="DI1110" s="75"/>
      <c r="DJ1110" s="75"/>
      <c r="DK1110" s="75"/>
      <c r="DL1110" s="75"/>
      <c r="DM1110" s="75"/>
      <c r="DN1110" s="75"/>
      <c r="DO1110" s="75"/>
      <c r="DP1110" s="75"/>
      <c r="DQ1110" s="75"/>
      <c r="DR1110" s="75"/>
      <c r="DS1110" s="75"/>
      <c r="DT1110" s="75"/>
      <c r="DU1110" s="75"/>
      <c r="DV1110" s="75"/>
      <c r="DW1110" s="75"/>
      <c r="DX1110" s="75"/>
      <c r="DY1110" s="75"/>
      <c r="DZ1110" s="75"/>
      <c r="EA1110" s="75"/>
      <c r="EB1110" s="75"/>
      <c r="EC1110" s="75"/>
      <c r="ED1110" s="75"/>
      <c r="EE1110" s="75"/>
      <c r="EF1110" s="75"/>
      <c r="EG1110" s="75"/>
      <c r="EH1110" s="75"/>
      <c r="EI1110" s="75"/>
      <c r="EJ1110" s="75"/>
      <c r="EK1110" s="75"/>
      <c r="EL1110" s="75"/>
      <c r="EM1110" s="75"/>
      <c r="EN1110" s="75"/>
      <c r="EO1110" s="75"/>
      <c r="EP1110" s="75"/>
      <c r="EQ1110" s="75"/>
      <c r="ER1110" s="75"/>
      <c r="ES1110" s="75"/>
      <c r="ET1110" s="75"/>
      <c r="EU1110" s="75"/>
      <c r="EV1110" s="75"/>
      <c r="EW1110" s="75"/>
      <c r="EX1110" s="75"/>
      <c r="EY1110" s="75"/>
      <c r="EZ1110" s="75"/>
      <c r="FA1110" s="75"/>
      <c r="FB1110" s="75"/>
      <c r="FC1110" s="75"/>
      <c r="FD1110" s="75"/>
      <c r="FE1110" s="75"/>
      <c r="FF1110" s="75"/>
      <c r="FG1110" s="75"/>
      <c r="FH1110" s="75"/>
      <c r="FI1110" s="75"/>
      <c r="FJ1110" s="75"/>
      <c r="FK1110" s="75"/>
      <c r="FL1110" s="75"/>
      <c r="FM1110" s="75"/>
      <c r="FN1110" s="75"/>
      <c r="FO1110" s="75"/>
      <c r="FP1110" s="75"/>
      <c r="FQ1110" s="75"/>
      <c r="FR1110" s="75"/>
      <c r="FS1110" s="75"/>
      <c r="FT1110" s="75"/>
      <c r="FU1110" s="75"/>
      <c r="FV1110" s="75"/>
      <c r="FW1110" s="75"/>
      <c r="FX1110" s="75"/>
      <c r="FY1110" s="75"/>
      <c r="FZ1110" s="75"/>
      <c r="GA1110" s="75"/>
      <c r="GB1110" s="75"/>
      <c r="GC1110" s="75"/>
      <c r="GD1110" s="75"/>
      <c r="GE1110" s="75"/>
      <c r="GF1110" s="75"/>
      <c r="GG1110" s="75"/>
      <c r="GH1110" s="75"/>
      <c r="GI1110" s="75"/>
      <c r="GJ1110" s="75"/>
      <c r="GK1110" s="75"/>
      <c r="GL1110" s="75"/>
      <c r="GM1110" s="75"/>
      <c r="GN1110" s="75"/>
      <c r="GO1110" s="75"/>
      <c r="GP1110" s="75"/>
      <c r="GQ1110" s="75"/>
      <c r="GR1110" s="75"/>
      <c r="GS1110" s="75"/>
      <c r="GT1110" s="75"/>
      <c r="GU1110" s="75"/>
      <c r="GV1110" s="75"/>
      <c r="GW1110" s="75"/>
      <c r="GX1110" s="75"/>
      <c r="GY1110" s="75"/>
      <c r="GZ1110" s="75"/>
      <c r="HA1110" s="75"/>
      <c r="HB1110" s="75"/>
      <c r="HC1110" s="75"/>
      <c r="HD1110" s="75"/>
      <c r="HE1110" s="75"/>
      <c r="HF1110" s="75"/>
      <c r="HG1110" s="75"/>
      <c r="HH1110" s="75"/>
      <c r="HI1110" s="75"/>
      <c r="HJ1110" s="75"/>
      <c r="HK1110" s="75"/>
      <c r="HL1110" s="75"/>
      <c r="HM1110" s="75"/>
      <c r="HN1110" s="75"/>
      <c r="HO1110" s="75"/>
      <c r="HP1110" s="75"/>
      <c r="HQ1110" s="75"/>
      <c r="HR1110" s="75"/>
      <c r="HS1110" s="75"/>
      <c r="HT1110" s="75"/>
      <c r="HU1110" s="75"/>
      <c r="HV1110" s="75"/>
      <c r="HW1110" s="75"/>
      <c r="HX1110" s="75"/>
      <c r="HY1110" s="75"/>
      <c r="HZ1110" s="75"/>
      <c r="IA1110" s="75"/>
      <c r="IB1110" s="75"/>
      <c r="IC1110" s="75"/>
      <c r="ID1110" s="75"/>
      <c r="IE1110" s="75"/>
      <c r="IF1110" s="75"/>
      <c r="IG1110" s="75"/>
      <c r="IH1110" s="75"/>
      <c r="II1110" s="75"/>
      <c r="IJ1110" s="75"/>
      <c r="IK1110" s="75"/>
      <c r="IL1110" s="75"/>
      <c r="IM1110" s="75"/>
      <c r="IN1110" s="75"/>
      <c r="IO1110" s="75"/>
      <c r="IP1110" s="75"/>
      <c r="IQ1110" s="75"/>
      <c r="IR1110" s="75"/>
      <c r="IS1110" s="75"/>
      <c r="IT1110" s="75"/>
      <c r="IU1110" s="75"/>
      <c r="IV1110" s="75"/>
      <c r="IW1110" s="75"/>
      <c r="IX1110" s="75"/>
      <c r="IY1110" s="75"/>
      <c r="IZ1110" s="75"/>
      <c r="JA1110" s="75"/>
      <c r="JB1110" s="75"/>
      <c r="JC1110" s="75"/>
      <c r="JD1110" s="75"/>
      <c r="JE1110" s="75"/>
      <c r="JF1110" s="75"/>
      <c r="JG1110" s="75"/>
      <c r="JH1110" s="75"/>
      <c r="JI1110" s="75"/>
      <c r="JJ1110" s="75"/>
      <c r="JK1110" s="75"/>
      <c r="JL1110" s="75"/>
      <c r="JM1110" s="75"/>
      <c r="JN1110" s="75"/>
      <c r="JO1110" s="75"/>
      <c r="JP1110" s="75"/>
      <c r="JQ1110" s="75"/>
      <c r="JR1110" s="75"/>
      <c r="JS1110" s="75"/>
      <c r="JT1110" s="75"/>
      <c r="JU1110" s="75"/>
      <c r="JV1110" s="75"/>
      <c r="JW1110" s="75"/>
      <c r="JX1110" s="75"/>
      <c r="JY1110" s="75"/>
      <c r="JZ1110" s="75"/>
      <c r="KA1110" s="75"/>
      <c r="KB1110" s="75"/>
      <c r="KC1110" s="75"/>
      <c r="KD1110" s="75"/>
      <c r="KE1110" s="75"/>
      <c r="KF1110" s="75"/>
      <c r="KG1110" s="75"/>
      <c r="KH1110" s="75"/>
      <c r="KI1110" s="75"/>
      <c r="KJ1110" s="75"/>
      <c r="KK1110" s="75"/>
      <c r="KL1110" s="75"/>
      <c r="KM1110" s="75"/>
      <c r="KN1110" s="75"/>
      <c r="KO1110" s="75"/>
      <c r="KP1110" s="75"/>
      <c r="KQ1110" s="75"/>
      <c r="KR1110" s="75"/>
      <c r="KS1110" s="75"/>
      <c r="KT1110" s="75"/>
      <c r="KU1110" s="75"/>
      <c r="KV1110" s="75"/>
      <c r="KW1110" s="75"/>
      <c r="KX1110" s="75"/>
      <c r="KY1110" s="75"/>
      <c r="KZ1110" s="75"/>
      <c r="LA1110" s="75"/>
      <c r="LB1110" s="75"/>
      <c r="LC1110" s="75"/>
      <c r="LD1110" s="75"/>
      <c r="LE1110" s="75"/>
      <c r="LF1110" s="75"/>
      <c r="LG1110" s="75"/>
      <c r="LH1110" s="75"/>
      <c r="LI1110" s="75"/>
      <c r="LJ1110" s="75"/>
      <c r="LK1110" s="75"/>
      <c r="LL1110" s="75"/>
      <c r="LM1110" s="75"/>
      <c r="LN1110" s="75"/>
      <c r="LO1110" s="75"/>
      <c r="LP1110" s="75"/>
      <c r="LQ1110" s="75"/>
      <c r="LR1110" s="75"/>
      <c r="LS1110" s="75"/>
      <c r="LT1110" s="75"/>
      <c r="LU1110" s="75"/>
      <c r="LV1110" s="75"/>
      <c r="LW1110" s="75"/>
      <c r="LX1110" s="75"/>
      <c r="LY1110" s="75"/>
      <c r="LZ1110" s="75"/>
      <c r="MA1110" s="75"/>
      <c r="MB1110" s="75"/>
      <c r="MC1110" s="75"/>
      <c r="MD1110" s="75"/>
      <c r="ME1110" s="75"/>
      <c r="MF1110" s="75"/>
      <c r="MG1110" s="75"/>
      <c r="MH1110" s="75"/>
      <c r="MI1110" s="75"/>
      <c r="MJ1110" s="75"/>
      <c r="MK1110" s="75"/>
      <c r="ML1110" s="75"/>
      <c r="MM1110" s="75"/>
      <c r="MN1110" s="75"/>
      <c r="MO1110" s="75"/>
      <c r="MP1110" s="75"/>
      <c r="MQ1110" s="75"/>
      <c r="MR1110" s="75"/>
      <c r="MS1110" s="75"/>
      <c r="MT1110" s="75"/>
      <c r="MU1110" s="75"/>
      <c r="MV1110" s="75"/>
      <c r="MW1110" s="75"/>
      <c r="MX1110" s="75"/>
      <c r="MY1110" s="75"/>
      <c r="MZ1110" s="75"/>
      <c r="NA1110" s="75"/>
      <c r="NB1110" s="75"/>
      <c r="NC1110" s="75"/>
      <c r="ND1110" s="75"/>
      <c r="NE1110" s="75"/>
      <c r="NF1110" s="75"/>
      <c r="NG1110" s="75"/>
      <c r="NH1110" s="75"/>
      <c r="NI1110" s="75"/>
      <c r="NJ1110" s="75"/>
      <c r="NK1110" s="75"/>
      <c r="NL1110" s="75"/>
      <c r="NM1110" s="75"/>
      <c r="NN1110" s="75"/>
      <c r="NO1110" s="75"/>
      <c r="NP1110" s="75"/>
      <c r="NQ1110" s="75"/>
      <c r="NR1110" s="75"/>
      <c r="NS1110" s="75"/>
      <c r="NT1110" s="75"/>
      <c r="NU1110" s="75"/>
      <c r="NV1110" s="75"/>
      <c r="NW1110" s="75"/>
      <c r="NX1110" s="75"/>
      <c r="NY1110" s="75"/>
      <c r="NZ1110" s="75"/>
      <c r="OA1110" s="75"/>
      <c r="OB1110" s="75"/>
      <c r="OC1110" s="75"/>
      <c r="OD1110" s="75"/>
      <c r="OE1110" s="75"/>
      <c r="OF1110" s="75"/>
      <c r="OG1110" s="75"/>
      <c r="OH1110" s="75"/>
      <c r="OI1110" s="75"/>
      <c r="OJ1110" s="75"/>
      <c r="OK1110" s="75"/>
      <c r="OL1110" s="75"/>
      <c r="OM1110" s="75"/>
      <c r="ON1110" s="75"/>
      <c r="OO1110" s="75"/>
      <c r="OP1110" s="75"/>
      <c r="OQ1110" s="75"/>
      <c r="OR1110" s="75"/>
      <c r="OS1110" s="75"/>
      <c r="OT1110" s="75"/>
      <c r="OU1110" s="75"/>
      <c r="OV1110" s="75"/>
      <c r="OW1110" s="75"/>
      <c r="OX1110" s="75"/>
      <c r="OY1110" s="75"/>
      <c r="OZ1110" s="75"/>
      <c r="PA1110" s="75"/>
      <c r="PB1110" s="75"/>
      <c r="PC1110" s="75"/>
      <c r="PD1110" s="75"/>
      <c r="PE1110" s="75"/>
      <c r="PF1110" s="75"/>
      <c r="PG1110" s="75"/>
      <c r="PH1110" s="75"/>
      <c r="PI1110" s="75"/>
      <c r="PJ1110" s="75"/>
      <c r="PK1110" s="75"/>
      <c r="PL1110" s="75"/>
      <c r="PM1110" s="75"/>
      <c r="PN1110" s="75"/>
      <c r="PO1110" s="75"/>
      <c r="PP1110" s="75"/>
      <c r="PQ1110" s="75"/>
      <c r="PR1110" s="75"/>
      <c r="PS1110" s="75"/>
      <c r="PT1110" s="75"/>
      <c r="PU1110" s="75"/>
      <c r="PV1110" s="75"/>
      <c r="PW1110" s="75"/>
      <c r="PX1110" s="75"/>
      <c r="PY1110" s="75"/>
      <c r="PZ1110" s="75"/>
      <c r="QA1110" s="75"/>
      <c r="QB1110" s="75"/>
      <c r="QC1110" s="75"/>
      <c r="QD1110" s="75"/>
      <c r="QE1110" s="75"/>
      <c r="QF1110" s="75"/>
      <c r="QG1110" s="75"/>
      <c r="QH1110" s="75"/>
      <c r="QI1110" s="75"/>
      <c r="QJ1110" s="75"/>
      <c r="QK1110" s="75"/>
      <c r="QL1110" s="75"/>
      <c r="QM1110" s="75"/>
      <c r="QN1110" s="75"/>
      <c r="QO1110" s="75"/>
      <c r="QP1110" s="75"/>
      <c r="QQ1110" s="75"/>
      <c r="QR1110" s="75"/>
      <c r="QS1110" s="75"/>
      <c r="QT1110" s="75"/>
      <c r="QU1110" s="75"/>
      <c r="QV1110" s="75"/>
      <c r="QW1110" s="75"/>
      <c r="QX1110" s="75"/>
      <c r="QY1110" s="75"/>
      <c r="QZ1110" s="75"/>
      <c r="RA1110" s="75"/>
      <c r="RB1110" s="75"/>
      <c r="RC1110" s="75"/>
      <c r="RD1110" s="75"/>
      <c r="RE1110" s="75"/>
      <c r="RF1110" s="75"/>
      <c r="RG1110" s="75"/>
      <c r="RH1110" s="75"/>
      <c r="RI1110" s="75"/>
      <c r="RJ1110" s="75"/>
      <c r="RK1110" s="75"/>
      <c r="RL1110" s="75"/>
      <c r="RM1110" s="75"/>
      <c r="RN1110" s="75"/>
      <c r="RO1110" s="75"/>
      <c r="RP1110" s="75"/>
      <c r="RQ1110" s="75"/>
      <c r="RR1110" s="75"/>
      <c r="RS1110" s="75"/>
      <c r="RT1110" s="75"/>
      <c r="RU1110" s="75"/>
      <c r="RV1110" s="75"/>
      <c r="RW1110" s="75"/>
      <c r="RX1110" s="75"/>
      <c r="RY1110" s="75"/>
      <c r="RZ1110" s="75"/>
      <c r="SA1110" s="75"/>
      <c r="SB1110" s="75"/>
      <c r="SC1110" s="75"/>
      <c r="SD1110" s="75"/>
      <c r="SE1110" s="75"/>
      <c r="SF1110" s="75"/>
      <c r="SG1110" s="75"/>
      <c r="SH1110" s="75"/>
      <c r="SI1110" s="75"/>
      <c r="SJ1110" s="75"/>
      <c r="SK1110" s="75"/>
      <c r="SL1110" s="75"/>
      <c r="SM1110" s="75"/>
      <c r="SN1110" s="75"/>
      <c r="SO1110" s="75"/>
      <c r="SP1110" s="75"/>
      <c r="SQ1110" s="75"/>
      <c r="SR1110" s="75"/>
      <c r="SS1110" s="75"/>
      <c r="ST1110" s="75"/>
      <c r="SU1110" s="75"/>
      <c r="SV1110" s="75"/>
      <c r="SW1110" s="75"/>
      <c r="SX1110" s="75"/>
      <c r="SY1110" s="75"/>
      <c r="SZ1110" s="75"/>
      <c r="TA1110" s="75"/>
      <c r="TB1110" s="75"/>
      <c r="TC1110" s="75"/>
      <c r="TD1110" s="75"/>
      <c r="TE1110" s="75"/>
      <c r="TF1110" s="75"/>
      <c r="TG1110" s="75"/>
      <c r="TH1110" s="75"/>
      <c r="TI1110" s="75"/>
      <c r="TJ1110" s="75"/>
      <c r="TK1110" s="75"/>
      <c r="TL1110" s="75"/>
      <c r="TM1110" s="75"/>
      <c r="TN1110" s="75"/>
      <c r="TO1110" s="75"/>
      <c r="TP1110" s="75"/>
      <c r="TQ1110" s="75"/>
      <c r="TR1110" s="75"/>
      <c r="TS1110" s="75"/>
      <c r="TT1110" s="75"/>
      <c r="TU1110" s="75"/>
      <c r="TV1110" s="75"/>
      <c r="TW1110" s="75"/>
      <c r="TX1110" s="75"/>
      <c r="TY1110" s="75"/>
      <c r="TZ1110" s="75"/>
      <c r="UA1110" s="75"/>
      <c r="UB1110" s="75"/>
      <c r="UC1110" s="75"/>
      <c r="UD1110" s="75"/>
      <c r="UE1110" s="75"/>
      <c r="UF1110" s="75"/>
      <c r="UG1110" s="75"/>
      <c r="UH1110" s="75"/>
      <c r="UI1110" s="75"/>
      <c r="UJ1110" s="75"/>
      <c r="UK1110" s="75"/>
      <c r="UL1110" s="75"/>
      <c r="UM1110" s="75"/>
      <c r="UN1110" s="75"/>
      <c r="UO1110" s="75"/>
      <c r="UP1110" s="75"/>
      <c r="UQ1110" s="75"/>
      <c r="UR1110" s="75"/>
      <c r="US1110" s="75"/>
      <c r="UT1110" s="75"/>
      <c r="UU1110" s="75"/>
      <c r="UV1110" s="75"/>
      <c r="UW1110" s="75"/>
      <c r="UX1110" s="75"/>
      <c r="UY1110" s="75"/>
      <c r="UZ1110" s="75"/>
      <c r="VA1110" s="75"/>
      <c r="VB1110" s="75"/>
      <c r="VC1110" s="75"/>
      <c r="VD1110" s="75"/>
      <c r="VE1110" s="75"/>
      <c r="VF1110" s="75"/>
      <c r="VG1110" s="75"/>
      <c r="VH1110" s="75"/>
      <c r="VI1110" s="75"/>
      <c r="VJ1110" s="75"/>
      <c r="VK1110" s="75"/>
      <c r="VL1110" s="75"/>
      <c r="VM1110" s="75"/>
      <c r="VN1110" s="75"/>
      <c r="VO1110" s="75"/>
      <c r="VP1110" s="75"/>
      <c r="VQ1110" s="75"/>
      <c r="VR1110" s="75"/>
      <c r="VS1110" s="75"/>
      <c r="VT1110" s="75"/>
      <c r="VU1110" s="75"/>
      <c r="VV1110" s="75"/>
      <c r="VW1110" s="75"/>
      <c r="VX1110" s="75"/>
      <c r="VY1110" s="75"/>
      <c r="VZ1110" s="75"/>
      <c r="WA1110" s="75"/>
      <c r="WB1110" s="75"/>
      <c r="WC1110" s="75"/>
      <c r="WD1110" s="75"/>
      <c r="WE1110" s="75"/>
      <c r="WF1110" s="75"/>
      <c r="WG1110" s="75"/>
      <c r="WH1110" s="75"/>
      <c r="WI1110" s="75"/>
      <c r="WJ1110" s="75"/>
      <c r="WK1110" s="75"/>
      <c r="WL1110" s="75"/>
      <c r="WM1110" s="75"/>
      <c r="WN1110" s="75"/>
      <c r="WO1110" s="75"/>
      <c r="WP1110" s="75"/>
      <c r="WQ1110" s="75"/>
      <c r="WR1110" s="75"/>
      <c r="WS1110" s="75"/>
      <c r="WT1110" s="75"/>
      <c r="WU1110" s="75"/>
      <c r="WV1110" s="75"/>
      <c r="WW1110" s="75"/>
      <c r="WX1110" s="75"/>
      <c r="WY1110" s="75"/>
      <c r="WZ1110" s="75"/>
      <c r="XA1110" s="75"/>
      <c r="XB1110" s="75"/>
      <c r="XC1110" s="75"/>
      <c r="XD1110" s="75"/>
      <c r="XE1110" s="75"/>
      <c r="XF1110" s="75"/>
      <c r="XG1110" s="75"/>
      <c r="XH1110" s="75"/>
      <c r="XI1110" s="75"/>
      <c r="XJ1110" s="75"/>
      <c r="XK1110" s="75"/>
      <c r="XL1110" s="75"/>
      <c r="XM1110" s="75"/>
      <c r="XN1110" s="75"/>
      <c r="XO1110" s="75"/>
      <c r="XP1110" s="75"/>
      <c r="XQ1110" s="75"/>
      <c r="XR1110" s="75"/>
      <c r="XS1110" s="75"/>
      <c r="XT1110" s="75"/>
      <c r="XU1110" s="75"/>
      <c r="XV1110" s="75"/>
      <c r="XW1110" s="75"/>
      <c r="XX1110" s="75"/>
      <c r="XY1110" s="75"/>
      <c r="XZ1110" s="75"/>
      <c r="YA1110" s="75"/>
      <c r="YB1110" s="75"/>
      <c r="YC1110" s="75"/>
      <c r="YD1110" s="75"/>
      <c r="YE1110" s="75"/>
      <c r="YF1110" s="75"/>
      <c r="YG1110" s="75"/>
      <c r="YH1110" s="75"/>
      <c r="YI1110" s="75"/>
      <c r="YJ1110" s="75"/>
      <c r="YK1110" s="75"/>
      <c r="YL1110" s="75"/>
      <c r="YM1110" s="75"/>
      <c r="YN1110" s="75"/>
      <c r="YO1110" s="75"/>
      <c r="YP1110" s="75"/>
      <c r="YQ1110" s="75"/>
      <c r="YR1110" s="75"/>
      <c r="YS1110" s="75"/>
      <c r="YT1110" s="75"/>
      <c r="YU1110" s="75"/>
      <c r="YV1110" s="75"/>
      <c r="YW1110" s="75"/>
      <c r="YX1110" s="75"/>
      <c r="YY1110" s="75"/>
      <c r="YZ1110" s="75"/>
      <c r="ZA1110" s="75"/>
      <c r="ZB1110" s="75"/>
      <c r="ZC1110" s="75"/>
      <c r="ZD1110" s="75"/>
      <c r="ZE1110" s="75"/>
      <c r="ZF1110" s="75"/>
      <c r="ZG1110" s="75"/>
      <c r="ZH1110" s="75"/>
      <c r="ZI1110" s="75"/>
      <c r="ZJ1110" s="75"/>
      <c r="ZK1110" s="75"/>
      <c r="ZL1110" s="75"/>
      <c r="ZM1110" s="75"/>
      <c r="ZN1110" s="75"/>
      <c r="ZO1110" s="75"/>
      <c r="ZP1110" s="75"/>
      <c r="ZQ1110" s="75"/>
      <c r="ZR1110" s="75"/>
      <c r="ZS1110" s="75"/>
      <c r="ZT1110" s="75"/>
      <c r="ZU1110" s="75"/>
      <c r="ZV1110" s="75"/>
      <c r="ZW1110" s="75"/>
      <c r="ZX1110" s="75"/>
      <c r="ZY1110" s="75"/>
      <c r="ZZ1110" s="75"/>
      <c r="AAA1110" s="75"/>
      <c r="AAB1110" s="75"/>
      <c r="AAC1110" s="75"/>
      <c r="AAD1110" s="75"/>
      <c r="AAE1110" s="75"/>
      <c r="AAF1110" s="75"/>
      <c r="AAG1110" s="75"/>
      <c r="AAH1110" s="75"/>
      <c r="AAI1110" s="75"/>
      <c r="AAJ1110" s="75"/>
      <c r="AAK1110" s="75"/>
      <c r="AAL1110" s="75"/>
      <c r="AAM1110" s="75"/>
      <c r="AAN1110" s="75"/>
      <c r="AAO1110" s="75"/>
      <c r="AAP1110" s="75"/>
      <c r="AAQ1110" s="75"/>
      <c r="AAR1110" s="75"/>
      <c r="AAS1110" s="75"/>
      <c r="AAT1110" s="75"/>
      <c r="AAU1110" s="75"/>
      <c r="AAV1110" s="75"/>
      <c r="AAW1110" s="75"/>
      <c r="AAX1110" s="75"/>
      <c r="AAY1110" s="75"/>
      <c r="AAZ1110" s="75"/>
      <c r="ABA1110" s="75"/>
      <c r="ABB1110" s="75"/>
      <c r="ABC1110" s="75"/>
      <c r="ABD1110" s="75"/>
      <c r="ABE1110" s="75"/>
      <c r="ABF1110" s="75"/>
      <c r="ABG1110" s="75"/>
      <c r="ABH1110" s="75"/>
      <c r="ABI1110" s="75"/>
      <c r="ABJ1110" s="75"/>
      <c r="ABK1110" s="75"/>
      <c r="ABL1110" s="75"/>
      <c r="ABM1110" s="75"/>
      <c r="ABN1110" s="75"/>
      <c r="ABO1110" s="75"/>
      <c r="ABP1110" s="75"/>
      <c r="ABQ1110" s="75"/>
      <c r="ABR1110" s="75"/>
      <c r="ABS1110" s="75"/>
      <c r="ABT1110" s="75"/>
      <c r="ABU1110" s="75"/>
      <c r="ABV1110" s="75"/>
      <c r="ABW1110" s="75"/>
      <c r="ABX1110" s="75"/>
      <c r="ABY1110" s="75"/>
      <c r="ABZ1110" s="75"/>
      <c r="ACA1110" s="75"/>
      <c r="ACB1110" s="75"/>
      <c r="ACC1110" s="75"/>
      <c r="ACD1110" s="75"/>
      <c r="ACE1110" s="75"/>
      <c r="ACF1110" s="75"/>
      <c r="ACG1110" s="75"/>
      <c r="ACH1110" s="75"/>
      <c r="ACI1110" s="75"/>
      <c r="ACJ1110" s="75"/>
      <c r="ACK1110" s="75"/>
      <c r="ACL1110" s="75"/>
      <c r="ACM1110" s="75"/>
      <c r="ACN1110" s="75"/>
      <c r="ACO1110" s="75"/>
      <c r="ACP1110" s="75"/>
      <c r="ACQ1110" s="75"/>
      <c r="ACR1110" s="75"/>
      <c r="ACS1110" s="75"/>
      <c r="ACT1110" s="75"/>
      <c r="ACU1110" s="75"/>
      <c r="ACV1110" s="75"/>
      <c r="ACW1110" s="75"/>
      <c r="ACX1110" s="75"/>
      <c r="ACY1110" s="75"/>
      <c r="ACZ1110" s="75"/>
      <c r="ADA1110" s="75"/>
      <c r="ADB1110" s="75"/>
      <c r="ADC1110" s="75"/>
      <c r="ADD1110" s="75"/>
      <c r="ADE1110" s="75"/>
      <c r="ADF1110" s="75"/>
      <c r="ADG1110" s="75"/>
      <c r="ADH1110" s="75"/>
      <c r="ADI1110" s="75"/>
      <c r="ADJ1110" s="75"/>
      <c r="ADK1110" s="75"/>
      <c r="ADL1110" s="75"/>
      <c r="ADM1110" s="75"/>
      <c r="ADN1110" s="75"/>
      <c r="ADO1110" s="75"/>
      <c r="ADP1110" s="75"/>
      <c r="ADQ1110" s="75"/>
      <c r="ADR1110" s="75"/>
      <c r="ADS1110" s="75"/>
      <c r="ADT1110" s="75"/>
      <c r="ADU1110" s="75"/>
      <c r="ADV1110" s="75"/>
      <c r="ADW1110" s="75"/>
      <c r="ADX1110" s="75"/>
      <c r="ADY1110" s="75"/>
      <c r="ADZ1110" s="75"/>
      <c r="AEA1110" s="75"/>
      <c r="AEB1110" s="75"/>
      <c r="AEC1110" s="75"/>
      <c r="AED1110" s="75"/>
      <c r="AEE1110" s="75"/>
      <c r="AEF1110" s="75"/>
      <c r="AEG1110" s="75"/>
      <c r="AEH1110" s="75"/>
      <c r="AEI1110" s="75"/>
      <c r="AEJ1110" s="75"/>
      <c r="AEK1110" s="75"/>
      <c r="AEL1110" s="75"/>
      <c r="AEM1110" s="75"/>
      <c r="AEN1110" s="75"/>
      <c r="AEO1110" s="75"/>
      <c r="AEP1110" s="75"/>
      <c r="AEQ1110" s="75"/>
      <c r="AER1110" s="75"/>
      <c r="AES1110" s="75"/>
      <c r="AET1110" s="75"/>
      <c r="AEU1110" s="75"/>
      <c r="AEV1110" s="75"/>
      <c r="AEW1110" s="75"/>
      <c r="AEX1110" s="75"/>
      <c r="AEY1110" s="75"/>
      <c r="AEZ1110" s="75"/>
      <c r="AFA1110" s="75"/>
      <c r="AFB1110" s="75"/>
      <c r="AFC1110" s="75"/>
      <c r="AFD1110" s="75"/>
      <c r="AFE1110" s="75"/>
      <c r="AFF1110" s="75"/>
      <c r="AFG1110" s="75"/>
      <c r="AFH1110" s="75"/>
      <c r="AFI1110" s="75"/>
      <c r="AFJ1110" s="75"/>
      <c r="AFK1110" s="75"/>
      <c r="AFL1110" s="75"/>
      <c r="AFM1110" s="75"/>
      <c r="AFN1110" s="75"/>
      <c r="AFO1110" s="75"/>
      <c r="AFP1110" s="75"/>
      <c r="AFQ1110" s="75"/>
      <c r="AFR1110" s="75"/>
      <c r="AFS1110" s="75"/>
      <c r="AFT1110" s="75"/>
      <c r="AFU1110" s="75"/>
      <c r="AFV1110" s="75"/>
      <c r="AFW1110" s="75"/>
      <c r="AFX1110" s="75"/>
      <c r="AFY1110" s="75"/>
      <c r="AFZ1110" s="75"/>
      <c r="AGA1110" s="75"/>
      <c r="AGB1110" s="75"/>
      <c r="AGC1110" s="75"/>
      <c r="AGD1110" s="75"/>
      <c r="AGE1110" s="75"/>
      <c r="AGF1110" s="75"/>
      <c r="AGG1110" s="75"/>
      <c r="AGH1110" s="75"/>
      <c r="AGI1110" s="75"/>
      <c r="AGJ1110" s="75"/>
      <c r="AGK1110" s="75"/>
      <c r="AGL1110" s="75"/>
      <c r="AGM1110" s="75"/>
      <c r="AGN1110" s="75"/>
      <c r="AGO1110" s="75"/>
      <c r="AGP1110" s="75"/>
      <c r="AGQ1110" s="75"/>
      <c r="AGR1110" s="75"/>
      <c r="AGS1110" s="75"/>
      <c r="AGT1110" s="75"/>
      <c r="AGU1110" s="75"/>
      <c r="AGV1110" s="75"/>
      <c r="AGW1110" s="75"/>
      <c r="AGX1110" s="75"/>
      <c r="AGY1110" s="75"/>
      <c r="AGZ1110" s="75"/>
      <c r="AHA1110" s="75"/>
      <c r="AHB1110" s="75"/>
      <c r="AHC1110" s="75"/>
      <c r="AHD1110" s="75"/>
      <c r="AHE1110" s="75"/>
      <c r="AHF1110" s="75"/>
      <c r="AHG1110" s="75"/>
      <c r="AHH1110" s="75"/>
      <c r="AHI1110" s="75"/>
      <c r="AHJ1110" s="75"/>
      <c r="AHK1110" s="75"/>
      <c r="AHL1110" s="75"/>
      <c r="AHM1110" s="75"/>
      <c r="AHN1110" s="75"/>
      <c r="AHO1110" s="75"/>
      <c r="AHP1110" s="75"/>
      <c r="AHQ1110" s="75"/>
      <c r="AHR1110" s="75"/>
      <c r="AHS1110" s="75"/>
      <c r="AHT1110" s="75"/>
      <c r="AHU1110" s="75"/>
      <c r="AHV1110" s="75"/>
      <c r="AHW1110" s="75"/>
      <c r="AHX1110" s="75"/>
      <c r="AHY1110" s="75"/>
      <c r="AHZ1110" s="75"/>
      <c r="AIA1110" s="75"/>
      <c r="AIB1110" s="75"/>
      <c r="AIC1110" s="75"/>
      <c r="AID1110" s="75"/>
      <c r="AIE1110" s="75"/>
      <c r="AIF1110" s="75"/>
      <c r="AIG1110" s="75"/>
      <c r="AIH1110" s="75"/>
      <c r="AII1110" s="75"/>
      <c r="AIJ1110" s="75"/>
      <c r="AIK1110" s="75"/>
      <c r="AIL1110" s="75"/>
      <c r="AIM1110" s="75"/>
      <c r="AIN1110" s="75"/>
      <c r="AIO1110" s="75"/>
      <c r="AIP1110" s="75"/>
      <c r="AIQ1110" s="75"/>
      <c r="AIR1110" s="75"/>
      <c r="AIS1110" s="75"/>
      <c r="AIT1110" s="75"/>
      <c r="AIU1110" s="75"/>
      <c r="AIV1110" s="75"/>
      <c r="AIW1110" s="75"/>
      <c r="AIX1110" s="75"/>
      <c r="AIY1110" s="75"/>
      <c r="AIZ1110" s="75"/>
      <c r="AJA1110" s="75"/>
      <c r="AJB1110" s="75"/>
      <c r="AJC1110" s="75"/>
      <c r="AJD1110" s="75"/>
      <c r="AJE1110" s="75"/>
      <c r="AJF1110" s="75"/>
      <c r="AJG1110" s="75"/>
      <c r="AJH1110" s="75"/>
      <c r="AJI1110" s="75"/>
      <c r="AJJ1110" s="75"/>
      <c r="AJK1110" s="75"/>
      <c r="AJL1110" s="75"/>
      <c r="AJM1110" s="75"/>
      <c r="AJN1110" s="75"/>
      <c r="AJO1110" s="75"/>
      <c r="AJP1110" s="75"/>
      <c r="AJQ1110" s="75"/>
      <c r="AJR1110" s="75"/>
      <c r="AJS1110" s="75"/>
      <c r="AJT1110" s="75"/>
      <c r="AJU1110" s="75"/>
      <c r="AJV1110" s="75"/>
      <c r="AJW1110" s="75"/>
      <c r="AJX1110" s="75"/>
      <c r="AJY1110" s="75"/>
      <c r="AJZ1110" s="75"/>
      <c r="AKA1110" s="75"/>
      <c r="AKB1110" s="75"/>
      <c r="AKC1110" s="75"/>
      <c r="AKD1110" s="75"/>
      <c r="AKE1110" s="75"/>
      <c r="AKF1110" s="75"/>
      <c r="AKG1110" s="75"/>
      <c r="AKH1110" s="75"/>
      <c r="AKI1110" s="75"/>
      <c r="AKJ1110" s="75"/>
      <c r="AKK1110" s="75"/>
      <c r="AKL1110" s="75"/>
      <c r="AKM1110" s="75"/>
      <c r="AKN1110" s="75"/>
      <c r="AKO1110" s="75"/>
      <c r="AKP1110" s="75"/>
      <c r="AKQ1110" s="75"/>
      <c r="AKR1110" s="75"/>
      <c r="AKS1110" s="75"/>
      <c r="AKT1110" s="75"/>
      <c r="AKU1110" s="75"/>
      <c r="AKV1110" s="75"/>
      <c r="AKW1110" s="75"/>
      <c r="AKX1110" s="75"/>
      <c r="AKY1110" s="75"/>
      <c r="AKZ1110" s="75"/>
      <c r="ALA1110" s="75"/>
      <c r="ALB1110" s="75"/>
      <c r="ALC1110" s="75"/>
      <c r="ALD1110" s="75"/>
      <c r="ALE1110" s="75"/>
      <c r="ALF1110" s="75"/>
      <c r="ALG1110" s="75"/>
      <c r="ALH1110" s="75"/>
      <c r="ALI1110" s="75"/>
      <c r="ALJ1110" s="75"/>
      <c r="ALK1110" s="75"/>
      <c r="ALL1110" s="75"/>
      <c r="ALM1110" s="75"/>
      <c r="ALN1110" s="75"/>
      <c r="ALO1110" s="75"/>
    </row>
    <row r="1111" spans="1:1003" ht="14.55" customHeight="1" outlineLevel="1" x14ac:dyDescent="0.25">
      <c r="A1111" s="230" t="s">
        <v>1422</v>
      </c>
      <c r="B1111" s="343" t="str">
        <f>"26.1199"</f>
        <v>26.1199</v>
      </c>
      <c r="C1111" s="75" t="s">
        <v>3340</v>
      </c>
      <c r="D1111" s="127" t="s">
        <v>3341</v>
      </c>
      <c r="E1111" s="232"/>
    </row>
    <row r="1112" spans="1:1003" ht="14.55" customHeight="1" outlineLevel="1" x14ac:dyDescent="0.25">
      <c r="A1112" s="230" t="s">
        <v>1422</v>
      </c>
      <c r="B1112" s="343" t="str">
        <f>"26.12"</f>
        <v>26.12</v>
      </c>
      <c r="C1112" s="75" t="s">
        <v>3342</v>
      </c>
      <c r="D1112" s="127" t="s">
        <v>3343</v>
      </c>
      <c r="E1112" s="232"/>
    </row>
    <row r="1113" spans="1:1003" ht="14.55" customHeight="1" outlineLevel="1" x14ac:dyDescent="0.25">
      <c r="A1113" s="230" t="s">
        <v>1422</v>
      </c>
      <c r="B1113" s="343" t="str">
        <f>"26.1201"</f>
        <v>26.1201</v>
      </c>
      <c r="C1113" s="75" t="s">
        <v>3342</v>
      </c>
      <c r="D1113" s="127" t="s">
        <v>3344</v>
      </c>
      <c r="E1113" s="232"/>
    </row>
    <row r="1114" spans="1:1003" ht="14.55" customHeight="1" outlineLevel="1" x14ac:dyDescent="0.25">
      <c r="A1114" s="230" t="s">
        <v>1422</v>
      </c>
      <c r="B1114" s="343" t="str">
        <f>"26.13"</f>
        <v>26.13</v>
      </c>
      <c r="C1114" s="75" t="s">
        <v>3345</v>
      </c>
      <c r="D1114" s="127" t="s">
        <v>3346</v>
      </c>
      <c r="E1114" s="232"/>
    </row>
    <row r="1115" spans="1:1003" ht="14.55" customHeight="1" outlineLevel="1" x14ac:dyDescent="0.25">
      <c r="A1115" s="230" t="s">
        <v>1422</v>
      </c>
      <c r="B1115" s="343" t="str">
        <f>"26.1301"</f>
        <v>26.1301</v>
      </c>
      <c r="C1115" s="75" t="s">
        <v>3347</v>
      </c>
      <c r="D1115" s="127" t="s">
        <v>3348</v>
      </c>
      <c r="E1115" s="232"/>
    </row>
    <row r="1116" spans="1:1003" ht="14.55" customHeight="1" outlineLevel="1" x14ac:dyDescent="0.25">
      <c r="A1116" s="230" t="s">
        <v>1422</v>
      </c>
      <c r="B1116" s="343" t="str">
        <f>"26.1302"</f>
        <v>26.1302</v>
      </c>
      <c r="C1116" s="75" t="s">
        <v>3349</v>
      </c>
      <c r="D1116" s="127" t="s">
        <v>13458</v>
      </c>
      <c r="E1116" s="232"/>
    </row>
    <row r="1117" spans="1:1003" ht="14.55" customHeight="1" outlineLevel="1" x14ac:dyDescent="0.25">
      <c r="A1117" s="230" t="s">
        <v>1422</v>
      </c>
      <c r="B1117" s="343" t="str">
        <f>"26.1303"</f>
        <v>26.1303</v>
      </c>
      <c r="C1117" s="75" t="s">
        <v>3350</v>
      </c>
      <c r="D1117" s="127" t="s">
        <v>3351</v>
      </c>
      <c r="E1117" s="232"/>
    </row>
    <row r="1118" spans="1:1003" ht="14.55" customHeight="1" outlineLevel="1" x14ac:dyDescent="0.25">
      <c r="A1118" s="230" t="s">
        <v>1422</v>
      </c>
      <c r="B1118" s="343" t="str">
        <f>"26.1304"</f>
        <v>26.1304</v>
      </c>
      <c r="C1118" s="75" t="s">
        <v>3352</v>
      </c>
      <c r="D1118" s="127" t="s">
        <v>3353</v>
      </c>
      <c r="E1118" s="232"/>
    </row>
    <row r="1119" spans="1:1003" ht="14.55" customHeight="1" outlineLevel="1" x14ac:dyDescent="0.25">
      <c r="A1119" s="230" t="s">
        <v>1422</v>
      </c>
      <c r="B1119" s="343" t="str">
        <f>"26.1305"</f>
        <v>26.1305</v>
      </c>
      <c r="C1119" s="75" t="s">
        <v>3354</v>
      </c>
      <c r="D1119" s="127" t="s">
        <v>3355</v>
      </c>
      <c r="E1119" s="232"/>
    </row>
    <row r="1120" spans="1:1003" ht="14.55" customHeight="1" outlineLevel="1" x14ac:dyDescent="0.25">
      <c r="A1120" s="230" t="s">
        <v>1422</v>
      </c>
      <c r="B1120" s="343" t="str">
        <f>"26.1306"</f>
        <v>26.1306</v>
      </c>
      <c r="C1120" s="75" t="s">
        <v>3356</v>
      </c>
      <c r="D1120" s="127" t="s">
        <v>3357</v>
      </c>
      <c r="E1120" s="232"/>
    </row>
    <row r="1121" spans="1:5" ht="14.55" customHeight="1" outlineLevel="1" x14ac:dyDescent="0.25">
      <c r="A1121" s="230" t="s">
        <v>1422</v>
      </c>
      <c r="B1121" s="343" t="str">
        <f>"26.1307"</f>
        <v>26.1307</v>
      </c>
      <c r="C1121" s="75" t="s">
        <v>3358</v>
      </c>
      <c r="D1121" s="127" t="s">
        <v>3359</v>
      </c>
      <c r="E1121" s="232"/>
    </row>
    <row r="1122" spans="1:5" ht="14.55" customHeight="1" outlineLevel="1" x14ac:dyDescent="0.25">
      <c r="A1122" s="230" t="s">
        <v>1422</v>
      </c>
      <c r="B1122" s="343" t="str">
        <f>"26.1308"</f>
        <v>26.1308</v>
      </c>
      <c r="C1122" s="75" t="s">
        <v>3360</v>
      </c>
      <c r="D1122" s="127" t="s">
        <v>3361</v>
      </c>
      <c r="E1122" s="232"/>
    </row>
    <row r="1123" spans="1:5" ht="14.55" customHeight="1" outlineLevel="1" x14ac:dyDescent="0.25">
      <c r="A1123" s="230" t="s">
        <v>1422</v>
      </c>
      <c r="B1123" s="343" t="str">
        <f>"26.1309"</f>
        <v>26.1309</v>
      </c>
      <c r="C1123" s="75" t="s">
        <v>3362</v>
      </c>
      <c r="D1123" s="127" t="s">
        <v>3363</v>
      </c>
      <c r="E1123" s="232"/>
    </row>
    <row r="1124" spans="1:5" ht="14.55" customHeight="1" outlineLevel="1" x14ac:dyDescent="0.25">
      <c r="A1124" s="230" t="s">
        <v>1422</v>
      </c>
      <c r="B1124" s="343" t="str">
        <f>"26.1310"</f>
        <v>26.1310</v>
      </c>
      <c r="C1124" s="75" t="s">
        <v>3364</v>
      </c>
      <c r="D1124" s="127" t="s">
        <v>3365</v>
      </c>
      <c r="E1124" s="232"/>
    </row>
    <row r="1125" spans="1:5" ht="14.55" customHeight="1" outlineLevel="1" x14ac:dyDescent="0.25">
      <c r="A1125" s="230" t="s">
        <v>1422</v>
      </c>
      <c r="B1125" s="343" t="str">
        <f>"26.1311"</f>
        <v>26.1311</v>
      </c>
      <c r="C1125" s="75" t="s">
        <v>3366</v>
      </c>
      <c r="D1125" s="127" t="s">
        <v>3367</v>
      </c>
      <c r="E1125" s="232"/>
    </row>
    <row r="1126" spans="1:5" ht="14.55" customHeight="1" outlineLevel="1" x14ac:dyDescent="0.25">
      <c r="A1126" s="230" t="s">
        <v>1422</v>
      </c>
      <c r="B1126" s="343" t="str">
        <f>"26.1399"</f>
        <v>26.1399</v>
      </c>
      <c r="C1126" s="75" t="s">
        <v>3368</v>
      </c>
      <c r="D1126" s="127" t="s">
        <v>3369</v>
      </c>
      <c r="E1126" s="232"/>
    </row>
    <row r="1127" spans="1:5" ht="14.55" customHeight="1" outlineLevel="1" x14ac:dyDescent="0.25">
      <c r="A1127" s="230" t="s">
        <v>1422</v>
      </c>
      <c r="B1127" s="343" t="str">
        <f>"26.14"</f>
        <v>26.14</v>
      </c>
      <c r="C1127" s="75" t="s">
        <v>3370</v>
      </c>
      <c r="D1127" s="127" t="s">
        <v>3371</v>
      </c>
      <c r="E1127" s="232"/>
    </row>
    <row r="1128" spans="1:5" ht="14.55" customHeight="1" outlineLevel="1" x14ac:dyDescent="0.25">
      <c r="A1128" s="230" t="s">
        <v>1422</v>
      </c>
      <c r="B1128" s="343" t="str">
        <f>"26.1401"</f>
        <v>26.1401</v>
      </c>
      <c r="C1128" s="75" t="s">
        <v>3370</v>
      </c>
      <c r="D1128" s="127" t="s">
        <v>3372</v>
      </c>
      <c r="E1128" s="232"/>
    </row>
    <row r="1129" spans="1:5" ht="14.55" customHeight="1" outlineLevel="1" x14ac:dyDescent="0.25">
      <c r="A1129" s="230" t="s">
        <v>1422</v>
      </c>
      <c r="B1129" s="343" t="str">
        <f>"26.15"</f>
        <v>26.15</v>
      </c>
      <c r="C1129" s="75" t="s">
        <v>3373</v>
      </c>
      <c r="D1129" s="127" t="s">
        <v>3374</v>
      </c>
      <c r="E1129" s="232"/>
    </row>
    <row r="1130" spans="1:5" ht="14.55" customHeight="1" outlineLevel="1" x14ac:dyDescent="0.25">
      <c r="A1130" s="230" t="s">
        <v>1422</v>
      </c>
      <c r="B1130" s="343" t="str">
        <f>"26.1501"</f>
        <v>26.1501</v>
      </c>
      <c r="C1130" s="75" t="s">
        <v>3375</v>
      </c>
      <c r="D1130" s="127" t="s">
        <v>3376</v>
      </c>
      <c r="E1130" s="232"/>
    </row>
    <row r="1131" spans="1:5" ht="14.55" customHeight="1" outlineLevel="1" x14ac:dyDescent="0.25">
      <c r="A1131" s="230" t="s">
        <v>1422</v>
      </c>
      <c r="B1131" s="343" t="str">
        <f>"26.1502"</f>
        <v>26.1502</v>
      </c>
      <c r="C1131" s="75" t="s">
        <v>3377</v>
      </c>
      <c r="D1131" s="127" t="s">
        <v>3378</v>
      </c>
      <c r="E1131" s="232"/>
    </row>
    <row r="1132" spans="1:5" ht="14.55" customHeight="1" outlineLevel="1" x14ac:dyDescent="0.25">
      <c r="A1132" s="230" t="s">
        <v>1422</v>
      </c>
      <c r="B1132" s="343" t="str">
        <f>"26.1503"</f>
        <v>26.1503</v>
      </c>
      <c r="C1132" s="75" t="s">
        <v>3379</v>
      </c>
      <c r="D1132" s="127" t="s">
        <v>3380</v>
      </c>
      <c r="E1132" s="232"/>
    </row>
    <row r="1133" spans="1:5" ht="14.55" customHeight="1" outlineLevel="1" x14ac:dyDescent="0.25">
      <c r="A1133" s="230" t="s">
        <v>1422</v>
      </c>
      <c r="B1133" s="343" t="str">
        <f>"26.1504"</f>
        <v>26.1504</v>
      </c>
      <c r="C1133" s="75" t="s">
        <v>3381</v>
      </c>
      <c r="D1133" s="127" t="s">
        <v>3382</v>
      </c>
      <c r="E1133" s="232"/>
    </row>
    <row r="1134" spans="1:5" ht="14.55" customHeight="1" outlineLevel="1" x14ac:dyDescent="0.25">
      <c r="A1134" s="230" t="s">
        <v>1422</v>
      </c>
      <c r="B1134" s="343" t="str">
        <f>"26.1599"</f>
        <v>26.1599</v>
      </c>
      <c r="C1134" s="75" t="s">
        <v>3383</v>
      </c>
      <c r="D1134" s="127" t="s">
        <v>3384</v>
      </c>
      <c r="E1134" s="232"/>
    </row>
    <row r="1135" spans="1:5" ht="14.55" customHeight="1" outlineLevel="1" x14ac:dyDescent="0.25">
      <c r="A1135" s="230" t="s">
        <v>1422</v>
      </c>
      <c r="B1135" s="343" t="str">
        <f>"26.99"</f>
        <v>26.99</v>
      </c>
      <c r="C1135" s="75" t="s">
        <v>3385</v>
      </c>
      <c r="D1135" s="127" t="s">
        <v>3386</v>
      </c>
      <c r="E1135" s="232"/>
    </row>
    <row r="1136" spans="1:5" ht="14.55" customHeight="1" outlineLevel="1" x14ac:dyDescent="0.25">
      <c r="A1136" s="230" t="s">
        <v>1422</v>
      </c>
      <c r="B1136" s="343" t="str">
        <f>"26.9999"</f>
        <v>26.9999</v>
      </c>
      <c r="C1136" s="75" t="s">
        <v>3385</v>
      </c>
      <c r="D1136" s="127" t="s">
        <v>3387</v>
      </c>
      <c r="E1136" s="232"/>
    </row>
    <row r="1137" spans="1:5" ht="14.55" customHeight="1" outlineLevel="1" x14ac:dyDescent="0.25">
      <c r="A1137" s="230" t="s">
        <v>1422</v>
      </c>
      <c r="B1137" s="343" t="str">
        <f>"27"</f>
        <v>27</v>
      </c>
      <c r="C1137" s="75" t="s">
        <v>3388</v>
      </c>
      <c r="D1137" s="127" t="s">
        <v>3389</v>
      </c>
      <c r="E1137" s="232"/>
    </row>
    <row r="1138" spans="1:5" ht="14.55" customHeight="1" outlineLevel="1" x14ac:dyDescent="0.25">
      <c r="A1138" s="230" t="s">
        <v>1422</v>
      </c>
      <c r="B1138" s="343" t="str">
        <f>"27.01"</f>
        <v>27.01</v>
      </c>
      <c r="C1138" s="75" t="s">
        <v>3390</v>
      </c>
      <c r="D1138" s="127" t="s">
        <v>3391</v>
      </c>
      <c r="E1138" s="232"/>
    </row>
    <row r="1139" spans="1:5" ht="14.55" customHeight="1" outlineLevel="1" x14ac:dyDescent="0.25">
      <c r="A1139" s="230" t="s">
        <v>1422</v>
      </c>
      <c r="B1139" s="343" t="str">
        <f>"27.0101"</f>
        <v>27.0101</v>
      </c>
      <c r="C1139" s="75" t="s">
        <v>3392</v>
      </c>
      <c r="D1139" s="127" t="s">
        <v>3393</v>
      </c>
      <c r="E1139" s="232"/>
    </row>
    <row r="1140" spans="1:5" ht="14.55" customHeight="1" outlineLevel="1" x14ac:dyDescent="0.25">
      <c r="A1140" s="230" t="s">
        <v>1422</v>
      </c>
      <c r="B1140" s="343" t="str">
        <f>"27.0102"</f>
        <v>27.0102</v>
      </c>
      <c r="C1140" s="75" t="s">
        <v>3394</v>
      </c>
      <c r="D1140" s="127" t="s">
        <v>3395</v>
      </c>
      <c r="E1140" s="232"/>
    </row>
    <row r="1141" spans="1:5" ht="14.55" customHeight="1" outlineLevel="1" x14ac:dyDescent="0.25">
      <c r="A1141" s="230" t="s">
        <v>1422</v>
      </c>
      <c r="B1141" s="343" t="str">
        <f>"27.0103"</f>
        <v>27.0103</v>
      </c>
      <c r="C1141" s="75" t="s">
        <v>3396</v>
      </c>
      <c r="D1141" s="127" t="s">
        <v>3397</v>
      </c>
      <c r="E1141" s="232"/>
    </row>
    <row r="1142" spans="1:5" ht="14.55" customHeight="1" outlineLevel="1" x14ac:dyDescent="0.25">
      <c r="A1142" s="230" t="s">
        <v>1422</v>
      </c>
      <c r="B1142" s="343" t="str">
        <f>"27.0104"</f>
        <v>27.0104</v>
      </c>
      <c r="C1142" s="75" t="s">
        <v>3398</v>
      </c>
      <c r="D1142" s="127" t="s">
        <v>3399</v>
      </c>
      <c r="E1142" s="232"/>
    </row>
    <row r="1143" spans="1:5" ht="14.55" customHeight="1" outlineLevel="1" x14ac:dyDescent="0.25">
      <c r="A1143" s="230" t="s">
        <v>1422</v>
      </c>
      <c r="B1143" s="343" t="str">
        <f>"27.0105"</f>
        <v>27.0105</v>
      </c>
      <c r="C1143" s="75" t="s">
        <v>3400</v>
      </c>
      <c r="D1143" s="127" t="s">
        <v>3401</v>
      </c>
      <c r="E1143" s="232"/>
    </row>
    <row r="1144" spans="1:5" ht="14.55" customHeight="1" outlineLevel="1" x14ac:dyDescent="0.25">
      <c r="A1144" s="230" t="s">
        <v>1422</v>
      </c>
      <c r="B1144" s="343" t="str">
        <f>"27.0199"</f>
        <v>27.0199</v>
      </c>
      <c r="C1144" s="75" t="s">
        <v>3402</v>
      </c>
      <c r="D1144" s="127" t="s">
        <v>3403</v>
      </c>
      <c r="E1144" s="232"/>
    </row>
    <row r="1145" spans="1:5" ht="14.55" customHeight="1" outlineLevel="1" x14ac:dyDescent="0.25">
      <c r="A1145" s="230" t="s">
        <v>1422</v>
      </c>
      <c r="B1145" s="343" t="str">
        <f>"27.03"</f>
        <v>27.03</v>
      </c>
      <c r="C1145" s="75" t="s">
        <v>3404</v>
      </c>
      <c r="D1145" s="127" t="s">
        <v>3405</v>
      </c>
      <c r="E1145" s="232"/>
    </row>
    <row r="1146" spans="1:5" ht="14.55" customHeight="1" outlineLevel="1" x14ac:dyDescent="0.25">
      <c r="A1146" s="230" t="s">
        <v>1422</v>
      </c>
      <c r="B1146" s="343" t="str">
        <f>"27.0301"</f>
        <v>27.0301</v>
      </c>
      <c r="C1146" s="75" t="s">
        <v>3406</v>
      </c>
      <c r="D1146" s="127" t="s">
        <v>3407</v>
      </c>
      <c r="E1146" s="232"/>
    </row>
    <row r="1147" spans="1:5" ht="14.55" customHeight="1" outlineLevel="1" x14ac:dyDescent="0.25">
      <c r="A1147" s="230" t="s">
        <v>1422</v>
      </c>
      <c r="B1147" s="343" t="str">
        <f>"27.0303"</f>
        <v>27.0303</v>
      </c>
      <c r="C1147" s="75" t="s">
        <v>3408</v>
      </c>
      <c r="D1147" s="127" t="s">
        <v>3409</v>
      </c>
      <c r="E1147" s="232"/>
    </row>
    <row r="1148" spans="1:5" ht="14.55" customHeight="1" outlineLevel="1" x14ac:dyDescent="0.25">
      <c r="A1148" s="230" t="s">
        <v>1422</v>
      </c>
      <c r="B1148" s="343" t="str">
        <f>"27.0304"</f>
        <v>27.0304</v>
      </c>
      <c r="C1148" s="75" t="s">
        <v>3410</v>
      </c>
      <c r="D1148" s="127" t="s">
        <v>3411</v>
      </c>
      <c r="E1148" s="232"/>
    </row>
    <row r="1149" spans="1:5" ht="14.55" customHeight="1" outlineLevel="1" x14ac:dyDescent="0.25">
      <c r="A1149" s="230" t="s">
        <v>1422</v>
      </c>
      <c r="B1149" s="343" t="str">
        <f>"27.0305"</f>
        <v>27.0305</v>
      </c>
      <c r="C1149" s="75" t="s">
        <v>3412</v>
      </c>
      <c r="D1149" s="127" t="s">
        <v>3413</v>
      </c>
      <c r="E1149" s="232"/>
    </row>
    <row r="1150" spans="1:5" ht="14.55" customHeight="1" outlineLevel="1" x14ac:dyDescent="0.25">
      <c r="A1150" s="230" t="s">
        <v>1422</v>
      </c>
      <c r="B1150" s="343" t="str">
        <f>"27.0306"</f>
        <v>27.0306</v>
      </c>
      <c r="C1150" s="75" t="s">
        <v>3414</v>
      </c>
      <c r="D1150" s="127" t="s">
        <v>3415</v>
      </c>
      <c r="E1150" s="232"/>
    </row>
    <row r="1151" spans="1:5" ht="14.55" customHeight="1" outlineLevel="1" x14ac:dyDescent="0.25">
      <c r="A1151" s="230" t="s">
        <v>1422</v>
      </c>
      <c r="B1151" s="343" t="str">
        <f>"27.0399"</f>
        <v>27.0399</v>
      </c>
      <c r="C1151" s="75" t="s">
        <v>3416</v>
      </c>
      <c r="D1151" s="127" t="s">
        <v>3417</v>
      </c>
      <c r="E1151" s="232"/>
    </row>
    <row r="1152" spans="1:5" ht="14.55" customHeight="1" outlineLevel="1" x14ac:dyDescent="0.25">
      <c r="A1152" s="230" t="s">
        <v>1422</v>
      </c>
      <c r="B1152" s="343" t="str">
        <f>"27.05"</f>
        <v>27.05</v>
      </c>
      <c r="C1152" s="75" t="s">
        <v>3418</v>
      </c>
      <c r="D1152" s="127" t="s">
        <v>3419</v>
      </c>
      <c r="E1152" s="232"/>
    </row>
    <row r="1153" spans="1:5" ht="14.55" customHeight="1" outlineLevel="1" x14ac:dyDescent="0.25">
      <c r="A1153" s="230" t="s">
        <v>1422</v>
      </c>
      <c r="B1153" s="343" t="str">
        <f>"27.0501"</f>
        <v>27.0501</v>
      </c>
      <c r="C1153" s="75" t="s">
        <v>3420</v>
      </c>
      <c r="D1153" s="127" t="s">
        <v>3421</v>
      </c>
      <c r="E1153" s="232"/>
    </row>
    <row r="1154" spans="1:5" ht="14.55" customHeight="1" outlineLevel="1" x14ac:dyDescent="0.25">
      <c r="A1154" s="230" t="s">
        <v>1422</v>
      </c>
      <c r="B1154" s="343" t="str">
        <f>"27.0502"</f>
        <v>27.0502</v>
      </c>
      <c r="C1154" s="75" t="s">
        <v>3422</v>
      </c>
      <c r="D1154" s="127" t="s">
        <v>3423</v>
      </c>
      <c r="E1154" s="232"/>
    </row>
    <row r="1155" spans="1:5" ht="14.55" customHeight="1" outlineLevel="1" x14ac:dyDescent="0.25">
      <c r="A1155" s="230" t="s">
        <v>1422</v>
      </c>
      <c r="B1155" s="343" t="str">
        <f>"27.0503"</f>
        <v>27.0503</v>
      </c>
      <c r="C1155" s="75" t="s">
        <v>3424</v>
      </c>
      <c r="D1155" s="127" t="s">
        <v>3425</v>
      </c>
      <c r="E1155" s="232"/>
    </row>
    <row r="1156" spans="1:5" ht="14.55" customHeight="1" outlineLevel="1" x14ac:dyDescent="0.25">
      <c r="A1156" s="230" t="s">
        <v>1422</v>
      </c>
      <c r="B1156" s="343" t="str">
        <f>"27.0599"</f>
        <v>27.0599</v>
      </c>
      <c r="C1156" s="75" t="s">
        <v>3426</v>
      </c>
      <c r="D1156" s="127" t="s">
        <v>3427</v>
      </c>
      <c r="E1156" s="232"/>
    </row>
    <row r="1157" spans="1:5" ht="14.55" customHeight="1" outlineLevel="1" x14ac:dyDescent="0.25">
      <c r="A1157" s="230" t="s">
        <v>1422</v>
      </c>
      <c r="B1157" s="343" t="str">
        <f>"27.06"</f>
        <v>27.06</v>
      </c>
      <c r="C1157" s="75" t="s">
        <v>3428</v>
      </c>
      <c r="D1157" s="127" t="s">
        <v>3429</v>
      </c>
      <c r="E1157" s="232"/>
    </row>
    <row r="1158" spans="1:5" ht="14.55" customHeight="1" outlineLevel="1" x14ac:dyDescent="0.25">
      <c r="A1158" s="230" t="s">
        <v>1422</v>
      </c>
      <c r="B1158" s="343" t="str">
        <f>"27.0601"</f>
        <v>27.0601</v>
      </c>
      <c r="C1158" s="75" t="s">
        <v>3430</v>
      </c>
      <c r="D1158" s="127" t="s">
        <v>3431</v>
      </c>
      <c r="E1158" s="232"/>
    </row>
    <row r="1159" spans="1:5" ht="14.55" customHeight="1" outlineLevel="1" x14ac:dyDescent="0.25">
      <c r="A1159" s="230" t="s">
        <v>1422</v>
      </c>
      <c r="B1159" s="343" t="str">
        <f>"27.99"</f>
        <v>27.99</v>
      </c>
      <c r="C1159" s="75" t="s">
        <v>3432</v>
      </c>
      <c r="D1159" s="127" t="s">
        <v>3433</v>
      </c>
      <c r="E1159" s="232"/>
    </row>
    <row r="1160" spans="1:5" ht="14.55" customHeight="1" outlineLevel="1" x14ac:dyDescent="0.25">
      <c r="A1160" s="230" t="s">
        <v>1422</v>
      </c>
      <c r="B1160" s="343" t="str">
        <f>"27.9999"</f>
        <v>27.9999</v>
      </c>
      <c r="C1160" s="75" t="s">
        <v>3432</v>
      </c>
      <c r="D1160" s="127" t="s">
        <v>3434</v>
      </c>
      <c r="E1160" s="232"/>
    </row>
    <row r="1161" spans="1:5" ht="14.55" customHeight="1" outlineLevel="1" x14ac:dyDescent="0.25">
      <c r="A1161" s="230" t="s">
        <v>1422</v>
      </c>
      <c r="B1161" s="343" t="str">
        <f>"28"</f>
        <v>28</v>
      </c>
      <c r="C1161" s="75" t="s">
        <v>3435</v>
      </c>
      <c r="D1161" s="127" t="s">
        <v>3436</v>
      </c>
      <c r="E1161" s="232"/>
    </row>
    <row r="1162" spans="1:5" ht="14.55" customHeight="1" outlineLevel="1" x14ac:dyDescent="0.25">
      <c r="A1162" s="230" t="s">
        <v>1422</v>
      </c>
      <c r="B1162" s="343" t="str">
        <f>"28.01"</f>
        <v>28.01</v>
      </c>
      <c r="C1162" s="75" t="s">
        <v>3437</v>
      </c>
      <c r="D1162" s="127" t="s">
        <v>3438</v>
      </c>
      <c r="E1162" s="232"/>
    </row>
    <row r="1163" spans="1:5" ht="14.55" customHeight="1" outlineLevel="1" x14ac:dyDescent="0.25">
      <c r="A1163" s="230" t="s">
        <v>1422</v>
      </c>
      <c r="B1163" s="343" t="str">
        <f>"28.0101"</f>
        <v>28.0101</v>
      </c>
      <c r="C1163" s="75" t="s">
        <v>3439</v>
      </c>
      <c r="D1163" s="127" t="s">
        <v>3440</v>
      </c>
      <c r="E1163" s="232"/>
    </row>
    <row r="1164" spans="1:5" ht="14.55" customHeight="1" outlineLevel="1" x14ac:dyDescent="0.25">
      <c r="A1164" s="230" t="s">
        <v>1422</v>
      </c>
      <c r="B1164" s="343" t="str">
        <f>"28.0199"</f>
        <v>28.0199</v>
      </c>
      <c r="C1164" s="75" t="s">
        <v>3441</v>
      </c>
      <c r="D1164" s="127" t="s">
        <v>3442</v>
      </c>
      <c r="E1164" s="232"/>
    </row>
    <row r="1165" spans="1:5" ht="14.55" customHeight="1" outlineLevel="1" x14ac:dyDescent="0.25">
      <c r="A1165" s="230" t="s">
        <v>1422</v>
      </c>
      <c r="B1165" s="343" t="str">
        <f>"28.03"</f>
        <v>28.03</v>
      </c>
      <c r="C1165" s="75" t="s">
        <v>3443</v>
      </c>
      <c r="D1165" s="127" t="s">
        <v>3444</v>
      </c>
      <c r="E1165" s="232"/>
    </row>
    <row r="1166" spans="1:5" ht="14.55" customHeight="1" outlineLevel="1" x14ac:dyDescent="0.25">
      <c r="A1166" s="230" t="s">
        <v>1422</v>
      </c>
      <c r="B1166" s="343" t="str">
        <f>"28.0301"</f>
        <v>28.0301</v>
      </c>
      <c r="C1166" s="75" t="s">
        <v>3445</v>
      </c>
      <c r="D1166" s="127" t="s">
        <v>3446</v>
      </c>
      <c r="E1166" s="232"/>
    </row>
    <row r="1167" spans="1:5" ht="14.55" customHeight="1" outlineLevel="1" x14ac:dyDescent="0.25">
      <c r="A1167" s="230" t="s">
        <v>1422</v>
      </c>
      <c r="B1167" s="343" t="str">
        <f>"28.0399"</f>
        <v>28.0399</v>
      </c>
      <c r="C1167" s="75" t="s">
        <v>3447</v>
      </c>
      <c r="D1167" s="127" t="s">
        <v>3448</v>
      </c>
      <c r="E1167" s="232"/>
    </row>
    <row r="1168" spans="1:5" ht="14.55" customHeight="1" outlineLevel="1" x14ac:dyDescent="0.25">
      <c r="A1168" s="230" t="s">
        <v>1422</v>
      </c>
      <c r="B1168" s="343" t="str">
        <f>"28.04"</f>
        <v>28.04</v>
      </c>
      <c r="C1168" s="75" t="s">
        <v>3449</v>
      </c>
      <c r="D1168" s="127" t="s">
        <v>3450</v>
      </c>
      <c r="E1168" s="232"/>
    </row>
    <row r="1169" spans="1:1003" ht="14.55" customHeight="1" outlineLevel="1" x14ac:dyDescent="0.25">
      <c r="A1169" s="230" t="s">
        <v>1422</v>
      </c>
      <c r="B1169" s="343" t="str">
        <f>"28.0401"</f>
        <v>28.0401</v>
      </c>
      <c r="C1169" s="75" t="s">
        <v>3451</v>
      </c>
      <c r="D1169" s="127" t="s">
        <v>3452</v>
      </c>
      <c r="E1169" s="232"/>
    </row>
    <row r="1170" spans="1:1003" ht="14.55" customHeight="1" outlineLevel="1" x14ac:dyDescent="0.25">
      <c r="A1170" s="230" t="s">
        <v>1422</v>
      </c>
      <c r="B1170" s="343" t="str">
        <f>"28.0499"</f>
        <v>28.0499</v>
      </c>
      <c r="C1170" s="75" t="s">
        <v>3453</v>
      </c>
      <c r="D1170" s="127" t="s">
        <v>3454</v>
      </c>
      <c r="E1170" s="232"/>
    </row>
    <row r="1171" spans="1:1003" ht="14.55" customHeight="1" outlineLevel="1" x14ac:dyDescent="0.25">
      <c r="A1171" s="230" t="s">
        <v>1422</v>
      </c>
      <c r="B1171" s="343" t="str">
        <f>"28.05"</f>
        <v>28.05</v>
      </c>
      <c r="C1171" s="75" t="s">
        <v>3455</v>
      </c>
      <c r="D1171" s="127" t="s">
        <v>3456</v>
      </c>
      <c r="E1171" s="232"/>
    </row>
    <row r="1172" spans="1:1003" ht="14.55" customHeight="1" outlineLevel="1" x14ac:dyDescent="0.25">
      <c r="A1172" s="230" t="s">
        <v>1422</v>
      </c>
      <c r="B1172" s="343" t="str">
        <f>"28.0501"</f>
        <v>28.0501</v>
      </c>
      <c r="C1172" s="75" t="s">
        <v>3457</v>
      </c>
      <c r="D1172" s="127" t="s">
        <v>3458</v>
      </c>
      <c r="E1172" s="232"/>
    </row>
    <row r="1173" spans="1:1003" ht="14.55" customHeight="1" outlineLevel="1" x14ac:dyDescent="0.25">
      <c r="A1173" s="230" t="s">
        <v>1422</v>
      </c>
      <c r="B1173" s="343" t="str">
        <f>"28.0502"</f>
        <v>28.0502</v>
      </c>
      <c r="C1173" s="75" t="s">
        <v>3459</v>
      </c>
      <c r="D1173" s="127" t="s">
        <v>3460</v>
      </c>
      <c r="E1173" s="232"/>
    </row>
    <row r="1174" spans="1:1003" ht="14.55" customHeight="1" outlineLevel="1" x14ac:dyDescent="0.25">
      <c r="A1174" s="230" t="s">
        <v>1422</v>
      </c>
      <c r="B1174" s="343" t="str">
        <f>"28.0503"</f>
        <v>28.0503</v>
      </c>
      <c r="C1174" s="75" t="s">
        <v>3461</v>
      </c>
      <c r="D1174" s="127" t="s">
        <v>3462</v>
      </c>
      <c r="E1174" s="232"/>
    </row>
    <row r="1175" spans="1:1003" ht="14.55" customHeight="1" outlineLevel="1" x14ac:dyDescent="0.25">
      <c r="A1175" s="230" t="s">
        <v>1422</v>
      </c>
      <c r="B1175" s="343" t="str">
        <f>"28.0504"</f>
        <v>28.0504</v>
      </c>
      <c r="C1175" s="75" t="s">
        <v>3463</v>
      </c>
      <c r="D1175" s="127" t="s">
        <v>3464</v>
      </c>
      <c r="E1175" s="232"/>
    </row>
    <row r="1176" spans="1:1003" ht="14.55" customHeight="1" outlineLevel="1" x14ac:dyDescent="0.25">
      <c r="A1176" s="230" t="s">
        <v>1422</v>
      </c>
      <c r="B1176" s="343" t="str">
        <f>"28.0505"</f>
        <v>28.0505</v>
      </c>
      <c r="C1176" s="75" t="s">
        <v>3465</v>
      </c>
      <c r="D1176" s="127" t="s">
        <v>3466</v>
      </c>
      <c r="E1176" s="232"/>
    </row>
    <row r="1177" spans="1:1003" ht="14.55" customHeight="1" outlineLevel="1" x14ac:dyDescent="0.25">
      <c r="A1177" s="230" t="s">
        <v>1422</v>
      </c>
      <c r="B1177" s="343" t="str">
        <f>"28.0506"</f>
        <v>28.0506</v>
      </c>
      <c r="C1177" s="75" t="s">
        <v>3467</v>
      </c>
      <c r="D1177" s="127" t="s">
        <v>3468</v>
      </c>
      <c r="E1177" s="232"/>
    </row>
    <row r="1178" spans="1:1003" ht="14.55" customHeight="1" outlineLevel="1" x14ac:dyDescent="0.25">
      <c r="A1178" s="230" t="s">
        <v>1422</v>
      </c>
      <c r="B1178" s="343" t="str">
        <f>"28.0599"</f>
        <v>28.0599</v>
      </c>
      <c r="C1178" s="75" t="s">
        <v>3469</v>
      </c>
      <c r="D1178" s="127" t="s">
        <v>3470</v>
      </c>
      <c r="E1178" s="232"/>
    </row>
    <row r="1179" spans="1:1003" s="238" customFormat="1" ht="14.55" customHeight="1" outlineLevel="1" x14ac:dyDescent="0.25">
      <c r="A1179" s="230" t="s">
        <v>1422</v>
      </c>
      <c r="B1179" s="343" t="str">
        <f>"28.06"</f>
        <v>28.06</v>
      </c>
      <c r="C1179" s="75" t="s">
        <v>3471</v>
      </c>
      <c r="D1179" s="127" t="s">
        <v>3472</v>
      </c>
      <c r="E1179" s="232"/>
      <c r="F1179" s="75"/>
      <c r="G1179" s="75"/>
      <c r="H1179" s="75"/>
      <c r="I1179" s="75"/>
      <c r="J1179" s="75"/>
      <c r="K1179" s="75"/>
      <c r="L1179" s="75"/>
      <c r="M1179" s="75"/>
      <c r="N1179" s="75"/>
      <c r="O1179" s="75"/>
      <c r="P1179" s="75"/>
      <c r="Q1179" s="75"/>
      <c r="R1179" s="75"/>
      <c r="S1179" s="75"/>
      <c r="T1179" s="75"/>
      <c r="U1179" s="75"/>
      <c r="V1179" s="75"/>
      <c r="W1179" s="75"/>
      <c r="X1179" s="75"/>
      <c r="Y1179" s="75"/>
      <c r="Z1179" s="75"/>
      <c r="AA1179" s="75"/>
      <c r="AB1179" s="75"/>
      <c r="AC1179" s="75"/>
      <c r="AD1179" s="75"/>
      <c r="AE1179" s="75"/>
      <c r="AF1179" s="75"/>
      <c r="AG1179" s="75"/>
      <c r="AH1179" s="75"/>
      <c r="AI1179" s="75"/>
      <c r="AJ1179" s="75"/>
      <c r="AK1179" s="75"/>
      <c r="AL1179" s="75"/>
      <c r="AM1179" s="75"/>
      <c r="AN1179" s="75"/>
      <c r="AO1179" s="75"/>
      <c r="AP1179" s="75"/>
      <c r="AQ1179" s="75"/>
      <c r="AR1179" s="75"/>
      <c r="AS1179" s="75"/>
      <c r="AT1179" s="75"/>
      <c r="AU1179" s="75"/>
      <c r="AV1179" s="75"/>
      <c r="AW1179" s="75"/>
      <c r="AX1179" s="75"/>
      <c r="AY1179" s="75"/>
      <c r="AZ1179" s="75"/>
      <c r="BA1179" s="75"/>
      <c r="BB1179" s="75"/>
      <c r="BC1179" s="75"/>
      <c r="BD1179" s="75"/>
      <c r="BE1179" s="75"/>
      <c r="BF1179" s="75"/>
      <c r="BG1179" s="75"/>
      <c r="BH1179" s="75"/>
      <c r="BI1179" s="75"/>
      <c r="BJ1179" s="75"/>
      <c r="BK1179" s="75"/>
      <c r="BL1179" s="75"/>
      <c r="BM1179" s="75"/>
      <c r="BN1179" s="75"/>
      <c r="BO1179" s="75"/>
      <c r="BP1179" s="75"/>
      <c r="BQ1179" s="75"/>
      <c r="BR1179" s="75"/>
      <c r="BS1179" s="75"/>
      <c r="BT1179" s="75"/>
      <c r="BU1179" s="75"/>
      <c r="BV1179" s="75"/>
      <c r="BW1179" s="75"/>
      <c r="BX1179" s="75"/>
      <c r="BY1179" s="75"/>
      <c r="BZ1179" s="75"/>
      <c r="CA1179" s="75"/>
      <c r="CB1179" s="75"/>
      <c r="CC1179" s="75"/>
      <c r="CD1179" s="75"/>
      <c r="CE1179" s="75"/>
      <c r="CF1179" s="75"/>
      <c r="CG1179" s="75"/>
      <c r="CH1179" s="75"/>
      <c r="CI1179" s="75"/>
      <c r="CJ1179" s="75"/>
      <c r="CK1179" s="75"/>
      <c r="CL1179" s="75"/>
      <c r="CM1179" s="75"/>
      <c r="CN1179" s="75"/>
      <c r="CO1179" s="75"/>
      <c r="CP1179" s="75"/>
      <c r="CQ1179" s="75"/>
      <c r="CR1179" s="75"/>
      <c r="CS1179" s="75"/>
      <c r="CT1179" s="75"/>
      <c r="CU1179" s="75"/>
      <c r="CV1179" s="75"/>
      <c r="CW1179" s="75"/>
      <c r="CX1179" s="75"/>
      <c r="CY1179" s="75"/>
      <c r="CZ1179" s="75"/>
      <c r="DA1179" s="75"/>
      <c r="DB1179" s="75"/>
      <c r="DC1179" s="75"/>
      <c r="DD1179" s="75"/>
      <c r="DE1179" s="75"/>
      <c r="DF1179" s="75"/>
      <c r="DG1179" s="75"/>
      <c r="DH1179" s="75"/>
      <c r="DI1179" s="75"/>
      <c r="DJ1179" s="75"/>
      <c r="DK1179" s="75"/>
      <c r="DL1179" s="75"/>
      <c r="DM1179" s="75"/>
      <c r="DN1179" s="75"/>
      <c r="DO1179" s="75"/>
      <c r="DP1179" s="75"/>
      <c r="DQ1179" s="75"/>
      <c r="DR1179" s="75"/>
      <c r="DS1179" s="75"/>
      <c r="DT1179" s="75"/>
      <c r="DU1179" s="75"/>
      <c r="DV1179" s="75"/>
      <c r="DW1179" s="75"/>
      <c r="DX1179" s="75"/>
      <c r="DY1179" s="75"/>
      <c r="DZ1179" s="75"/>
      <c r="EA1179" s="75"/>
      <c r="EB1179" s="75"/>
      <c r="EC1179" s="75"/>
      <c r="ED1179" s="75"/>
      <c r="EE1179" s="75"/>
      <c r="EF1179" s="75"/>
      <c r="EG1179" s="75"/>
      <c r="EH1179" s="75"/>
      <c r="EI1179" s="75"/>
      <c r="EJ1179" s="75"/>
      <c r="EK1179" s="75"/>
      <c r="EL1179" s="75"/>
      <c r="EM1179" s="75"/>
      <c r="EN1179" s="75"/>
      <c r="EO1179" s="75"/>
      <c r="EP1179" s="75"/>
      <c r="EQ1179" s="75"/>
      <c r="ER1179" s="75"/>
      <c r="ES1179" s="75"/>
      <c r="ET1179" s="75"/>
      <c r="EU1179" s="75"/>
      <c r="EV1179" s="75"/>
      <c r="EW1179" s="75"/>
      <c r="EX1179" s="75"/>
      <c r="EY1179" s="75"/>
      <c r="EZ1179" s="75"/>
      <c r="FA1179" s="75"/>
      <c r="FB1179" s="75"/>
      <c r="FC1179" s="75"/>
      <c r="FD1179" s="75"/>
      <c r="FE1179" s="75"/>
      <c r="FF1179" s="75"/>
      <c r="FG1179" s="75"/>
      <c r="FH1179" s="75"/>
      <c r="FI1179" s="75"/>
      <c r="FJ1179" s="75"/>
      <c r="FK1179" s="75"/>
      <c r="FL1179" s="75"/>
      <c r="FM1179" s="75"/>
      <c r="FN1179" s="75"/>
      <c r="FO1179" s="75"/>
      <c r="FP1179" s="75"/>
      <c r="FQ1179" s="75"/>
      <c r="FR1179" s="75"/>
      <c r="FS1179" s="75"/>
      <c r="FT1179" s="75"/>
      <c r="FU1179" s="75"/>
      <c r="FV1179" s="75"/>
      <c r="FW1179" s="75"/>
      <c r="FX1179" s="75"/>
      <c r="FY1179" s="75"/>
      <c r="FZ1179" s="75"/>
      <c r="GA1179" s="75"/>
      <c r="GB1179" s="75"/>
      <c r="GC1179" s="75"/>
      <c r="GD1179" s="75"/>
      <c r="GE1179" s="75"/>
      <c r="GF1179" s="75"/>
      <c r="GG1179" s="75"/>
      <c r="GH1179" s="75"/>
      <c r="GI1179" s="75"/>
      <c r="GJ1179" s="75"/>
      <c r="GK1179" s="75"/>
      <c r="GL1179" s="75"/>
      <c r="GM1179" s="75"/>
      <c r="GN1179" s="75"/>
      <c r="GO1179" s="75"/>
      <c r="GP1179" s="75"/>
      <c r="GQ1179" s="75"/>
      <c r="GR1179" s="75"/>
      <c r="GS1179" s="75"/>
      <c r="GT1179" s="75"/>
      <c r="GU1179" s="75"/>
      <c r="GV1179" s="75"/>
      <c r="GW1179" s="75"/>
      <c r="GX1179" s="75"/>
      <c r="GY1179" s="75"/>
      <c r="GZ1179" s="75"/>
      <c r="HA1179" s="75"/>
      <c r="HB1179" s="75"/>
      <c r="HC1179" s="75"/>
      <c r="HD1179" s="75"/>
      <c r="HE1179" s="75"/>
      <c r="HF1179" s="75"/>
      <c r="HG1179" s="75"/>
      <c r="HH1179" s="75"/>
      <c r="HI1179" s="75"/>
      <c r="HJ1179" s="75"/>
      <c r="HK1179" s="75"/>
      <c r="HL1179" s="75"/>
      <c r="HM1179" s="75"/>
      <c r="HN1179" s="75"/>
      <c r="HO1179" s="75"/>
      <c r="HP1179" s="75"/>
      <c r="HQ1179" s="75"/>
      <c r="HR1179" s="75"/>
      <c r="HS1179" s="75"/>
      <c r="HT1179" s="75"/>
      <c r="HU1179" s="75"/>
      <c r="HV1179" s="75"/>
      <c r="HW1179" s="75"/>
      <c r="HX1179" s="75"/>
      <c r="HY1179" s="75"/>
      <c r="HZ1179" s="75"/>
      <c r="IA1179" s="75"/>
      <c r="IB1179" s="75"/>
      <c r="IC1179" s="75"/>
      <c r="ID1179" s="75"/>
      <c r="IE1179" s="75"/>
      <c r="IF1179" s="75"/>
      <c r="IG1179" s="75"/>
      <c r="IH1179" s="75"/>
      <c r="II1179" s="75"/>
      <c r="IJ1179" s="75"/>
      <c r="IK1179" s="75"/>
      <c r="IL1179" s="75"/>
      <c r="IM1179" s="75"/>
      <c r="IN1179" s="75"/>
      <c r="IO1179" s="75"/>
      <c r="IP1179" s="75"/>
      <c r="IQ1179" s="75"/>
      <c r="IR1179" s="75"/>
      <c r="IS1179" s="75"/>
      <c r="IT1179" s="75"/>
      <c r="IU1179" s="75"/>
      <c r="IV1179" s="75"/>
      <c r="IW1179" s="75"/>
      <c r="IX1179" s="75"/>
      <c r="IY1179" s="75"/>
      <c r="IZ1179" s="75"/>
      <c r="JA1179" s="75"/>
      <c r="JB1179" s="75"/>
      <c r="JC1179" s="75"/>
      <c r="JD1179" s="75"/>
      <c r="JE1179" s="75"/>
      <c r="JF1179" s="75"/>
      <c r="JG1179" s="75"/>
      <c r="JH1179" s="75"/>
      <c r="JI1179" s="75"/>
      <c r="JJ1179" s="75"/>
      <c r="JK1179" s="75"/>
      <c r="JL1179" s="75"/>
      <c r="JM1179" s="75"/>
      <c r="JN1179" s="75"/>
      <c r="JO1179" s="75"/>
      <c r="JP1179" s="75"/>
      <c r="JQ1179" s="75"/>
      <c r="JR1179" s="75"/>
      <c r="JS1179" s="75"/>
      <c r="JT1179" s="75"/>
      <c r="JU1179" s="75"/>
      <c r="JV1179" s="75"/>
      <c r="JW1179" s="75"/>
      <c r="JX1179" s="75"/>
      <c r="JY1179" s="75"/>
      <c r="JZ1179" s="75"/>
      <c r="KA1179" s="75"/>
      <c r="KB1179" s="75"/>
      <c r="KC1179" s="75"/>
      <c r="KD1179" s="75"/>
      <c r="KE1179" s="75"/>
      <c r="KF1179" s="75"/>
      <c r="KG1179" s="75"/>
      <c r="KH1179" s="75"/>
      <c r="KI1179" s="75"/>
      <c r="KJ1179" s="75"/>
      <c r="KK1179" s="75"/>
      <c r="KL1179" s="75"/>
      <c r="KM1179" s="75"/>
      <c r="KN1179" s="75"/>
      <c r="KO1179" s="75"/>
      <c r="KP1179" s="75"/>
      <c r="KQ1179" s="75"/>
      <c r="KR1179" s="75"/>
      <c r="KS1179" s="75"/>
      <c r="KT1179" s="75"/>
      <c r="KU1179" s="75"/>
      <c r="KV1179" s="75"/>
      <c r="KW1179" s="75"/>
      <c r="KX1179" s="75"/>
      <c r="KY1179" s="75"/>
      <c r="KZ1179" s="75"/>
      <c r="LA1179" s="75"/>
      <c r="LB1179" s="75"/>
      <c r="LC1179" s="75"/>
      <c r="LD1179" s="75"/>
      <c r="LE1179" s="75"/>
      <c r="LF1179" s="75"/>
      <c r="LG1179" s="75"/>
      <c r="LH1179" s="75"/>
      <c r="LI1179" s="75"/>
      <c r="LJ1179" s="75"/>
      <c r="LK1179" s="75"/>
      <c r="LL1179" s="75"/>
      <c r="LM1179" s="75"/>
      <c r="LN1179" s="75"/>
      <c r="LO1179" s="75"/>
      <c r="LP1179" s="75"/>
      <c r="LQ1179" s="75"/>
      <c r="LR1179" s="75"/>
      <c r="LS1179" s="75"/>
      <c r="LT1179" s="75"/>
      <c r="LU1179" s="75"/>
      <c r="LV1179" s="75"/>
      <c r="LW1179" s="75"/>
      <c r="LX1179" s="75"/>
      <c r="LY1179" s="75"/>
      <c r="LZ1179" s="75"/>
      <c r="MA1179" s="75"/>
      <c r="MB1179" s="75"/>
      <c r="MC1179" s="75"/>
      <c r="MD1179" s="75"/>
      <c r="ME1179" s="75"/>
      <c r="MF1179" s="75"/>
      <c r="MG1179" s="75"/>
      <c r="MH1179" s="75"/>
      <c r="MI1179" s="75"/>
      <c r="MJ1179" s="75"/>
      <c r="MK1179" s="75"/>
      <c r="ML1179" s="75"/>
      <c r="MM1179" s="75"/>
      <c r="MN1179" s="75"/>
      <c r="MO1179" s="75"/>
      <c r="MP1179" s="75"/>
      <c r="MQ1179" s="75"/>
      <c r="MR1179" s="75"/>
      <c r="MS1179" s="75"/>
      <c r="MT1179" s="75"/>
      <c r="MU1179" s="75"/>
      <c r="MV1179" s="75"/>
      <c r="MW1179" s="75"/>
      <c r="MX1179" s="75"/>
      <c r="MY1179" s="75"/>
      <c r="MZ1179" s="75"/>
      <c r="NA1179" s="75"/>
      <c r="NB1179" s="75"/>
      <c r="NC1179" s="75"/>
      <c r="ND1179" s="75"/>
      <c r="NE1179" s="75"/>
      <c r="NF1179" s="75"/>
      <c r="NG1179" s="75"/>
      <c r="NH1179" s="75"/>
      <c r="NI1179" s="75"/>
      <c r="NJ1179" s="75"/>
      <c r="NK1179" s="75"/>
      <c r="NL1179" s="75"/>
      <c r="NM1179" s="75"/>
      <c r="NN1179" s="75"/>
      <c r="NO1179" s="75"/>
      <c r="NP1179" s="75"/>
      <c r="NQ1179" s="75"/>
      <c r="NR1179" s="75"/>
      <c r="NS1179" s="75"/>
      <c r="NT1179" s="75"/>
      <c r="NU1179" s="75"/>
      <c r="NV1179" s="75"/>
      <c r="NW1179" s="75"/>
      <c r="NX1179" s="75"/>
      <c r="NY1179" s="75"/>
      <c r="NZ1179" s="75"/>
      <c r="OA1179" s="75"/>
      <c r="OB1179" s="75"/>
      <c r="OC1179" s="75"/>
      <c r="OD1179" s="75"/>
      <c r="OE1179" s="75"/>
      <c r="OF1179" s="75"/>
      <c r="OG1179" s="75"/>
      <c r="OH1179" s="75"/>
      <c r="OI1179" s="75"/>
      <c r="OJ1179" s="75"/>
      <c r="OK1179" s="75"/>
      <c r="OL1179" s="75"/>
      <c r="OM1179" s="75"/>
      <c r="ON1179" s="75"/>
      <c r="OO1179" s="75"/>
      <c r="OP1179" s="75"/>
      <c r="OQ1179" s="75"/>
      <c r="OR1179" s="75"/>
      <c r="OS1179" s="75"/>
      <c r="OT1179" s="75"/>
      <c r="OU1179" s="75"/>
      <c r="OV1179" s="75"/>
      <c r="OW1179" s="75"/>
      <c r="OX1179" s="75"/>
      <c r="OY1179" s="75"/>
      <c r="OZ1179" s="75"/>
      <c r="PA1179" s="75"/>
      <c r="PB1179" s="75"/>
      <c r="PC1179" s="75"/>
      <c r="PD1179" s="75"/>
      <c r="PE1179" s="75"/>
      <c r="PF1179" s="75"/>
      <c r="PG1179" s="75"/>
      <c r="PH1179" s="75"/>
      <c r="PI1179" s="75"/>
      <c r="PJ1179" s="75"/>
      <c r="PK1179" s="75"/>
      <c r="PL1179" s="75"/>
      <c r="PM1179" s="75"/>
      <c r="PN1179" s="75"/>
      <c r="PO1179" s="75"/>
      <c r="PP1179" s="75"/>
      <c r="PQ1179" s="75"/>
      <c r="PR1179" s="75"/>
      <c r="PS1179" s="75"/>
      <c r="PT1179" s="75"/>
      <c r="PU1179" s="75"/>
      <c r="PV1179" s="75"/>
      <c r="PW1179" s="75"/>
      <c r="PX1179" s="75"/>
      <c r="PY1179" s="75"/>
      <c r="PZ1179" s="75"/>
      <c r="QA1179" s="75"/>
      <c r="QB1179" s="75"/>
      <c r="QC1179" s="75"/>
      <c r="QD1179" s="75"/>
      <c r="QE1179" s="75"/>
      <c r="QF1179" s="75"/>
      <c r="QG1179" s="75"/>
      <c r="QH1179" s="75"/>
      <c r="QI1179" s="75"/>
      <c r="QJ1179" s="75"/>
      <c r="QK1179" s="75"/>
      <c r="QL1179" s="75"/>
      <c r="QM1179" s="75"/>
      <c r="QN1179" s="75"/>
      <c r="QO1179" s="75"/>
      <c r="QP1179" s="75"/>
      <c r="QQ1179" s="75"/>
      <c r="QR1179" s="75"/>
      <c r="QS1179" s="75"/>
      <c r="QT1179" s="75"/>
      <c r="QU1179" s="75"/>
      <c r="QV1179" s="75"/>
      <c r="QW1179" s="75"/>
      <c r="QX1179" s="75"/>
      <c r="QY1179" s="75"/>
      <c r="QZ1179" s="75"/>
      <c r="RA1179" s="75"/>
      <c r="RB1179" s="75"/>
      <c r="RC1179" s="75"/>
      <c r="RD1179" s="75"/>
      <c r="RE1179" s="75"/>
      <c r="RF1179" s="75"/>
      <c r="RG1179" s="75"/>
      <c r="RH1179" s="75"/>
      <c r="RI1179" s="75"/>
      <c r="RJ1179" s="75"/>
      <c r="RK1179" s="75"/>
      <c r="RL1179" s="75"/>
      <c r="RM1179" s="75"/>
      <c r="RN1179" s="75"/>
      <c r="RO1179" s="75"/>
      <c r="RP1179" s="75"/>
      <c r="RQ1179" s="75"/>
      <c r="RR1179" s="75"/>
      <c r="RS1179" s="75"/>
      <c r="RT1179" s="75"/>
      <c r="RU1179" s="75"/>
      <c r="RV1179" s="75"/>
      <c r="RW1179" s="75"/>
      <c r="RX1179" s="75"/>
      <c r="RY1179" s="75"/>
      <c r="RZ1179" s="75"/>
      <c r="SA1179" s="75"/>
      <c r="SB1179" s="75"/>
      <c r="SC1179" s="75"/>
      <c r="SD1179" s="75"/>
      <c r="SE1179" s="75"/>
      <c r="SF1179" s="75"/>
      <c r="SG1179" s="75"/>
      <c r="SH1179" s="75"/>
      <c r="SI1179" s="75"/>
      <c r="SJ1179" s="75"/>
      <c r="SK1179" s="75"/>
      <c r="SL1179" s="75"/>
      <c r="SM1179" s="75"/>
      <c r="SN1179" s="75"/>
      <c r="SO1179" s="75"/>
      <c r="SP1179" s="75"/>
      <c r="SQ1179" s="75"/>
      <c r="SR1179" s="75"/>
      <c r="SS1179" s="75"/>
      <c r="ST1179" s="75"/>
      <c r="SU1179" s="75"/>
      <c r="SV1179" s="75"/>
      <c r="SW1179" s="75"/>
      <c r="SX1179" s="75"/>
      <c r="SY1179" s="75"/>
      <c r="SZ1179" s="75"/>
      <c r="TA1179" s="75"/>
      <c r="TB1179" s="75"/>
      <c r="TC1179" s="75"/>
      <c r="TD1179" s="75"/>
      <c r="TE1179" s="75"/>
      <c r="TF1179" s="75"/>
      <c r="TG1179" s="75"/>
      <c r="TH1179" s="75"/>
      <c r="TI1179" s="75"/>
      <c r="TJ1179" s="75"/>
      <c r="TK1179" s="75"/>
      <c r="TL1179" s="75"/>
      <c r="TM1179" s="75"/>
      <c r="TN1179" s="75"/>
      <c r="TO1179" s="75"/>
      <c r="TP1179" s="75"/>
      <c r="TQ1179" s="75"/>
      <c r="TR1179" s="75"/>
      <c r="TS1179" s="75"/>
      <c r="TT1179" s="75"/>
      <c r="TU1179" s="75"/>
      <c r="TV1179" s="75"/>
      <c r="TW1179" s="75"/>
      <c r="TX1179" s="75"/>
      <c r="TY1179" s="75"/>
      <c r="TZ1179" s="75"/>
      <c r="UA1179" s="75"/>
      <c r="UB1179" s="75"/>
      <c r="UC1179" s="75"/>
      <c r="UD1179" s="75"/>
      <c r="UE1179" s="75"/>
      <c r="UF1179" s="75"/>
      <c r="UG1179" s="75"/>
      <c r="UH1179" s="75"/>
      <c r="UI1179" s="75"/>
      <c r="UJ1179" s="75"/>
      <c r="UK1179" s="75"/>
      <c r="UL1179" s="75"/>
      <c r="UM1179" s="75"/>
      <c r="UN1179" s="75"/>
      <c r="UO1179" s="75"/>
      <c r="UP1179" s="75"/>
      <c r="UQ1179" s="75"/>
      <c r="UR1179" s="75"/>
      <c r="US1179" s="75"/>
      <c r="UT1179" s="75"/>
      <c r="UU1179" s="75"/>
      <c r="UV1179" s="75"/>
      <c r="UW1179" s="75"/>
      <c r="UX1179" s="75"/>
      <c r="UY1179" s="75"/>
      <c r="UZ1179" s="75"/>
      <c r="VA1179" s="75"/>
      <c r="VB1179" s="75"/>
      <c r="VC1179" s="75"/>
      <c r="VD1179" s="75"/>
      <c r="VE1179" s="75"/>
      <c r="VF1179" s="75"/>
      <c r="VG1179" s="75"/>
      <c r="VH1179" s="75"/>
      <c r="VI1179" s="75"/>
      <c r="VJ1179" s="75"/>
      <c r="VK1179" s="75"/>
      <c r="VL1179" s="75"/>
      <c r="VM1179" s="75"/>
      <c r="VN1179" s="75"/>
      <c r="VO1179" s="75"/>
      <c r="VP1179" s="75"/>
      <c r="VQ1179" s="75"/>
      <c r="VR1179" s="75"/>
      <c r="VS1179" s="75"/>
      <c r="VT1179" s="75"/>
      <c r="VU1179" s="75"/>
      <c r="VV1179" s="75"/>
      <c r="VW1179" s="75"/>
      <c r="VX1179" s="75"/>
      <c r="VY1179" s="75"/>
      <c r="VZ1179" s="75"/>
      <c r="WA1179" s="75"/>
      <c r="WB1179" s="75"/>
      <c r="WC1179" s="75"/>
      <c r="WD1179" s="75"/>
      <c r="WE1179" s="75"/>
      <c r="WF1179" s="75"/>
      <c r="WG1179" s="75"/>
      <c r="WH1179" s="75"/>
      <c r="WI1179" s="75"/>
      <c r="WJ1179" s="75"/>
      <c r="WK1179" s="75"/>
      <c r="WL1179" s="75"/>
      <c r="WM1179" s="75"/>
      <c r="WN1179" s="75"/>
      <c r="WO1179" s="75"/>
      <c r="WP1179" s="75"/>
      <c r="WQ1179" s="75"/>
      <c r="WR1179" s="75"/>
      <c r="WS1179" s="75"/>
      <c r="WT1179" s="75"/>
      <c r="WU1179" s="75"/>
      <c r="WV1179" s="75"/>
      <c r="WW1179" s="75"/>
      <c r="WX1179" s="75"/>
      <c r="WY1179" s="75"/>
      <c r="WZ1179" s="75"/>
      <c r="XA1179" s="75"/>
      <c r="XB1179" s="75"/>
      <c r="XC1179" s="75"/>
      <c r="XD1179" s="75"/>
      <c r="XE1179" s="75"/>
      <c r="XF1179" s="75"/>
      <c r="XG1179" s="75"/>
      <c r="XH1179" s="75"/>
      <c r="XI1179" s="75"/>
      <c r="XJ1179" s="75"/>
      <c r="XK1179" s="75"/>
      <c r="XL1179" s="75"/>
      <c r="XM1179" s="75"/>
      <c r="XN1179" s="75"/>
      <c r="XO1179" s="75"/>
      <c r="XP1179" s="75"/>
      <c r="XQ1179" s="75"/>
      <c r="XR1179" s="75"/>
      <c r="XS1179" s="75"/>
      <c r="XT1179" s="75"/>
      <c r="XU1179" s="75"/>
      <c r="XV1179" s="75"/>
      <c r="XW1179" s="75"/>
      <c r="XX1179" s="75"/>
      <c r="XY1179" s="75"/>
      <c r="XZ1179" s="75"/>
      <c r="YA1179" s="75"/>
      <c r="YB1179" s="75"/>
      <c r="YC1179" s="75"/>
      <c r="YD1179" s="75"/>
      <c r="YE1179" s="75"/>
      <c r="YF1179" s="75"/>
      <c r="YG1179" s="75"/>
      <c r="YH1179" s="75"/>
      <c r="YI1179" s="75"/>
      <c r="YJ1179" s="75"/>
      <c r="YK1179" s="75"/>
      <c r="YL1179" s="75"/>
      <c r="YM1179" s="75"/>
      <c r="YN1179" s="75"/>
      <c r="YO1179" s="75"/>
      <c r="YP1179" s="75"/>
      <c r="YQ1179" s="75"/>
      <c r="YR1179" s="75"/>
      <c r="YS1179" s="75"/>
      <c r="YT1179" s="75"/>
      <c r="YU1179" s="75"/>
      <c r="YV1179" s="75"/>
      <c r="YW1179" s="75"/>
      <c r="YX1179" s="75"/>
      <c r="YY1179" s="75"/>
      <c r="YZ1179" s="75"/>
      <c r="ZA1179" s="75"/>
      <c r="ZB1179" s="75"/>
      <c r="ZC1179" s="75"/>
      <c r="ZD1179" s="75"/>
      <c r="ZE1179" s="75"/>
      <c r="ZF1179" s="75"/>
      <c r="ZG1179" s="75"/>
      <c r="ZH1179" s="75"/>
      <c r="ZI1179" s="75"/>
      <c r="ZJ1179" s="75"/>
      <c r="ZK1179" s="75"/>
      <c r="ZL1179" s="75"/>
      <c r="ZM1179" s="75"/>
      <c r="ZN1179" s="75"/>
      <c r="ZO1179" s="75"/>
      <c r="ZP1179" s="75"/>
      <c r="ZQ1179" s="75"/>
      <c r="ZR1179" s="75"/>
      <c r="ZS1179" s="75"/>
      <c r="ZT1179" s="75"/>
      <c r="ZU1179" s="75"/>
      <c r="ZV1179" s="75"/>
      <c r="ZW1179" s="75"/>
      <c r="ZX1179" s="75"/>
      <c r="ZY1179" s="75"/>
      <c r="ZZ1179" s="75"/>
      <c r="AAA1179" s="75"/>
      <c r="AAB1179" s="75"/>
      <c r="AAC1179" s="75"/>
      <c r="AAD1179" s="75"/>
      <c r="AAE1179" s="75"/>
      <c r="AAF1179" s="75"/>
      <c r="AAG1179" s="75"/>
      <c r="AAH1179" s="75"/>
      <c r="AAI1179" s="75"/>
      <c r="AAJ1179" s="75"/>
      <c r="AAK1179" s="75"/>
      <c r="AAL1179" s="75"/>
      <c r="AAM1179" s="75"/>
      <c r="AAN1179" s="75"/>
      <c r="AAO1179" s="75"/>
      <c r="AAP1179" s="75"/>
      <c r="AAQ1179" s="75"/>
      <c r="AAR1179" s="75"/>
      <c r="AAS1179" s="75"/>
      <c r="AAT1179" s="75"/>
      <c r="AAU1179" s="75"/>
      <c r="AAV1179" s="75"/>
      <c r="AAW1179" s="75"/>
      <c r="AAX1179" s="75"/>
      <c r="AAY1179" s="75"/>
      <c r="AAZ1179" s="75"/>
      <c r="ABA1179" s="75"/>
      <c r="ABB1179" s="75"/>
      <c r="ABC1179" s="75"/>
      <c r="ABD1179" s="75"/>
      <c r="ABE1179" s="75"/>
      <c r="ABF1179" s="75"/>
      <c r="ABG1179" s="75"/>
      <c r="ABH1179" s="75"/>
      <c r="ABI1179" s="75"/>
      <c r="ABJ1179" s="75"/>
      <c r="ABK1179" s="75"/>
      <c r="ABL1179" s="75"/>
      <c r="ABM1179" s="75"/>
      <c r="ABN1179" s="75"/>
      <c r="ABO1179" s="75"/>
      <c r="ABP1179" s="75"/>
      <c r="ABQ1179" s="75"/>
      <c r="ABR1179" s="75"/>
      <c r="ABS1179" s="75"/>
      <c r="ABT1179" s="75"/>
      <c r="ABU1179" s="75"/>
      <c r="ABV1179" s="75"/>
      <c r="ABW1179" s="75"/>
      <c r="ABX1179" s="75"/>
      <c r="ABY1179" s="75"/>
      <c r="ABZ1179" s="75"/>
      <c r="ACA1179" s="75"/>
      <c r="ACB1179" s="75"/>
      <c r="ACC1179" s="75"/>
      <c r="ACD1179" s="75"/>
      <c r="ACE1179" s="75"/>
      <c r="ACF1179" s="75"/>
      <c r="ACG1179" s="75"/>
      <c r="ACH1179" s="75"/>
      <c r="ACI1179" s="75"/>
      <c r="ACJ1179" s="75"/>
      <c r="ACK1179" s="75"/>
      <c r="ACL1179" s="75"/>
      <c r="ACM1179" s="75"/>
      <c r="ACN1179" s="75"/>
      <c r="ACO1179" s="75"/>
      <c r="ACP1179" s="75"/>
      <c r="ACQ1179" s="75"/>
      <c r="ACR1179" s="75"/>
      <c r="ACS1179" s="75"/>
      <c r="ACT1179" s="75"/>
      <c r="ACU1179" s="75"/>
      <c r="ACV1179" s="75"/>
      <c r="ACW1179" s="75"/>
      <c r="ACX1179" s="75"/>
      <c r="ACY1179" s="75"/>
      <c r="ACZ1179" s="75"/>
      <c r="ADA1179" s="75"/>
      <c r="ADB1179" s="75"/>
      <c r="ADC1179" s="75"/>
      <c r="ADD1179" s="75"/>
      <c r="ADE1179" s="75"/>
      <c r="ADF1179" s="75"/>
      <c r="ADG1179" s="75"/>
      <c r="ADH1179" s="75"/>
      <c r="ADI1179" s="75"/>
      <c r="ADJ1179" s="75"/>
      <c r="ADK1179" s="75"/>
      <c r="ADL1179" s="75"/>
      <c r="ADM1179" s="75"/>
      <c r="ADN1179" s="75"/>
      <c r="ADO1179" s="75"/>
      <c r="ADP1179" s="75"/>
      <c r="ADQ1179" s="75"/>
      <c r="ADR1179" s="75"/>
      <c r="ADS1179" s="75"/>
      <c r="ADT1179" s="75"/>
      <c r="ADU1179" s="75"/>
      <c r="ADV1179" s="75"/>
      <c r="ADW1179" s="75"/>
      <c r="ADX1179" s="75"/>
      <c r="ADY1179" s="75"/>
      <c r="ADZ1179" s="75"/>
      <c r="AEA1179" s="75"/>
      <c r="AEB1179" s="75"/>
      <c r="AEC1179" s="75"/>
      <c r="AED1179" s="75"/>
      <c r="AEE1179" s="75"/>
      <c r="AEF1179" s="75"/>
      <c r="AEG1179" s="75"/>
      <c r="AEH1179" s="75"/>
      <c r="AEI1179" s="75"/>
      <c r="AEJ1179" s="75"/>
      <c r="AEK1179" s="75"/>
      <c r="AEL1179" s="75"/>
      <c r="AEM1179" s="75"/>
      <c r="AEN1179" s="75"/>
      <c r="AEO1179" s="75"/>
      <c r="AEP1179" s="75"/>
      <c r="AEQ1179" s="75"/>
      <c r="AER1179" s="75"/>
      <c r="AES1179" s="75"/>
      <c r="AET1179" s="75"/>
      <c r="AEU1179" s="75"/>
      <c r="AEV1179" s="75"/>
      <c r="AEW1179" s="75"/>
      <c r="AEX1179" s="75"/>
      <c r="AEY1179" s="75"/>
      <c r="AEZ1179" s="75"/>
      <c r="AFA1179" s="75"/>
      <c r="AFB1179" s="75"/>
      <c r="AFC1179" s="75"/>
      <c r="AFD1179" s="75"/>
      <c r="AFE1179" s="75"/>
      <c r="AFF1179" s="75"/>
      <c r="AFG1179" s="75"/>
      <c r="AFH1179" s="75"/>
      <c r="AFI1179" s="75"/>
      <c r="AFJ1179" s="75"/>
      <c r="AFK1179" s="75"/>
      <c r="AFL1179" s="75"/>
      <c r="AFM1179" s="75"/>
      <c r="AFN1179" s="75"/>
      <c r="AFO1179" s="75"/>
      <c r="AFP1179" s="75"/>
      <c r="AFQ1179" s="75"/>
      <c r="AFR1179" s="75"/>
      <c r="AFS1179" s="75"/>
      <c r="AFT1179" s="75"/>
      <c r="AFU1179" s="75"/>
      <c r="AFV1179" s="75"/>
      <c r="AFW1179" s="75"/>
      <c r="AFX1179" s="75"/>
      <c r="AFY1179" s="75"/>
      <c r="AFZ1179" s="75"/>
      <c r="AGA1179" s="75"/>
      <c r="AGB1179" s="75"/>
      <c r="AGC1179" s="75"/>
      <c r="AGD1179" s="75"/>
      <c r="AGE1179" s="75"/>
      <c r="AGF1179" s="75"/>
      <c r="AGG1179" s="75"/>
      <c r="AGH1179" s="75"/>
      <c r="AGI1179" s="75"/>
      <c r="AGJ1179" s="75"/>
      <c r="AGK1179" s="75"/>
      <c r="AGL1179" s="75"/>
      <c r="AGM1179" s="75"/>
      <c r="AGN1179" s="75"/>
      <c r="AGO1179" s="75"/>
      <c r="AGP1179" s="75"/>
      <c r="AGQ1179" s="75"/>
      <c r="AGR1179" s="75"/>
      <c r="AGS1179" s="75"/>
      <c r="AGT1179" s="75"/>
      <c r="AGU1179" s="75"/>
      <c r="AGV1179" s="75"/>
      <c r="AGW1179" s="75"/>
      <c r="AGX1179" s="75"/>
      <c r="AGY1179" s="75"/>
      <c r="AGZ1179" s="75"/>
      <c r="AHA1179" s="75"/>
      <c r="AHB1179" s="75"/>
      <c r="AHC1179" s="75"/>
      <c r="AHD1179" s="75"/>
      <c r="AHE1179" s="75"/>
      <c r="AHF1179" s="75"/>
      <c r="AHG1179" s="75"/>
      <c r="AHH1179" s="75"/>
      <c r="AHI1179" s="75"/>
      <c r="AHJ1179" s="75"/>
      <c r="AHK1179" s="75"/>
      <c r="AHL1179" s="75"/>
      <c r="AHM1179" s="75"/>
      <c r="AHN1179" s="75"/>
      <c r="AHO1179" s="75"/>
      <c r="AHP1179" s="75"/>
      <c r="AHQ1179" s="75"/>
      <c r="AHR1179" s="75"/>
      <c r="AHS1179" s="75"/>
      <c r="AHT1179" s="75"/>
      <c r="AHU1179" s="75"/>
      <c r="AHV1179" s="75"/>
      <c r="AHW1179" s="75"/>
      <c r="AHX1179" s="75"/>
      <c r="AHY1179" s="75"/>
      <c r="AHZ1179" s="75"/>
      <c r="AIA1179" s="75"/>
      <c r="AIB1179" s="75"/>
      <c r="AIC1179" s="75"/>
      <c r="AID1179" s="75"/>
      <c r="AIE1179" s="75"/>
      <c r="AIF1179" s="75"/>
      <c r="AIG1179" s="75"/>
      <c r="AIH1179" s="75"/>
      <c r="AII1179" s="75"/>
      <c r="AIJ1179" s="75"/>
      <c r="AIK1179" s="75"/>
      <c r="AIL1179" s="75"/>
      <c r="AIM1179" s="75"/>
      <c r="AIN1179" s="75"/>
      <c r="AIO1179" s="75"/>
      <c r="AIP1179" s="75"/>
      <c r="AIQ1179" s="75"/>
      <c r="AIR1179" s="75"/>
      <c r="AIS1179" s="75"/>
      <c r="AIT1179" s="75"/>
      <c r="AIU1179" s="75"/>
      <c r="AIV1179" s="75"/>
      <c r="AIW1179" s="75"/>
      <c r="AIX1179" s="75"/>
      <c r="AIY1179" s="75"/>
      <c r="AIZ1179" s="75"/>
      <c r="AJA1179" s="75"/>
      <c r="AJB1179" s="75"/>
      <c r="AJC1179" s="75"/>
      <c r="AJD1179" s="75"/>
      <c r="AJE1179" s="75"/>
      <c r="AJF1179" s="75"/>
      <c r="AJG1179" s="75"/>
      <c r="AJH1179" s="75"/>
      <c r="AJI1179" s="75"/>
      <c r="AJJ1179" s="75"/>
      <c r="AJK1179" s="75"/>
      <c r="AJL1179" s="75"/>
      <c r="AJM1179" s="75"/>
      <c r="AJN1179" s="75"/>
      <c r="AJO1179" s="75"/>
      <c r="AJP1179" s="75"/>
      <c r="AJQ1179" s="75"/>
      <c r="AJR1179" s="75"/>
      <c r="AJS1179" s="75"/>
      <c r="AJT1179" s="75"/>
      <c r="AJU1179" s="75"/>
      <c r="AJV1179" s="75"/>
      <c r="AJW1179" s="75"/>
      <c r="AJX1179" s="75"/>
      <c r="AJY1179" s="75"/>
      <c r="AJZ1179" s="75"/>
      <c r="AKA1179" s="75"/>
      <c r="AKB1179" s="75"/>
      <c r="AKC1179" s="75"/>
      <c r="AKD1179" s="75"/>
      <c r="AKE1179" s="75"/>
      <c r="AKF1179" s="75"/>
      <c r="AKG1179" s="75"/>
      <c r="AKH1179" s="75"/>
      <c r="AKI1179" s="75"/>
      <c r="AKJ1179" s="75"/>
      <c r="AKK1179" s="75"/>
      <c r="AKL1179" s="75"/>
      <c r="AKM1179" s="75"/>
      <c r="AKN1179" s="75"/>
      <c r="AKO1179" s="75"/>
      <c r="AKP1179" s="75"/>
      <c r="AKQ1179" s="75"/>
      <c r="AKR1179" s="75"/>
      <c r="AKS1179" s="75"/>
      <c r="AKT1179" s="75"/>
      <c r="AKU1179" s="75"/>
      <c r="AKV1179" s="75"/>
      <c r="AKW1179" s="75"/>
      <c r="AKX1179" s="75"/>
      <c r="AKY1179" s="75"/>
      <c r="AKZ1179" s="75"/>
      <c r="ALA1179" s="75"/>
      <c r="ALB1179" s="75"/>
      <c r="ALC1179" s="75"/>
      <c r="ALD1179" s="75"/>
      <c r="ALE1179" s="75"/>
      <c r="ALF1179" s="75"/>
      <c r="ALG1179" s="75"/>
      <c r="ALH1179" s="75"/>
      <c r="ALI1179" s="75"/>
      <c r="ALJ1179" s="75"/>
      <c r="ALK1179" s="75"/>
      <c r="ALL1179" s="75"/>
      <c r="ALM1179" s="75"/>
      <c r="ALN1179" s="75"/>
      <c r="ALO1179" s="75"/>
    </row>
    <row r="1180" spans="1:1003" s="238" customFormat="1" ht="14.55" customHeight="1" outlineLevel="1" x14ac:dyDescent="0.25">
      <c r="A1180" s="230" t="s">
        <v>1422</v>
      </c>
      <c r="B1180" s="343" t="str">
        <f>"28.0601"</f>
        <v>28.0601</v>
      </c>
      <c r="C1180" s="75" t="s">
        <v>3473</v>
      </c>
      <c r="D1180" s="127" t="s">
        <v>3474</v>
      </c>
      <c r="E1180" s="232"/>
      <c r="F1180" s="75"/>
      <c r="G1180" s="75"/>
      <c r="H1180" s="75"/>
      <c r="I1180" s="75"/>
      <c r="J1180" s="75"/>
      <c r="K1180" s="75"/>
      <c r="L1180" s="75"/>
      <c r="M1180" s="75"/>
      <c r="N1180" s="75"/>
      <c r="O1180" s="75"/>
      <c r="P1180" s="75"/>
      <c r="Q1180" s="75"/>
      <c r="R1180" s="75"/>
      <c r="S1180" s="75"/>
      <c r="T1180" s="75"/>
      <c r="U1180" s="75"/>
      <c r="V1180" s="75"/>
      <c r="W1180" s="75"/>
      <c r="X1180" s="75"/>
      <c r="Y1180" s="75"/>
      <c r="Z1180" s="75"/>
      <c r="AA1180" s="75"/>
      <c r="AB1180" s="75"/>
      <c r="AC1180" s="75"/>
      <c r="AD1180" s="75"/>
      <c r="AE1180" s="75"/>
      <c r="AF1180" s="75"/>
      <c r="AG1180" s="75"/>
      <c r="AH1180" s="75"/>
      <c r="AI1180" s="75"/>
      <c r="AJ1180" s="75"/>
      <c r="AK1180" s="75"/>
      <c r="AL1180" s="75"/>
      <c r="AM1180" s="75"/>
      <c r="AN1180" s="75"/>
      <c r="AO1180" s="75"/>
      <c r="AP1180" s="75"/>
      <c r="AQ1180" s="75"/>
      <c r="AR1180" s="75"/>
      <c r="AS1180" s="75"/>
      <c r="AT1180" s="75"/>
      <c r="AU1180" s="75"/>
      <c r="AV1180" s="75"/>
      <c r="AW1180" s="75"/>
      <c r="AX1180" s="75"/>
      <c r="AY1180" s="75"/>
      <c r="AZ1180" s="75"/>
      <c r="BA1180" s="75"/>
      <c r="BB1180" s="75"/>
      <c r="BC1180" s="75"/>
      <c r="BD1180" s="75"/>
      <c r="BE1180" s="75"/>
      <c r="BF1180" s="75"/>
      <c r="BG1180" s="75"/>
      <c r="BH1180" s="75"/>
      <c r="BI1180" s="75"/>
      <c r="BJ1180" s="75"/>
      <c r="BK1180" s="75"/>
      <c r="BL1180" s="75"/>
      <c r="BM1180" s="75"/>
      <c r="BN1180" s="75"/>
      <c r="BO1180" s="75"/>
      <c r="BP1180" s="75"/>
      <c r="BQ1180" s="75"/>
      <c r="BR1180" s="75"/>
      <c r="BS1180" s="75"/>
      <c r="BT1180" s="75"/>
      <c r="BU1180" s="75"/>
      <c r="BV1180" s="75"/>
      <c r="BW1180" s="75"/>
      <c r="BX1180" s="75"/>
      <c r="BY1180" s="75"/>
      <c r="BZ1180" s="75"/>
      <c r="CA1180" s="75"/>
      <c r="CB1180" s="75"/>
      <c r="CC1180" s="75"/>
      <c r="CD1180" s="75"/>
      <c r="CE1180" s="75"/>
      <c r="CF1180" s="75"/>
      <c r="CG1180" s="75"/>
      <c r="CH1180" s="75"/>
      <c r="CI1180" s="75"/>
      <c r="CJ1180" s="75"/>
      <c r="CK1180" s="75"/>
      <c r="CL1180" s="75"/>
      <c r="CM1180" s="75"/>
      <c r="CN1180" s="75"/>
      <c r="CO1180" s="75"/>
      <c r="CP1180" s="75"/>
      <c r="CQ1180" s="75"/>
      <c r="CR1180" s="75"/>
      <c r="CS1180" s="75"/>
      <c r="CT1180" s="75"/>
      <c r="CU1180" s="75"/>
      <c r="CV1180" s="75"/>
      <c r="CW1180" s="75"/>
      <c r="CX1180" s="75"/>
      <c r="CY1180" s="75"/>
      <c r="CZ1180" s="75"/>
      <c r="DA1180" s="75"/>
      <c r="DB1180" s="75"/>
      <c r="DC1180" s="75"/>
      <c r="DD1180" s="75"/>
      <c r="DE1180" s="75"/>
      <c r="DF1180" s="75"/>
      <c r="DG1180" s="75"/>
      <c r="DH1180" s="75"/>
      <c r="DI1180" s="75"/>
      <c r="DJ1180" s="75"/>
      <c r="DK1180" s="75"/>
      <c r="DL1180" s="75"/>
      <c r="DM1180" s="75"/>
      <c r="DN1180" s="75"/>
      <c r="DO1180" s="75"/>
      <c r="DP1180" s="75"/>
      <c r="DQ1180" s="75"/>
      <c r="DR1180" s="75"/>
      <c r="DS1180" s="75"/>
      <c r="DT1180" s="75"/>
      <c r="DU1180" s="75"/>
      <c r="DV1180" s="75"/>
      <c r="DW1180" s="75"/>
      <c r="DX1180" s="75"/>
      <c r="DY1180" s="75"/>
      <c r="DZ1180" s="75"/>
      <c r="EA1180" s="75"/>
      <c r="EB1180" s="75"/>
      <c r="EC1180" s="75"/>
      <c r="ED1180" s="75"/>
      <c r="EE1180" s="75"/>
      <c r="EF1180" s="75"/>
      <c r="EG1180" s="75"/>
      <c r="EH1180" s="75"/>
      <c r="EI1180" s="75"/>
      <c r="EJ1180" s="75"/>
      <c r="EK1180" s="75"/>
      <c r="EL1180" s="75"/>
      <c r="EM1180" s="75"/>
      <c r="EN1180" s="75"/>
      <c r="EO1180" s="75"/>
      <c r="EP1180" s="75"/>
      <c r="EQ1180" s="75"/>
      <c r="ER1180" s="75"/>
      <c r="ES1180" s="75"/>
      <c r="ET1180" s="75"/>
      <c r="EU1180" s="75"/>
      <c r="EV1180" s="75"/>
      <c r="EW1180" s="75"/>
      <c r="EX1180" s="75"/>
      <c r="EY1180" s="75"/>
      <c r="EZ1180" s="75"/>
      <c r="FA1180" s="75"/>
      <c r="FB1180" s="75"/>
      <c r="FC1180" s="75"/>
      <c r="FD1180" s="75"/>
      <c r="FE1180" s="75"/>
      <c r="FF1180" s="75"/>
      <c r="FG1180" s="75"/>
      <c r="FH1180" s="75"/>
      <c r="FI1180" s="75"/>
      <c r="FJ1180" s="75"/>
      <c r="FK1180" s="75"/>
      <c r="FL1180" s="75"/>
      <c r="FM1180" s="75"/>
      <c r="FN1180" s="75"/>
      <c r="FO1180" s="75"/>
      <c r="FP1180" s="75"/>
      <c r="FQ1180" s="75"/>
      <c r="FR1180" s="75"/>
      <c r="FS1180" s="75"/>
      <c r="FT1180" s="75"/>
      <c r="FU1180" s="75"/>
      <c r="FV1180" s="75"/>
      <c r="FW1180" s="75"/>
      <c r="FX1180" s="75"/>
      <c r="FY1180" s="75"/>
      <c r="FZ1180" s="75"/>
      <c r="GA1180" s="75"/>
      <c r="GB1180" s="75"/>
      <c r="GC1180" s="75"/>
      <c r="GD1180" s="75"/>
      <c r="GE1180" s="75"/>
      <c r="GF1180" s="75"/>
      <c r="GG1180" s="75"/>
      <c r="GH1180" s="75"/>
      <c r="GI1180" s="75"/>
      <c r="GJ1180" s="75"/>
      <c r="GK1180" s="75"/>
      <c r="GL1180" s="75"/>
      <c r="GM1180" s="75"/>
      <c r="GN1180" s="75"/>
      <c r="GO1180" s="75"/>
      <c r="GP1180" s="75"/>
      <c r="GQ1180" s="75"/>
      <c r="GR1180" s="75"/>
      <c r="GS1180" s="75"/>
      <c r="GT1180" s="75"/>
      <c r="GU1180" s="75"/>
      <c r="GV1180" s="75"/>
      <c r="GW1180" s="75"/>
      <c r="GX1180" s="75"/>
      <c r="GY1180" s="75"/>
      <c r="GZ1180" s="75"/>
      <c r="HA1180" s="75"/>
      <c r="HB1180" s="75"/>
      <c r="HC1180" s="75"/>
      <c r="HD1180" s="75"/>
      <c r="HE1180" s="75"/>
      <c r="HF1180" s="75"/>
      <c r="HG1180" s="75"/>
      <c r="HH1180" s="75"/>
      <c r="HI1180" s="75"/>
      <c r="HJ1180" s="75"/>
      <c r="HK1180" s="75"/>
      <c r="HL1180" s="75"/>
      <c r="HM1180" s="75"/>
      <c r="HN1180" s="75"/>
      <c r="HO1180" s="75"/>
      <c r="HP1180" s="75"/>
      <c r="HQ1180" s="75"/>
      <c r="HR1180" s="75"/>
      <c r="HS1180" s="75"/>
      <c r="HT1180" s="75"/>
      <c r="HU1180" s="75"/>
      <c r="HV1180" s="75"/>
      <c r="HW1180" s="75"/>
      <c r="HX1180" s="75"/>
      <c r="HY1180" s="75"/>
      <c r="HZ1180" s="75"/>
      <c r="IA1180" s="75"/>
      <c r="IB1180" s="75"/>
      <c r="IC1180" s="75"/>
      <c r="ID1180" s="75"/>
      <c r="IE1180" s="75"/>
      <c r="IF1180" s="75"/>
      <c r="IG1180" s="75"/>
      <c r="IH1180" s="75"/>
      <c r="II1180" s="75"/>
      <c r="IJ1180" s="75"/>
      <c r="IK1180" s="75"/>
      <c r="IL1180" s="75"/>
      <c r="IM1180" s="75"/>
      <c r="IN1180" s="75"/>
      <c r="IO1180" s="75"/>
      <c r="IP1180" s="75"/>
      <c r="IQ1180" s="75"/>
      <c r="IR1180" s="75"/>
      <c r="IS1180" s="75"/>
      <c r="IT1180" s="75"/>
      <c r="IU1180" s="75"/>
      <c r="IV1180" s="75"/>
      <c r="IW1180" s="75"/>
      <c r="IX1180" s="75"/>
      <c r="IY1180" s="75"/>
      <c r="IZ1180" s="75"/>
      <c r="JA1180" s="75"/>
      <c r="JB1180" s="75"/>
      <c r="JC1180" s="75"/>
      <c r="JD1180" s="75"/>
      <c r="JE1180" s="75"/>
      <c r="JF1180" s="75"/>
      <c r="JG1180" s="75"/>
      <c r="JH1180" s="75"/>
      <c r="JI1180" s="75"/>
      <c r="JJ1180" s="75"/>
      <c r="JK1180" s="75"/>
      <c r="JL1180" s="75"/>
      <c r="JM1180" s="75"/>
      <c r="JN1180" s="75"/>
      <c r="JO1180" s="75"/>
      <c r="JP1180" s="75"/>
      <c r="JQ1180" s="75"/>
      <c r="JR1180" s="75"/>
      <c r="JS1180" s="75"/>
      <c r="JT1180" s="75"/>
      <c r="JU1180" s="75"/>
      <c r="JV1180" s="75"/>
      <c r="JW1180" s="75"/>
      <c r="JX1180" s="75"/>
      <c r="JY1180" s="75"/>
      <c r="JZ1180" s="75"/>
      <c r="KA1180" s="75"/>
      <c r="KB1180" s="75"/>
      <c r="KC1180" s="75"/>
      <c r="KD1180" s="75"/>
      <c r="KE1180" s="75"/>
      <c r="KF1180" s="75"/>
      <c r="KG1180" s="75"/>
      <c r="KH1180" s="75"/>
      <c r="KI1180" s="75"/>
      <c r="KJ1180" s="75"/>
      <c r="KK1180" s="75"/>
      <c r="KL1180" s="75"/>
      <c r="KM1180" s="75"/>
      <c r="KN1180" s="75"/>
      <c r="KO1180" s="75"/>
      <c r="KP1180" s="75"/>
      <c r="KQ1180" s="75"/>
      <c r="KR1180" s="75"/>
      <c r="KS1180" s="75"/>
      <c r="KT1180" s="75"/>
      <c r="KU1180" s="75"/>
      <c r="KV1180" s="75"/>
      <c r="KW1180" s="75"/>
      <c r="KX1180" s="75"/>
      <c r="KY1180" s="75"/>
      <c r="KZ1180" s="75"/>
      <c r="LA1180" s="75"/>
      <c r="LB1180" s="75"/>
      <c r="LC1180" s="75"/>
      <c r="LD1180" s="75"/>
      <c r="LE1180" s="75"/>
      <c r="LF1180" s="75"/>
      <c r="LG1180" s="75"/>
      <c r="LH1180" s="75"/>
      <c r="LI1180" s="75"/>
      <c r="LJ1180" s="75"/>
      <c r="LK1180" s="75"/>
      <c r="LL1180" s="75"/>
      <c r="LM1180" s="75"/>
      <c r="LN1180" s="75"/>
      <c r="LO1180" s="75"/>
      <c r="LP1180" s="75"/>
      <c r="LQ1180" s="75"/>
      <c r="LR1180" s="75"/>
      <c r="LS1180" s="75"/>
      <c r="LT1180" s="75"/>
      <c r="LU1180" s="75"/>
      <c r="LV1180" s="75"/>
      <c r="LW1180" s="75"/>
      <c r="LX1180" s="75"/>
      <c r="LY1180" s="75"/>
      <c r="LZ1180" s="75"/>
      <c r="MA1180" s="75"/>
      <c r="MB1180" s="75"/>
      <c r="MC1180" s="75"/>
      <c r="MD1180" s="75"/>
      <c r="ME1180" s="75"/>
      <c r="MF1180" s="75"/>
      <c r="MG1180" s="75"/>
      <c r="MH1180" s="75"/>
      <c r="MI1180" s="75"/>
      <c r="MJ1180" s="75"/>
      <c r="MK1180" s="75"/>
      <c r="ML1180" s="75"/>
      <c r="MM1180" s="75"/>
      <c r="MN1180" s="75"/>
      <c r="MO1180" s="75"/>
      <c r="MP1180" s="75"/>
      <c r="MQ1180" s="75"/>
      <c r="MR1180" s="75"/>
      <c r="MS1180" s="75"/>
      <c r="MT1180" s="75"/>
      <c r="MU1180" s="75"/>
      <c r="MV1180" s="75"/>
      <c r="MW1180" s="75"/>
      <c r="MX1180" s="75"/>
      <c r="MY1180" s="75"/>
      <c r="MZ1180" s="75"/>
      <c r="NA1180" s="75"/>
      <c r="NB1180" s="75"/>
      <c r="NC1180" s="75"/>
      <c r="ND1180" s="75"/>
      <c r="NE1180" s="75"/>
      <c r="NF1180" s="75"/>
      <c r="NG1180" s="75"/>
      <c r="NH1180" s="75"/>
      <c r="NI1180" s="75"/>
      <c r="NJ1180" s="75"/>
      <c r="NK1180" s="75"/>
      <c r="NL1180" s="75"/>
      <c r="NM1180" s="75"/>
      <c r="NN1180" s="75"/>
      <c r="NO1180" s="75"/>
      <c r="NP1180" s="75"/>
      <c r="NQ1180" s="75"/>
      <c r="NR1180" s="75"/>
      <c r="NS1180" s="75"/>
      <c r="NT1180" s="75"/>
      <c r="NU1180" s="75"/>
      <c r="NV1180" s="75"/>
      <c r="NW1180" s="75"/>
      <c r="NX1180" s="75"/>
      <c r="NY1180" s="75"/>
      <c r="NZ1180" s="75"/>
      <c r="OA1180" s="75"/>
      <c r="OB1180" s="75"/>
      <c r="OC1180" s="75"/>
      <c r="OD1180" s="75"/>
      <c r="OE1180" s="75"/>
      <c r="OF1180" s="75"/>
      <c r="OG1180" s="75"/>
      <c r="OH1180" s="75"/>
      <c r="OI1180" s="75"/>
      <c r="OJ1180" s="75"/>
      <c r="OK1180" s="75"/>
      <c r="OL1180" s="75"/>
      <c r="OM1180" s="75"/>
      <c r="ON1180" s="75"/>
      <c r="OO1180" s="75"/>
      <c r="OP1180" s="75"/>
      <c r="OQ1180" s="75"/>
      <c r="OR1180" s="75"/>
      <c r="OS1180" s="75"/>
      <c r="OT1180" s="75"/>
      <c r="OU1180" s="75"/>
      <c r="OV1180" s="75"/>
      <c r="OW1180" s="75"/>
      <c r="OX1180" s="75"/>
      <c r="OY1180" s="75"/>
      <c r="OZ1180" s="75"/>
      <c r="PA1180" s="75"/>
      <c r="PB1180" s="75"/>
      <c r="PC1180" s="75"/>
      <c r="PD1180" s="75"/>
      <c r="PE1180" s="75"/>
      <c r="PF1180" s="75"/>
      <c r="PG1180" s="75"/>
      <c r="PH1180" s="75"/>
      <c r="PI1180" s="75"/>
      <c r="PJ1180" s="75"/>
      <c r="PK1180" s="75"/>
      <c r="PL1180" s="75"/>
      <c r="PM1180" s="75"/>
      <c r="PN1180" s="75"/>
      <c r="PO1180" s="75"/>
      <c r="PP1180" s="75"/>
      <c r="PQ1180" s="75"/>
      <c r="PR1180" s="75"/>
      <c r="PS1180" s="75"/>
      <c r="PT1180" s="75"/>
      <c r="PU1180" s="75"/>
      <c r="PV1180" s="75"/>
      <c r="PW1180" s="75"/>
      <c r="PX1180" s="75"/>
      <c r="PY1180" s="75"/>
      <c r="PZ1180" s="75"/>
      <c r="QA1180" s="75"/>
      <c r="QB1180" s="75"/>
      <c r="QC1180" s="75"/>
      <c r="QD1180" s="75"/>
      <c r="QE1180" s="75"/>
      <c r="QF1180" s="75"/>
      <c r="QG1180" s="75"/>
      <c r="QH1180" s="75"/>
      <c r="QI1180" s="75"/>
      <c r="QJ1180" s="75"/>
      <c r="QK1180" s="75"/>
      <c r="QL1180" s="75"/>
      <c r="QM1180" s="75"/>
      <c r="QN1180" s="75"/>
      <c r="QO1180" s="75"/>
      <c r="QP1180" s="75"/>
      <c r="QQ1180" s="75"/>
      <c r="QR1180" s="75"/>
      <c r="QS1180" s="75"/>
      <c r="QT1180" s="75"/>
      <c r="QU1180" s="75"/>
      <c r="QV1180" s="75"/>
      <c r="QW1180" s="75"/>
      <c r="QX1180" s="75"/>
      <c r="QY1180" s="75"/>
      <c r="QZ1180" s="75"/>
      <c r="RA1180" s="75"/>
      <c r="RB1180" s="75"/>
      <c r="RC1180" s="75"/>
      <c r="RD1180" s="75"/>
      <c r="RE1180" s="75"/>
      <c r="RF1180" s="75"/>
      <c r="RG1180" s="75"/>
      <c r="RH1180" s="75"/>
      <c r="RI1180" s="75"/>
      <c r="RJ1180" s="75"/>
      <c r="RK1180" s="75"/>
      <c r="RL1180" s="75"/>
      <c r="RM1180" s="75"/>
      <c r="RN1180" s="75"/>
      <c r="RO1180" s="75"/>
      <c r="RP1180" s="75"/>
      <c r="RQ1180" s="75"/>
      <c r="RR1180" s="75"/>
      <c r="RS1180" s="75"/>
      <c r="RT1180" s="75"/>
      <c r="RU1180" s="75"/>
      <c r="RV1180" s="75"/>
      <c r="RW1180" s="75"/>
      <c r="RX1180" s="75"/>
      <c r="RY1180" s="75"/>
      <c r="RZ1180" s="75"/>
      <c r="SA1180" s="75"/>
      <c r="SB1180" s="75"/>
      <c r="SC1180" s="75"/>
      <c r="SD1180" s="75"/>
      <c r="SE1180" s="75"/>
      <c r="SF1180" s="75"/>
      <c r="SG1180" s="75"/>
      <c r="SH1180" s="75"/>
      <c r="SI1180" s="75"/>
      <c r="SJ1180" s="75"/>
      <c r="SK1180" s="75"/>
      <c r="SL1180" s="75"/>
      <c r="SM1180" s="75"/>
      <c r="SN1180" s="75"/>
      <c r="SO1180" s="75"/>
      <c r="SP1180" s="75"/>
      <c r="SQ1180" s="75"/>
      <c r="SR1180" s="75"/>
      <c r="SS1180" s="75"/>
      <c r="ST1180" s="75"/>
      <c r="SU1180" s="75"/>
      <c r="SV1180" s="75"/>
      <c r="SW1180" s="75"/>
      <c r="SX1180" s="75"/>
      <c r="SY1180" s="75"/>
      <c r="SZ1180" s="75"/>
      <c r="TA1180" s="75"/>
      <c r="TB1180" s="75"/>
      <c r="TC1180" s="75"/>
      <c r="TD1180" s="75"/>
      <c r="TE1180" s="75"/>
      <c r="TF1180" s="75"/>
      <c r="TG1180" s="75"/>
      <c r="TH1180" s="75"/>
      <c r="TI1180" s="75"/>
      <c r="TJ1180" s="75"/>
      <c r="TK1180" s="75"/>
      <c r="TL1180" s="75"/>
      <c r="TM1180" s="75"/>
      <c r="TN1180" s="75"/>
      <c r="TO1180" s="75"/>
      <c r="TP1180" s="75"/>
      <c r="TQ1180" s="75"/>
      <c r="TR1180" s="75"/>
      <c r="TS1180" s="75"/>
      <c r="TT1180" s="75"/>
      <c r="TU1180" s="75"/>
      <c r="TV1180" s="75"/>
      <c r="TW1180" s="75"/>
      <c r="TX1180" s="75"/>
      <c r="TY1180" s="75"/>
      <c r="TZ1180" s="75"/>
      <c r="UA1180" s="75"/>
      <c r="UB1180" s="75"/>
      <c r="UC1180" s="75"/>
      <c r="UD1180" s="75"/>
      <c r="UE1180" s="75"/>
      <c r="UF1180" s="75"/>
      <c r="UG1180" s="75"/>
      <c r="UH1180" s="75"/>
      <c r="UI1180" s="75"/>
      <c r="UJ1180" s="75"/>
      <c r="UK1180" s="75"/>
      <c r="UL1180" s="75"/>
      <c r="UM1180" s="75"/>
      <c r="UN1180" s="75"/>
      <c r="UO1180" s="75"/>
      <c r="UP1180" s="75"/>
      <c r="UQ1180" s="75"/>
      <c r="UR1180" s="75"/>
      <c r="US1180" s="75"/>
      <c r="UT1180" s="75"/>
      <c r="UU1180" s="75"/>
      <c r="UV1180" s="75"/>
      <c r="UW1180" s="75"/>
      <c r="UX1180" s="75"/>
      <c r="UY1180" s="75"/>
      <c r="UZ1180" s="75"/>
      <c r="VA1180" s="75"/>
      <c r="VB1180" s="75"/>
      <c r="VC1180" s="75"/>
      <c r="VD1180" s="75"/>
      <c r="VE1180" s="75"/>
      <c r="VF1180" s="75"/>
      <c r="VG1180" s="75"/>
      <c r="VH1180" s="75"/>
      <c r="VI1180" s="75"/>
      <c r="VJ1180" s="75"/>
      <c r="VK1180" s="75"/>
      <c r="VL1180" s="75"/>
      <c r="VM1180" s="75"/>
      <c r="VN1180" s="75"/>
      <c r="VO1180" s="75"/>
      <c r="VP1180" s="75"/>
      <c r="VQ1180" s="75"/>
      <c r="VR1180" s="75"/>
      <c r="VS1180" s="75"/>
      <c r="VT1180" s="75"/>
      <c r="VU1180" s="75"/>
      <c r="VV1180" s="75"/>
      <c r="VW1180" s="75"/>
      <c r="VX1180" s="75"/>
      <c r="VY1180" s="75"/>
      <c r="VZ1180" s="75"/>
      <c r="WA1180" s="75"/>
      <c r="WB1180" s="75"/>
      <c r="WC1180" s="75"/>
      <c r="WD1180" s="75"/>
      <c r="WE1180" s="75"/>
      <c r="WF1180" s="75"/>
      <c r="WG1180" s="75"/>
      <c r="WH1180" s="75"/>
      <c r="WI1180" s="75"/>
      <c r="WJ1180" s="75"/>
      <c r="WK1180" s="75"/>
      <c r="WL1180" s="75"/>
      <c r="WM1180" s="75"/>
      <c r="WN1180" s="75"/>
      <c r="WO1180" s="75"/>
      <c r="WP1180" s="75"/>
      <c r="WQ1180" s="75"/>
      <c r="WR1180" s="75"/>
      <c r="WS1180" s="75"/>
      <c r="WT1180" s="75"/>
      <c r="WU1180" s="75"/>
      <c r="WV1180" s="75"/>
      <c r="WW1180" s="75"/>
      <c r="WX1180" s="75"/>
      <c r="WY1180" s="75"/>
      <c r="WZ1180" s="75"/>
      <c r="XA1180" s="75"/>
      <c r="XB1180" s="75"/>
      <c r="XC1180" s="75"/>
      <c r="XD1180" s="75"/>
      <c r="XE1180" s="75"/>
      <c r="XF1180" s="75"/>
      <c r="XG1180" s="75"/>
      <c r="XH1180" s="75"/>
      <c r="XI1180" s="75"/>
      <c r="XJ1180" s="75"/>
      <c r="XK1180" s="75"/>
      <c r="XL1180" s="75"/>
      <c r="XM1180" s="75"/>
      <c r="XN1180" s="75"/>
      <c r="XO1180" s="75"/>
      <c r="XP1180" s="75"/>
      <c r="XQ1180" s="75"/>
      <c r="XR1180" s="75"/>
      <c r="XS1180" s="75"/>
      <c r="XT1180" s="75"/>
      <c r="XU1180" s="75"/>
      <c r="XV1180" s="75"/>
      <c r="XW1180" s="75"/>
      <c r="XX1180" s="75"/>
      <c r="XY1180" s="75"/>
      <c r="XZ1180" s="75"/>
      <c r="YA1180" s="75"/>
      <c r="YB1180" s="75"/>
      <c r="YC1180" s="75"/>
      <c r="YD1180" s="75"/>
      <c r="YE1180" s="75"/>
      <c r="YF1180" s="75"/>
      <c r="YG1180" s="75"/>
      <c r="YH1180" s="75"/>
      <c r="YI1180" s="75"/>
      <c r="YJ1180" s="75"/>
      <c r="YK1180" s="75"/>
      <c r="YL1180" s="75"/>
      <c r="YM1180" s="75"/>
      <c r="YN1180" s="75"/>
      <c r="YO1180" s="75"/>
      <c r="YP1180" s="75"/>
      <c r="YQ1180" s="75"/>
      <c r="YR1180" s="75"/>
      <c r="YS1180" s="75"/>
      <c r="YT1180" s="75"/>
      <c r="YU1180" s="75"/>
      <c r="YV1180" s="75"/>
      <c r="YW1180" s="75"/>
      <c r="YX1180" s="75"/>
      <c r="YY1180" s="75"/>
      <c r="YZ1180" s="75"/>
      <c r="ZA1180" s="75"/>
      <c r="ZB1180" s="75"/>
      <c r="ZC1180" s="75"/>
      <c r="ZD1180" s="75"/>
      <c r="ZE1180" s="75"/>
      <c r="ZF1180" s="75"/>
      <c r="ZG1180" s="75"/>
      <c r="ZH1180" s="75"/>
      <c r="ZI1180" s="75"/>
      <c r="ZJ1180" s="75"/>
      <c r="ZK1180" s="75"/>
      <c r="ZL1180" s="75"/>
      <c r="ZM1180" s="75"/>
      <c r="ZN1180" s="75"/>
      <c r="ZO1180" s="75"/>
      <c r="ZP1180" s="75"/>
      <c r="ZQ1180" s="75"/>
      <c r="ZR1180" s="75"/>
      <c r="ZS1180" s="75"/>
      <c r="ZT1180" s="75"/>
      <c r="ZU1180" s="75"/>
      <c r="ZV1180" s="75"/>
      <c r="ZW1180" s="75"/>
      <c r="ZX1180" s="75"/>
      <c r="ZY1180" s="75"/>
      <c r="ZZ1180" s="75"/>
      <c r="AAA1180" s="75"/>
      <c r="AAB1180" s="75"/>
      <c r="AAC1180" s="75"/>
      <c r="AAD1180" s="75"/>
      <c r="AAE1180" s="75"/>
      <c r="AAF1180" s="75"/>
      <c r="AAG1180" s="75"/>
      <c r="AAH1180" s="75"/>
      <c r="AAI1180" s="75"/>
      <c r="AAJ1180" s="75"/>
      <c r="AAK1180" s="75"/>
      <c r="AAL1180" s="75"/>
      <c r="AAM1180" s="75"/>
      <c r="AAN1180" s="75"/>
      <c r="AAO1180" s="75"/>
      <c r="AAP1180" s="75"/>
      <c r="AAQ1180" s="75"/>
      <c r="AAR1180" s="75"/>
      <c r="AAS1180" s="75"/>
      <c r="AAT1180" s="75"/>
      <c r="AAU1180" s="75"/>
      <c r="AAV1180" s="75"/>
      <c r="AAW1180" s="75"/>
      <c r="AAX1180" s="75"/>
      <c r="AAY1180" s="75"/>
      <c r="AAZ1180" s="75"/>
      <c r="ABA1180" s="75"/>
      <c r="ABB1180" s="75"/>
      <c r="ABC1180" s="75"/>
      <c r="ABD1180" s="75"/>
      <c r="ABE1180" s="75"/>
      <c r="ABF1180" s="75"/>
      <c r="ABG1180" s="75"/>
      <c r="ABH1180" s="75"/>
      <c r="ABI1180" s="75"/>
      <c r="ABJ1180" s="75"/>
      <c r="ABK1180" s="75"/>
      <c r="ABL1180" s="75"/>
      <c r="ABM1180" s="75"/>
      <c r="ABN1180" s="75"/>
      <c r="ABO1180" s="75"/>
      <c r="ABP1180" s="75"/>
      <c r="ABQ1180" s="75"/>
      <c r="ABR1180" s="75"/>
      <c r="ABS1180" s="75"/>
      <c r="ABT1180" s="75"/>
      <c r="ABU1180" s="75"/>
      <c r="ABV1180" s="75"/>
      <c r="ABW1180" s="75"/>
      <c r="ABX1180" s="75"/>
      <c r="ABY1180" s="75"/>
      <c r="ABZ1180" s="75"/>
      <c r="ACA1180" s="75"/>
      <c r="ACB1180" s="75"/>
      <c r="ACC1180" s="75"/>
      <c r="ACD1180" s="75"/>
      <c r="ACE1180" s="75"/>
      <c r="ACF1180" s="75"/>
      <c r="ACG1180" s="75"/>
      <c r="ACH1180" s="75"/>
      <c r="ACI1180" s="75"/>
      <c r="ACJ1180" s="75"/>
      <c r="ACK1180" s="75"/>
      <c r="ACL1180" s="75"/>
      <c r="ACM1180" s="75"/>
      <c r="ACN1180" s="75"/>
      <c r="ACO1180" s="75"/>
      <c r="ACP1180" s="75"/>
      <c r="ACQ1180" s="75"/>
      <c r="ACR1180" s="75"/>
      <c r="ACS1180" s="75"/>
      <c r="ACT1180" s="75"/>
      <c r="ACU1180" s="75"/>
      <c r="ACV1180" s="75"/>
      <c r="ACW1180" s="75"/>
      <c r="ACX1180" s="75"/>
      <c r="ACY1180" s="75"/>
      <c r="ACZ1180" s="75"/>
      <c r="ADA1180" s="75"/>
      <c r="ADB1180" s="75"/>
      <c r="ADC1180" s="75"/>
      <c r="ADD1180" s="75"/>
      <c r="ADE1180" s="75"/>
      <c r="ADF1180" s="75"/>
      <c r="ADG1180" s="75"/>
      <c r="ADH1180" s="75"/>
      <c r="ADI1180" s="75"/>
      <c r="ADJ1180" s="75"/>
      <c r="ADK1180" s="75"/>
      <c r="ADL1180" s="75"/>
      <c r="ADM1180" s="75"/>
      <c r="ADN1180" s="75"/>
      <c r="ADO1180" s="75"/>
      <c r="ADP1180" s="75"/>
      <c r="ADQ1180" s="75"/>
      <c r="ADR1180" s="75"/>
      <c r="ADS1180" s="75"/>
      <c r="ADT1180" s="75"/>
      <c r="ADU1180" s="75"/>
      <c r="ADV1180" s="75"/>
      <c r="ADW1180" s="75"/>
      <c r="ADX1180" s="75"/>
      <c r="ADY1180" s="75"/>
      <c r="ADZ1180" s="75"/>
      <c r="AEA1180" s="75"/>
      <c r="AEB1180" s="75"/>
      <c r="AEC1180" s="75"/>
      <c r="AED1180" s="75"/>
      <c r="AEE1180" s="75"/>
      <c r="AEF1180" s="75"/>
      <c r="AEG1180" s="75"/>
      <c r="AEH1180" s="75"/>
      <c r="AEI1180" s="75"/>
      <c r="AEJ1180" s="75"/>
      <c r="AEK1180" s="75"/>
      <c r="AEL1180" s="75"/>
      <c r="AEM1180" s="75"/>
      <c r="AEN1180" s="75"/>
      <c r="AEO1180" s="75"/>
      <c r="AEP1180" s="75"/>
      <c r="AEQ1180" s="75"/>
      <c r="AER1180" s="75"/>
      <c r="AES1180" s="75"/>
      <c r="AET1180" s="75"/>
      <c r="AEU1180" s="75"/>
      <c r="AEV1180" s="75"/>
      <c r="AEW1180" s="75"/>
      <c r="AEX1180" s="75"/>
      <c r="AEY1180" s="75"/>
      <c r="AEZ1180" s="75"/>
      <c r="AFA1180" s="75"/>
      <c r="AFB1180" s="75"/>
      <c r="AFC1180" s="75"/>
      <c r="AFD1180" s="75"/>
      <c r="AFE1180" s="75"/>
      <c r="AFF1180" s="75"/>
      <c r="AFG1180" s="75"/>
      <c r="AFH1180" s="75"/>
      <c r="AFI1180" s="75"/>
      <c r="AFJ1180" s="75"/>
      <c r="AFK1180" s="75"/>
      <c r="AFL1180" s="75"/>
      <c r="AFM1180" s="75"/>
      <c r="AFN1180" s="75"/>
      <c r="AFO1180" s="75"/>
      <c r="AFP1180" s="75"/>
      <c r="AFQ1180" s="75"/>
      <c r="AFR1180" s="75"/>
      <c r="AFS1180" s="75"/>
      <c r="AFT1180" s="75"/>
      <c r="AFU1180" s="75"/>
      <c r="AFV1180" s="75"/>
      <c r="AFW1180" s="75"/>
      <c r="AFX1180" s="75"/>
      <c r="AFY1180" s="75"/>
      <c r="AFZ1180" s="75"/>
      <c r="AGA1180" s="75"/>
      <c r="AGB1180" s="75"/>
      <c r="AGC1180" s="75"/>
      <c r="AGD1180" s="75"/>
      <c r="AGE1180" s="75"/>
      <c r="AGF1180" s="75"/>
      <c r="AGG1180" s="75"/>
      <c r="AGH1180" s="75"/>
      <c r="AGI1180" s="75"/>
      <c r="AGJ1180" s="75"/>
      <c r="AGK1180" s="75"/>
      <c r="AGL1180" s="75"/>
      <c r="AGM1180" s="75"/>
      <c r="AGN1180" s="75"/>
      <c r="AGO1180" s="75"/>
      <c r="AGP1180" s="75"/>
      <c r="AGQ1180" s="75"/>
      <c r="AGR1180" s="75"/>
      <c r="AGS1180" s="75"/>
      <c r="AGT1180" s="75"/>
      <c r="AGU1180" s="75"/>
      <c r="AGV1180" s="75"/>
      <c r="AGW1180" s="75"/>
      <c r="AGX1180" s="75"/>
      <c r="AGY1180" s="75"/>
      <c r="AGZ1180" s="75"/>
      <c r="AHA1180" s="75"/>
      <c r="AHB1180" s="75"/>
      <c r="AHC1180" s="75"/>
      <c r="AHD1180" s="75"/>
      <c r="AHE1180" s="75"/>
      <c r="AHF1180" s="75"/>
      <c r="AHG1180" s="75"/>
      <c r="AHH1180" s="75"/>
      <c r="AHI1180" s="75"/>
      <c r="AHJ1180" s="75"/>
      <c r="AHK1180" s="75"/>
      <c r="AHL1180" s="75"/>
      <c r="AHM1180" s="75"/>
      <c r="AHN1180" s="75"/>
      <c r="AHO1180" s="75"/>
      <c r="AHP1180" s="75"/>
      <c r="AHQ1180" s="75"/>
      <c r="AHR1180" s="75"/>
      <c r="AHS1180" s="75"/>
      <c r="AHT1180" s="75"/>
      <c r="AHU1180" s="75"/>
      <c r="AHV1180" s="75"/>
      <c r="AHW1180" s="75"/>
      <c r="AHX1180" s="75"/>
      <c r="AHY1180" s="75"/>
      <c r="AHZ1180" s="75"/>
      <c r="AIA1180" s="75"/>
      <c r="AIB1180" s="75"/>
      <c r="AIC1180" s="75"/>
      <c r="AID1180" s="75"/>
      <c r="AIE1180" s="75"/>
      <c r="AIF1180" s="75"/>
      <c r="AIG1180" s="75"/>
      <c r="AIH1180" s="75"/>
      <c r="AII1180" s="75"/>
      <c r="AIJ1180" s="75"/>
      <c r="AIK1180" s="75"/>
      <c r="AIL1180" s="75"/>
      <c r="AIM1180" s="75"/>
      <c r="AIN1180" s="75"/>
      <c r="AIO1180" s="75"/>
      <c r="AIP1180" s="75"/>
      <c r="AIQ1180" s="75"/>
      <c r="AIR1180" s="75"/>
      <c r="AIS1180" s="75"/>
      <c r="AIT1180" s="75"/>
      <c r="AIU1180" s="75"/>
      <c r="AIV1180" s="75"/>
      <c r="AIW1180" s="75"/>
      <c r="AIX1180" s="75"/>
      <c r="AIY1180" s="75"/>
      <c r="AIZ1180" s="75"/>
      <c r="AJA1180" s="75"/>
      <c r="AJB1180" s="75"/>
      <c r="AJC1180" s="75"/>
      <c r="AJD1180" s="75"/>
      <c r="AJE1180" s="75"/>
      <c r="AJF1180" s="75"/>
      <c r="AJG1180" s="75"/>
      <c r="AJH1180" s="75"/>
      <c r="AJI1180" s="75"/>
      <c r="AJJ1180" s="75"/>
      <c r="AJK1180" s="75"/>
      <c r="AJL1180" s="75"/>
      <c r="AJM1180" s="75"/>
      <c r="AJN1180" s="75"/>
      <c r="AJO1180" s="75"/>
      <c r="AJP1180" s="75"/>
      <c r="AJQ1180" s="75"/>
      <c r="AJR1180" s="75"/>
      <c r="AJS1180" s="75"/>
      <c r="AJT1180" s="75"/>
      <c r="AJU1180" s="75"/>
      <c r="AJV1180" s="75"/>
      <c r="AJW1180" s="75"/>
      <c r="AJX1180" s="75"/>
      <c r="AJY1180" s="75"/>
      <c r="AJZ1180" s="75"/>
      <c r="AKA1180" s="75"/>
      <c r="AKB1180" s="75"/>
      <c r="AKC1180" s="75"/>
      <c r="AKD1180" s="75"/>
      <c r="AKE1180" s="75"/>
      <c r="AKF1180" s="75"/>
      <c r="AKG1180" s="75"/>
      <c r="AKH1180" s="75"/>
      <c r="AKI1180" s="75"/>
      <c r="AKJ1180" s="75"/>
      <c r="AKK1180" s="75"/>
      <c r="AKL1180" s="75"/>
      <c r="AKM1180" s="75"/>
      <c r="AKN1180" s="75"/>
      <c r="AKO1180" s="75"/>
      <c r="AKP1180" s="75"/>
      <c r="AKQ1180" s="75"/>
      <c r="AKR1180" s="75"/>
      <c r="AKS1180" s="75"/>
      <c r="AKT1180" s="75"/>
      <c r="AKU1180" s="75"/>
      <c r="AKV1180" s="75"/>
      <c r="AKW1180" s="75"/>
      <c r="AKX1180" s="75"/>
      <c r="AKY1180" s="75"/>
      <c r="AKZ1180" s="75"/>
      <c r="ALA1180" s="75"/>
      <c r="ALB1180" s="75"/>
      <c r="ALC1180" s="75"/>
      <c r="ALD1180" s="75"/>
      <c r="ALE1180" s="75"/>
      <c r="ALF1180" s="75"/>
      <c r="ALG1180" s="75"/>
      <c r="ALH1180" s="75"/>
      <c r="ALI1180" s="75"/>
      <c r="ALJ1180" s="75"/>
      <c r="ALK1180" s="75"/>
      <c r="ALL1180" s="75"/>
      <c r="ALM1180" s="75"/>
      <c r="ALN1180" s="75"/>
      <c r="ALO1180" s="75"/>
    </row>
    <row r="1181" spans="1:1003" s="238" customFormat="1" ht="14.55" customHeight="1" outlineLevel="1" x14ac:dyDescent="0.25">
      <c r="A1181" s="230" t="s">
        <v>1422</v>
      </c>
      <c r="B1181" s="343" t="str">
        <f>"28.0602"</f>
        <v>28.0602</v>
      </c>
      <c r="C1181" s="75" t="s">
        <v>3475</v>
      </c>
      <c r="D1181" s="127" t="s">
        <v>3476</v>
      </c>
      <c r="E1181" s="232"/>
      <c r="F1181" s="75"/>
      <c r="G1181" s="75"/>
      <c r="H1181" s="75"/>
      <c r="I1181" s="75"/>
      <c r="J1181" s="75"/>
      <c r="K1181" s="75"/>
      <c r="L1181" s="75"/>
      <c r="M1181" s="75"/>
      <c r="N1181" s="75"/>
      <c r="O1181" s="75"/>
      <c r="P1181" s="75"/>
      <c r="Q1181" s="75"/>
      <c r="R1181" s="75"/>
      <c r="S1181" s="75"/>
      <c r="T1181" s="75"/>
      <c r="U1181" s="75"/>
      <c r="V1181" s="75"/>
      <c r="W1181" s="75"/>
      <c r="X1181" s="75"/>
      <c r="Y1181" s="75"/>
      <c r="Z1181" s="75"/>
      <c r="AA1181" s="75"/>
      <c r="AB1181" s="75"/>
      <c r="AC1181" s="75"/>
      <c r="AD1181" s="75"/>
      <c r="AE1181" s="75"/>
      <c r="AF1181" s="75"/>
      <c r="AG1181" s="75"/>
      <c r="AH1181" s="75"/>
      <c r="AI1181" s="75"/>
      <c r="AJ1181" s="75"/>
      <c r="AK1181" s="75"/>
      <c r="AL1181" s="75"/>
      <c r="AM1181" s="75"/>
      <c r="AN1181" s="75"/>
      <c r="AO1181" s="75"/>
      <c r="AP1181" s="75"/>
      <c r="AQ1181" s="75"/>
      <c r="AR1181" s="75"/>
      <c r="AS1181" s="75"/>
      <c r="AT1181" s="75"/>
      <c r="AU1181" s="75"/>
      <c r="AV1181" s="75"/>
      <c r="AW1181" s="75"/>
      <c r="AX1181" s="75"/>
      <c r="AY1181" s="75"/>
      <c r="AZ1181" s="75"/>
      <c r="BA1181" s="75"/>
      <c r="BB1181" s="75"/>
      <c r="BC1181" s="75"/>
      <c r="BD1181" s="75"/>
      <c r="BE1181" s="75"/>
      <c r="BF1181" s="75"/>
      <c r="BG1181" s="75"/>
      <c r="BH1181" s="75"/>
      <c r="BI1181" s="75"/>
      <c r="BJ1181" s="75"/>
      <c r="BK1181" s="75"/>
      <c r="BL1181" s="75"/>
      <c r="BM1181" s="75"/>
      <c r="BN1181" s="75"/>
      <c r="BO1181" s="75"/>
      <c r="BP1181" s="75"/>
      <c r="BQ1181" s="75"/>
      <c r="BR1181" s="75"/>
      <c r="BS1181" s="75"/>
      <c r="BT1181" s="75"/>
      <c r="BU1181" s="75"/>
      <c r="BV1181" s="75"/>
      <c r="BW1181" s="75"/>
      <c r="BX1181" s="75"/>
      <c r="BY1181" s="75"/>
      <c r="BZ1181" s="75"/>
      <c r="CA1181" s="75"/>
      <c r="CB1181" s="75"/>
      <c r="CC1181" s="75"/>
      <c r="CD1181" s="75"/>
      <c r="CE1181" s="75"/>
      <c r="CF1181" s="75"/>
      <c r="CG1181" s="75"/>
      <c r="CH1181" s="75"/>
      <c r="CI1181" s="75"/>
      <c r="CJ1181" s="75"/>
      <c r="CK1181" s="75"/>
      <c r="CL1181" s="75"/>
      <c r="CM1181" s="75"/>
      <c r="CN1181" s="75"/>
      <c r="CO1181" s="75"/>
      <c r="CP1181" s="75"/>
      <c r="CQ1181" s="75"/>
      <c r="CR1181" s="75"/>
      <c r="CS1181" s="75"/>
      <c r="CT1181" s="75"/>
      <c r="CU1181" s="75"/>
      <c r="CV1181" s="75"/>
      <c r="CW1181" s="75"/>
      <c r="CX1181" s="75"/>
      <c r="CY1181" s="75"/>
      <c r="CZ1181" s="75"/>
      <c r="DA1181" s="75"/>
      <c r="DB1181" s="75"/>
      <c r="DC1181" s="75"/>
      <c r="DD1181" s="75"/>
      <c r="DE1181" s="75"/>
      <c r="DF1181" s="75"/>
      <c r="DG1181" s="75"/>
      <c r="DH1181" s="75"/>
      <c r="DI1181" s="75"/>
      <c r="DJ1181" s="75"/>
      <c r="DK1181" s="75"/>
      <c r="DL1181" s="75"/>
      <c r="DM1181" s="75"/>
      <c r="DN1181" s="75"/>
      <c r="DO1181" s="75"/>
      <c r="DP1181" s="75"/>
      <c r="DQ1181" s="75"/>
      <c r="DR1181" s="75"/>
      <c r="DS1181" s="75"/>
      <c r="DT1181" s="75"/>
      <c r="DU1181" s="75"/>
      <c r="DV1181" s="75"/>
      <c r="DW1181" s="75"/>
      <c r="DX1181" s="75"/>
      <c r="DY1181" s="75"/>
      <c r="DZ1181" s="75"/>
      <c r="EA1181" s="75"/>
      <c r="EB1181" s="75"/>
      <c r="EC1181" s="75"/>
      <c r="ED1181" s="75"/>
      <c r="EE1181" s="75"/>
      <c r="EF1181" s="75"/>
      <c r="EG1181" s="75"/>
      <c r="EH1181" s="75"/>
      <c r="EI1181" s="75"/>
      <c r="EJ1181" s="75"/>
      <c r="EK1181" s="75"/>
      <c r="EL1181" s="75"/>
      <c r="EM1181" s="75"/>
      <c r="EN1181" s="75"/>
      <c r="EO1181" s="75"/>
      <c r="EP1181" s="75"/>
      <c r="EQ1181" s="75"/>
      <c r="ER1181" s="75"/>
      <c r="ES1181" s="75"/>
      <c r="ET1181" s="75"/>
      <c r="EU1181" s="75"/>
      <c r="EV1181" s="75"/>
      <c r="EW1181" s="75"/>
      <c r="EX1181" s="75"/>
      <c r="EY1181" s="75"/>
      <c r="EZ1181" s="75"/>
      <c r="FA1181" s="75"/>
      <c r="FB1181" s="75"/>
      <c r="FC1181" s="75"/>
      <c r="FD1181" s="75"/>
      <c r="FE1181" s="75"/>
      <c r="FF1181" s="75"/>
      <c r="FG1181" s="75"/>
      <c r="FH1181" s="75"/>
      <c r="FI1181" s="75"/>
      <c r="FJ1181" s="75"/>
      <c r="FK1181" s="75"/>
      <c r="FL1181" s="75"/>
      <c r="FM1181" s="75"/>
      <c r="FN1181" s="75"/>
      <c r="FO1181" s="75"/>
      <c r="FP1181" s="75"/>
      <c r="FQ1181" s="75"/>
      <c r="FR1181" s="75"/>
      <c r="FS1181" s="75"/>
      <c r="FT1181" s="75"/>
      <c r="FU1181" s="75"/>
      <c r="FV1181" s="75"/>
      <c r="FW1181" s="75"/>
      <c r="FX1181" s="75"/>
      <c r="FY1181" s="75"/>
      <c r="FZ1181" s="75"/>
      <c r="GA1181" s="75"/>
      <c r="GB1181" s="75"/>
      <c r="GC1181" s="75"/>
      <c r="GD1181" s="75"/>
      <c r="GE1181" s="75"/>
      <c r="GF1181" s="75"/>
      <c r="GG1181" s="75"/>
      <c r="GH1181" s="75"/>
      <c r="GI1181" s="75"/>
      <c r="GJ1181" s="75"/>
      <c r="GK1181" s="75"/>
      <c r="GL1181" s="75"/>
      <c r="GM1181" s="75"/>
      <c r="GN1181" s="75"/>
      <c r="GO1181" s="75"/>
      <c r="GP1181" s="75"/>
      <c r="GQ1181" s="75"/>
      <c r="GR1181" s="75"/>
      <c r="GS1181" s="75"/>
      <c r="GT1181" s="75"/>
      <c r="GU1181" s="75"/>
      <c r="GV1181" s="75"/>
      <c r="GW1181" s="75"/>
      <c r="GX1181" s="75"/>
      <c r="GY1181" s="75"/>
      <c r="GZ1181" s="75"/>
      <c r="HA1181" s="75"/>
      <c r="HB1181" s="75"/>
      <c r="HC1181" s="75"/>
      <c r="HD1181" s="75"/>
      <c r="HE1181" s="75"/>
      <c r="HF1181" s="75"/>
      <c r="HG1181" s="75"/>
      <c r="HH1181" s="75"/>
      <c r="HI1181" s="75"/>
      <c r="HJ1181" s="75"/>
      <c r="HK1181" s="75"/>
      <c r="HL1181" s="75"/>
      <c r="HM1181" s="75"/>
      <c r="HN1181" s="75"/>
      <c r="HO1181" s="75"/>
      <c r="HP1181" s="75"/>
      <c r="HQ1181" s="75"/>
      <c r="HR1181" s="75"/>
      <c r="HS1181" s="75"/>
      <c r="HT1181" s="75"/>
      <c r="HU1181" s="75"/>
      <c r="HV1181" s="75"/>
      <c r="HW1181" s="75"/>
      <c r="HX1181" s="75"/>
      <c r="HY1181" s="75"/>
      <c r="HZ1181" s="75"/>
      <c r="IA1181" s="75"/>
      <c r="IB1181" s="75"/>
      <c r="IC1181" s="75"/>
      <c r="ID1181" s="75"/>
      <c r="IE1181" s="75"/>
      <c r="IF1181" s="75"/>
      <c r="IG1181" s="75"/>
      <c r="IH1181" s="75"/>
      <c r="II1181" s="75"/>
      <c r="IJ1181" s="75"/>
      <c r="IK1181" s="75"/>
      <c r="IL1181" s="75"/>
      <c r="IM1181" s="75"/>
      <c r="IN1181" s="75"/>
      <c r="IO1181" s="75"/>
      <c r="IP1181" s="75"/>
      <c r="IQ1181" s="75"/>
      <c r="IR1181" s="75"/>
      <c r="IS1181" s="75"/>
      <c r="IT1181" s="75"/>
      <c r="IU1181" s="75"/>
      <c r="IV1181" s="75"/>
      <c r="IW1181" s="75"/>
      <c r="IX1181" s="75"/>
      <c r="IY1181" s="75"/>
      <c r="IZ1181" s="75"/>
      <c r="JA1181" s="75"/>
      <c r="JB1181" s="75"/>
      <c r="JC1181" s="75"/>
      <c r="JD1181" s="75"/>
      <c r="JE1181" s="75"/>
      <c r="JF1181" s="75"/>
      <c r="JG1181" s="75"/>
      <c r="JH1181" s="75"/>
      <c r="JI1181" s="75"/>
      <c r="JJ1181" s="75"/>
      <c r="JK1181" s="75"/>
      <c r="JL1181" s="75"/>
      <c r="JM1181" s="75"/>
      <c r="JN1181" s="75"/>
      <c r="JO1181" s="75"/>
      <c r="JP1181" s="75"/>
      <c r="JQ1181" s="75"/>
      <c r="JR1181" s="75"/>
      <c r="JS1181" s="75"/>
      <c r="JT1181" s="75"/>
      <c r="JU1181" s="75"/>
      <c r="JV1181" s="75"/>
      <c r="JW1181" s="75"/>
      <c r="JX1181" s="75"/>
      <c r="JY1181" s="75"/>
      <c r="JZ1181" s="75"/>
      <c r="KA1181" s="75"/>
      <c r="KB1181" s="75"/>
      <c r="KC1181" s="75"/>
      <c r="KD1181" s="75"/>
      <c r="KE1181" s="75"/>
      <c r="KF1181" s="75"/>
      <c r="KG1181" s="75"/>
      <c r="KH1181" s="75"/>
      <c r="KI1181" s="75"/>
      <c r="KJ1181" s="75"/>
      <c r="KK1181" s="75"/>
      <c r="KL1181" s="75"/>
      <c r="KM1181" s="75"/>
      <c r="KN1181" s="75"/>
      <c r="KO1181" s="75"/>
      <c r="KP1181" s="75"/>
      <c r="KQ1181" s="75"/>
      <c r="KR1181" s="75"/>
      <c r="KS1181" s="75"/>
      <c r="KT1181" s="75"/>
      <c r="KU1181" s="75"/>
      <c r="KV1181" s="75"/>
      <c r="KW1181" s="75"/>
      <c r="KX1181" s="75"/>
      <c r="KY1181" s="75"/>
      <c r="KZ1181" s="75"/>
      <c r="LA1181" s="75"/>
      <c r="LB1181" s="75"/>
      <c r="LC1181" s="75"/>
      <c r="LD1181" s="75"/>
      <c r="LE1181" s="75"/>
      <c r="LF1181" s="75"/>
      <c r="LG1181" s="75"/>
      <c r="LH1181" s="75"/>
      <c r="LI1181" s="75"/>
      <c r="LJ1181" s="75"/>
      <c r="LK1181" s="75"/>
      <c r="LL1181" s="75"/>
      <c r="LM1181" s="75"/>
      <c r="LN1181" s="75"/>
      <c r="LO1181" s="75"/>
      <c r="LP1181" s="75"/>
      <c r="LQ1181" s="75"/>
      <c r="LR1181" s="75"/>
      <c r="LS1181" s="75"/>
      <c r="LT1181" s="75"/>
      <c r="LU1181" s="75"/>
      <c r="LV1181" s="75"/>
      <c r="LW1181" s="75"/>
      <c r="LX1181" s="75"/>
      <c r="LY1181" s="75"/>
      <c r="LZ1181" s="75"/>
      <c r="MA1181" s="75"/>
      <c r="MB1181" s="75"/>
      <c r="MC1181" s="75"/>
      <c r="MD1181" s="75"/>
      <c r="ME1181" s="75"/>
      <c r="MF1181" s="75"/>
      <c r="MG1181" s="75"/>
      <c r="MH1181" s="75"/>
      <c r="MI1181" s="75"/>
      <c r="MJ1181" s="75"/>
      <c r="MK1181" s="75"/>
      <c r="ML1181" s="75"/>
      <c r="MM1181" s="75"/>
      <c r="MN1181" s="75"/>
      <c r="MO1181" s="75"/>
      <c r="MP1181" s="75"/>
      <c r="MQ1181" s="75"/>
      <c r="MR1181" s="75"/>
      <c r="MS1181" s="75"/>
      <c r="MT1181" s="75"/>
      <c r="MU1181" s="75"/>
      <c r="MV1181" s="75"/>
      <c r="MW1181" s="75"/>
      <c r="MX1181" s="75"/>
      <c r="MY1181" s="75"/>
      <c r="MZ1181" s="75"/>
      <c r="NA1181" s="75"/>
      <c r="NB1181" s="75"/>
      <c r="NC1181" s="75"/>
      <c r="ND1181" s="75"/>
      <c r="NE1181" s="75"/>
      <c r="NF1181" s="75"/>
      <c r="NG1181" s="75"/>
      <c r="NH1181" s="75"/>
      <c r="NI1181" s="75"/>
      <c r="NJ1181" s="75"/>
      <c r="NK1181" s="75"/>
      <c r="NL1181" s="75"/>
      <c r="NM1181" s="75"/>
      <c r="NN1181" s="75"/>
      <c r="NO1181" s="75"/>
      <c r="NP1181" s="75"/>
      <c r="NQ1181" s="75"/>
      <c r="NR1181" s="75"/>
      <c r="NS1181" s="75"/>
      <c r="NT1181" s="75"/>
      <c r="NU1181" s="75"/>
      <c r="NV1181" s="75"/>
      <c r="NW1181" s="75"/>
      <c r="NX1181" s="75"/>
      <c r="NY1181" s="75"/>
      <c r="NZ1181" s="75"/>
      <c r="OA1181" s="75"/>
      <c r="OB1181" s="75"/>
      <c r="OC1181" s="75"/>
      <c r="OD1181" s="75"/>
      <c r="OE1181" s="75"/>
      <c r="OF1181" s="75"/>
      <c r="OG1181" s="75"/>
      <c r="OH1181" s="75"/>
      <c r="OI1181" s="75"/>
      <c r="OJ1181" s="75"/>
      <c r="OK1181" s="75"/>
      <c r="OL1181" s="75"/>
      <c r="OM1181" s="75"/>
      <c r="ON1181" s="75"/>
      <c r="OO1181" s="75"/>
      <c r="OP1181" s="75"/>
      <c r="OQ1181" s="75"/>
      <c r="OR1181" s="75"/>
      <c r="OS1181" s="75"/>
      <c r="OT1181" s="75"/>
      <c r="OU1181" s="75"/>
      <c r="OV1181" s="75"/>
      <c r="OW1181" s="75"/>
      <c r="OX1181" s="75"/>
      <c r="OY1181" s="75"/>
      <c r="OZ1181" s="75"/>
      <c r="PA1181" s="75"/>
      <c r="PB1181" s="75"/>
      <c r="PC1181" s="75"/>
      <c r="PD1181" s="75"/>
      <c r="PE1181" s="75"/>
      <c r="PF1181" s="75"/>
      <c r="PG1181" s="75"/>
      <c r="PH1181" s="75"/>
      <c r="PI1181" s="75"/>
      <c r="PJ1181" s="75"/>
      <c r="PK1181" s="75"/>
      <c r="PL1181" s="75"/>
      <c r="PM1181" s="75"/>
      <c r="PN1181" s="75"/>
      <c r="PO1181" s="75"/>
      <c r="PP1181" s="75"/>
      <c r="PQ1181" s="75"/>
      <c r="PR1181" s="75"/>
      <c r="PS1181" s="75"/>
      <c r="PT1181" s="75"/>
      <c r="PU1181" s="75"/>
      <c r="PV1181" s="75"/>
      <c r="PW1181" s="75"/>
      <c r="PX1181" s="75"/>
      <c r="PY1181" s="75"/>
      <c r="PZ1181" s="75"/>
      <c r="QA1181" s="75"/>
      <c r="QB1181" s="75"/>
      <c r="QC1181" s="75"/>
      <c r="QD1181" s="75"/>
      <c r="QE1181" s="75"/>
      <c r="QF1181" s="75"/>
      <c r="QG1181" s="75"/>
      <c r="QH1181" s="75"/>
      <c r="QI1181" s="75"/>
      <c r="QJ1181" s="75"/>
      <c r="QK1181" s="75"/>
      <c r="QL1181" s="75"/>
      <c r="QM1181" s="75"/>
      <c r="QN1181" s="75"/>
      <c r="QO1181" s="75"/>
      <c r="QP1181" s="75"/>
      <c r="QQ1181" s="75"/>
      <c r="QR1181" s="75"/>
      <c r="QS1181" s="75"/>
      <c r="QT1181" s="75"/>
      <c r="QU1181" s="75"/>
      <c r="QV1181" s="75"/>
      <c r="QW1181" s="75"/>
      <c r="QX1181" s="75"/>
      <c r="QY1181" s="75"/>
      <c r="QZ1181" s="75"/>
      <c r="RA1181" s="75"/>
      <c r="RB1181" s="75"/>
      <c r="RC1181" s="75"/>
      <c r="RD1181" s="75"/>
      <c r="RE1181" s="75"/>
      <c r="RF1181" s="75"/>
      <c r="RG1181" s="75"/>
      <c r="RH1181" s="75"/>
      <c r="RI1181" s="75"/>
      <c r="RJ1181" s="75"/>
      <c r="RK1181" s="75"/>
      <c r="RL1181" s="75"/>
      <c r="RM1181" s="75"/>
      <c r="RN1181" s="75"/>
      <c r="RO1181" s="75"/>
      <c r="RP1181" s="75"/>
      <c r="RQ1181" s="75"/>
      <c r="RR1181" s="75"/>
      <c r="RS1181" s="75"/>
      <c r="RT1181" s="75"/>
      <c r="RU1181" s="75"/>
      <c r="RV1181" s="75"/>
      <c r="RW1181" s="75"/>
      <c r="RX1181" s="75"/>
      <c r="RY1181" s="75"/>
      <c r="RZ1181" s="75"/>
      <c r="SA1181" s="75"/>
      <c r="SB1181" s="75"/>
      <c r="SC1181" s="75"/>
      <c r="SD1181" s="75"/>
      <c r="SE1181" s="75"/>
      <c r="SF1181" s="75"/>
      <c r="SG1181" s="75"/>
      <c r="SH1181" s="75"/>
      <c r="SI1181" s="75"/>
      <c r="SJ1181" s="75"/>
      <c r="SK1181" s="75"/>
      <c r="SL1181" s="75"/>
      <c r="SM1181" s="75"/>
      <c r="SN1181" s="75"/>
      <c r="SO1181" s="75"/>
      <c r="SP1181" s="75"/>
      <c r="SQ1181" s="75"/>
      <c r="SR1181" s="75"/>
      <c r="SS1181" s="75"/>
      <c r="ST1181" s="75"/>
      <c r="SU1181" s="75"/>
      <c r="SV1181" s="75"/>
      <c r="SW1181" s="75"/>
      <c r="SX1181" s="75"/>
      <c r="SY1181" s="75"/>
      <c r="SZ1181" s="75"/>
      <c r="TA1181" s="75"/>
      <c r="TB1181" s="75"/>
      <c r="TC1181" s="75"/>
      <c r="TD1181" s="75"/>
      <c r="TE1181" s="75"/>
      <c r="TF1181" s="75"/>
      <c r="TG1181" s="75"/>
      <c r="TH1181" s="75"/>
      <c r="TI1181" s="75"/>
      <c r="TJ1181" s="75"/>
      <c r="TK1181" s="75"/>
      <c r="TL1181" s="75"/>
      <c r="TM1181" s="75"/>
      <c r="TN1181" s="75"/>
      <c r="TO1181" s="75"/>
      <c r="TP1181" s="75"/>
      <c r="TQ1181" s="75"/>
      <c r="TR1181" s="75"/>
      <c r="TS1181" s="75"/>
      <c r="TT1181" s="75"/>
      <c r="TU1181" s="75"/>
      <c r="TV1181" s="75"/>
      <c r="TW1181" s="75"/>
      <c r="TX1181" s="75"/>
      <c r="TY1181" s="75"/>
      <c r="TZ1181" s="75"/>
      <c r="UA1181" s="75"/>
      <c r="UB1181" s="75"/>
      <c r="UC1181" s="75"/>
      <c r="UD1181" s="75"/>
      <c r="UE1181" s="75"/>
      <c r="UF1181" s="75"/>
      <c r="UG1181" s="75"/>
      <c r="UH1181" s="75"/>
      <c r="UI1181" s="75"/>
      <c r="UJ1181" s="75"/>
      <c r="UK1181" s="75"/>
      <c r="UL1181" s="75"/>
      <c r="UM1181" s="75"/>
      <c r="UN1181" s="75"/>
      <c r="UO1181" s="75"/>
      <c r="UP1181" s="75"/>
      <c r="UQ1181" s="75"/>
      <c r="UR1181" s="75"/>
      <c r="US1181" s="75"/>
      <c r="UT1181" s="75"/>
      <c r="UU1181" s="75"/>
      <c r="UV1181" s="75"/>
      <c r="UW1181" s="75"/>
      <c r="UX1181" s="75"/>
      <c r="UY1181" s="75"/>
      <c r="UZ1181" s="75"/>
      <c r="VA1181" s="75"/>
      <c r="VB1181" s="75"/>
      <c r="VC1181" s="75"/>
      <c r="VD1181" s="75"/>
      <c r="VE1181" s="75"/>
      <c r="VF1181" s="75"/>
      <c r="VG1181" s="75"/>
      <c r="VH1181" s="75"/>
      <c r="VI1181" s="75"/>
      <c r="VJ1181" s="75"/>
      <c r="VK1181" s="75"/>
      <c r="VL1181" s="75"/>
      <c r="VM1181" s="75"/>
      <c r="VN1181" s="75"/>
      <c r="VO1181" s="75"/>
      <c r="VP1181" s="75"/>
      <c r="VQ1181" s="75"/>
      <c r="VR1181" s="75"/>
      <c r="VS1181" s="75"/>
      <c r="VT1181" s="75"/>
      <c r="VU1181" s="75"/>
      <c r="VV1181" s="75"/>
      <c r="VW1181" s="75"/>
      <c r="VX1181" s="75"/>
      <c r="VY1181" s="75"/>
      <c r="VZ1181" s="75"/>
      <c r="WA1181" s="75"/>
      <c r="WB1181" s="75"/>
      <c r="WC1181" s="75"/>
      <c r="WD1181" s="75"/>
      <c r="WE1181" s="75"/>
      <c r="WF1181" s="75"/>
      <c r="WG1181" s="75"/>
      <c r="WH1181" s="75"/>
      <c r="WI1181" s="75"/>
      <c r="WJ1181" s="75"/>
      <c r="WK1181" s="75"/>
      <c r="WL1181" s="75"/>
      <c r="WM1181" s="75"/>
      <c r="WN1181" s="75"/>
      <c r="WO1181" s="75"/>
      <c r="WP1181" s="75"/>
      <c r="WQ1181" s="75"/>
      <c r="WR1181" s="75"/>
      <c r="WS1181" s="75"/>
      <c r="WT1181" s="75"/>
      <c r="WU1181" s="75"/>
      <c r="WV1181" s="75"/>
      <c r="WW1181" s="75"/>
      <c r="WX1181" s="75"/>
      <c r="WY1181" s="75"/>
      <c r="WZ1181" s="75"/>
      <c r="XA1181" s="75"/>
      <c r="XB1181" s="75"/>
      <c r="XC1181" s="75"/>
      <c r="XD1181" s="75"/>
      <c r="XE1181" s="75"/>
      <c r="XF1181" s="75"/>
      <c r="XG1181" s="75"/>
      <c r="XH1181" s="75"/>
      <c r="XI1181" s="75"/>
      <c r="XJ1181" s="75"/>
      <c r="XK1181" s="75"/>
      <c r="XL1181" s="75"/>
      <c r="XM1181" s="75"/>
      <c r="XN1181" s="75"/>
      <c r="XO1181" s="75"/>
      <c r="XP1181" s="75"/>
      <c r="XQ1181" s="75"/>
      <c r="XR1181" s="75"/>
      <c r="XS1181" s="75"/>
      <c r="XT1181" s="75"/>
      <c r="XU1181" s="75"/>
      <c r="XV1181" s="75"/>
      <c r="XW1181" s="75"/>
      <c r="XX1181" s="75"/>
      <c r="XY1181" s="75"/>
      <c r="XZ1181" s="75"/>
      <c r="YA1181" s="75"/>
      <c r="YB1181" s="75"/>
      <c r="YC1181" s="75"/>
      <c r="YD1181" s="75"/>
      <c r="YE1181" s="75"/>
      <c r="YF1181" s="75"/>
      <c r="YG1181" s="75"/>
      <c r="YH1181" s="75"/>
      <c r="YI1181" s="75"/>
      <c r="YJ1181" s="75"/>
      <c r="YK1181" s="75"/>
      <c r="YL1181" s="75"/>
      <c r="YM1181" s="75"/>
      <c r="YN1181" s="75"/>
      <c r="YO1181" s="75"/>
      <c r="YP1181" s="75"/>
      <c r="YQ1181" s="75"/>
      <c r="YR1181" s="75"/>
      <c r="YS1181" s="75"/>
      <c r="YT1181" s="75"/>
      <c r="YU1181" s="75"/>
      <c r="YV1181" s="75"/>
      <c r="YW1181" s="75"/>
      <c r="YX1181" s="75"/>
      <c r="YY1181" s="75"/>
      <c r="YZ1181" s="75"/>
      <c r="ZA1181" s="75"/>
      <c r="ZB1181" s="75"/>
      <c r="ZC1181" s="75"/>
      <c r="ZD1181" s="75"/>
      <c r="ZE1181" s="75"/>
      <c r="ZF1181" s="75"/>
      <c r="ZG1181" s="75"/>
      <c r="ZH1181" s="75"/>
      <c r="ZI1181" s="75"/>
      <c r="ZJ1181" s="75"/>
      <c r="ZK1181" s="75"/>
      <c r="ZL1181" s="75"/>
      <c r="ZM1181" s="75"/>
      <c r="ZN1181" s="75"/>
      <c r="ZO1181" s="75"/>
      <c r="ZP1181" s="75"/>
      <c r="ZQ1181" s="75"/>
      <c r="ZR1181" s="75"/>
      <c r="ZS1181" s="75"/>
      <c r="ZT1181" s="75"/>
      <c r="ZU1181" s="75"/>
      <c r="ZV1181" s="75"/>
      <c r="ZW1181" s="75"/>
      <c r="ZX1181" s="75"/>
      <c r="ZY1181" s="75"/>
      <c r="ZZ1181" s="75"/>
      <c r="AAA1181" s="75"/>
      <c r="AAB1181" s="75"/>
      <c r="AAC1181" s="75"/>
      <c r="AAD1181" s="75"/>
      <c r="AAE1181" s="75"/>
      <c r="AAF1181" s="75"/>
      <c r="AAG1181" s="75"/>
      <c r="AAH1181" s="75"/>
      <c r="AAI1181" s="75"/>
      <c r="AAJ1181" s="75"/>
      <c r="AAK1181" s="75"/>
      <c r="AAL1181" s="75"/>
      <c r="AAM1181" s="75"/>
      <c r="AAN1181" s="75"/>
      <c r="AAO1181" s="75"/>
      <c r="AAP1181" s="75"/>
      <c r="AAQ1181" s="75"/>
      <c r="AAR1181" s="75"/>
      <c r="AAS1181" s="75"/>
      <c r="AAT1181" s="75"/>
      <c r="AAU1181" s="75"/>
      <c r="AAV1181" s="75"/>
      <c r="AAW1181" s="75"/>
      <c r="AAX1181" s="75"/>
      <c r="AAY1181" s="75"/>
      <c r="AAZ1181" s="75"/>
      <c r="ABA1181" s="75"/>
      <c r="ABB1181" s="75"/>
      <c r="ABC1181" s="75"/>
      <c r="ABD1181" s="75"/>
      <c r="ABE1181" s="75"/>
      <c r="ABF1181" s="75"/>
      <c r="ABG1181" s="75"/>
      <c r="ABH1181" s="75"/>
      <c r="ABI1181" s="75"/>
      <c r="ABJ1181" s="75"/>
      <c r="ABK1181" s="75"/>
      <c r="ABL1181" s="75"/>
      <c r="ABM1181" s="75"/>
      <c r="ABN1181" s="75"/>
      <c r="ABO1181" s="75"/>
      <c r="ABP1181" s="75"/>
      <c r="ABQ1181" s="75"/>
      <c r="ABR1181" s="75"/>
      <c r="ABS1181" s="75"/>
      <c r="ABT1181" s="75"/>
      <c r="ABU1181" s="75"/>
      <c r="ABV1181" s="75"/>
      <c r="ABW1181" s="75"/>
      <c r="ABX1181" s="75"/>
      <c r="ABY1181" s="75"/>
      <c r="ABZ1181" s="75"/>
      <c r="ACA1181" s="75"/>
      <c r="ACB1181" s="75"/>
      <c r="ACC1181" s="75"/>
      <c r="ACD1181" s="75"/>
      <c r="ACE1181" s="75"/>
      <c r="ACF1181" s="75"/>
      <c r="ACG1181" s="75"/>
      <c r="ACH1181" s="75"/>
      <c r="ACI1181" s="75"/>
      <c r="ACJ1181" s="75"/>
      <c r="ACK1181" s="75"/>
      <c r="ACL1181" s="75"/>
      <c r="ACM1181" s="75"/>
      <c r="ACN1181" s="75"/>
      <c r="ACO1181" s="75"/>
      <c r="ACP1181" s="75"/>
      <c r="ACQ1181" s="75"/>
      <c r="ACR1181" s="75"/>
      <c r="ACS1181" s="75"/>
      <c r="ACT1181" s="75"/>
      <c r="ACU1181" s="75"/>
      <c r="ACV1181" s="75"/>
      <c r="ACW1181" s="75"/>
      <c r="ACX1181" s="75"/>
      <c r="ACY1181" s="75"/>
      <c r="ACZ1181" s="75"/>
      <c r="ADA1181" s="75"/>
      <c r="ADB1181" s="75"/>
      <c r="ADC1181" s="75"/>
      <c r="ADD1181" s="75"/>
      <c r="ADE1181" s="75"/>
      <c r="ADF1181" s="75"/>
      <c r="ADG1181" s="75"/>
      <c r="ADH1181" s="75"/>
      <c r="ADI1181" s="75"/>
      <c r="ADJ1181" s="75"/>
      <c r="ADK1181" s="75"/>
      <c r="ADL1181" s="75"/>
      <c r="ADM1181" s="75"/>
      <c r="ADN1181" s="75"/>
      <c r="ADO1181" s="75"/>
      <c r="ADP1181" s="75"/>
      <c r="ADQ1181" s="75"/>
      <c r="ADR1181" s="75"/>
      <c r="ADS1181" s="75"/>
      <c r="ADT1181" s="75"/>
      <c r="ADU1181" s="75"/>
      <c r="ADV1181" s="75"/>
      <c r="ADW1181" s="75"/>
      <c r="ADX1181" s="75"/>
      <c r="ADY1181" s="75"/>
      <c r="ADZ1181" s="75"/>
      <c r="AEA1181" s="75"/>
      <c r="AEB1181" s="75"/>
      <c r="AEC1181" s="75"/>
      <c r="AED1181" s="75"/>
      <c r="AEE1181" s="75"/>
      <c r="AEF1181" s="75"/>
      <c r="AEG1181" s="75"/>
      <c r="AEH1181" s="75"/>
      <c r="AEI1181" s="75"/>
      <c r="AEJ1181" s="75"/>
      <c r="AEK1181" s="75"/>
      <c r="AEL1181" s="75"/>
      <c r="AEM1181" s="75"/>
      <c r="AEN1181" s="75"/>
      <c r="AEO1181" s="75"/>
      <c r="AEP1181" s="75"/>
      <c r="AEQ1181" s="75"/>
      <c r="AER1181" s="75"/>
      <c r="AES1181" s="75"/>
      <c r="AET1181" s="75"/>
      <c r="AEU1181" s="75"/>
      <c r="AEV1181" s="75"/>
      <c r="AEW1181" s="75"/>
      <c r="AEX1181" s="75"/>
      <c r="AEY1181" s="75"/>
      <c r="AEZ1181" s="75"/>
      <c r="AFA1181" s="75"/>
      <c r="AFB1181" s="75"/>
      <c r="AFC1181" s="75"/>
      <c r="AFD1181" s="75"/>
      <c r="AFE1181" s="75"/>
      <c r="AFF1181" s="75"/>
      <c r="AFG1181" s="75"/>
      <c r="AFH1181" s="75"/>
      <c r="AFI1181" s="75"/>
      <c r="AFJ1181" s="75"/>
      <c r="AFK1181" s="75"/>
      <c r="AFL1181" s="75"/>
      <c r="AFM1181" s="75"/>
      <c r="AFN1181" s="75"/>
      <c r="AFO1181" s="75"/>
      <c r="AFP1181" s="75"/>
      <c r="AFQ1181" s="75"/>
      <c r="AFR1181" s="75"/>
      <c r="AFS1181" s="75"/>
      <c r="AFT1181" s="75"/>
      <c r="AFU1181" s="75"/>
      <c r="AFV1181" s="75"/>
      <c r="AFW1181" s="75"/>
      <c r="AFX1181" s="75"/>
      <c r="AFY1181" s="75"/>
      <c r="AFZ1181" s="75"/>
      <c r="AGA1181" s="75"/>
      <c r="AGB1181" s="75"/>
      <c r="AGC1181" s="75"/>
      <c r="AGD1181" s="75"/>
      <c r="AGE1181" s="75"/>
      <c r="AGF1181" s="75"/>
      <c r="AGG1181" s="75"/>
      <c r="AGH1181" s="75"/>
      <c r="AGI1181" s="75"/>
      <c r="AGJ1181" s="75"/>
      <c r="AGK1181" s="75"/>
      <c r="AGL1181" s="75"/>
      <c r="AGM1181" s="75"/>
      <c r="AGN1181" s="75"/>
      <c r="AGO1181" s="75"/>
      <c r="AGP1181" s="75"/>
      <c r="AGQ1181" s="75"/>
      <c r="AGR1181" s="75"/>
      <c r="AGS1181" s="75"/>
      <c r="AGT1181" s="75"/>
      <c r="AGU1181" s="75"/>
      <c r="AGV1181" s="75"/>
      <c r="AGW1181" s="75"/>
      <c r="AGX1181" s="75"/>
      <c r="AGY1181" s="75"/>
      <c r="AGZ1181" s="75"/>
      <c r="AHA1181" s="75"/>
      <c r="AHB1181" s="75"/>
      <c r="AHC1181" s="75"/>
      <c r="AHD1181" s="75"/>
      <c r="AHE1181" s="75"/>
      <c r="AHF1181" s="75"/>
      <c r="AHG1181" s="75"/>
      <c r="AHH1181" s="75"/>
      <c r="AHI1181" s="75"/>
      <c r="AHJ1181" s="75"/>
      <c r="AHK1181" s="75"/>
      <c r="AHL1181" s="75"/>
      <c r="AHM1181" s="75"/>
      <c r="AHN1181" s="75"/>
      <c r="AHO1181" s="75"/>
      <c r="AHP1181" s="75"/>
      <c r="AHQ1181" s="75"/>
      <c r="AHR1181" s="75"/>
      <c r="AHS1181" s="75"/>
      <c r="AHT1181" s="75"/>
      <c r="AHU1181" s="75"/>
      <c r="AHV1181" s="75"/>
      <c r="AHW1181" s="75"/>
      <c r="AHX1181" s="75"/>
      <c r="AHY1181" s="75"/>
      <c r="AHZ1181" s="75"/>
      <c r="AIA1181" s="75"/>
      <c r="AIB1181" s="75"/>
      <c r="AIC1181" s="75"/>
      <c r="AID1181" s="75"/>
      <c r="AIE1181" s="75"/>
      <c r="AIF1181" s="75"/>
      <c r="AIG1181" s="75"/>
      <c r="AIH1181" s="75"/>
      <c r="AII1181" s="75"/>
      <c r="AIJ1181" s="75"/>
      <c r="AIK1181" s="75"/>
      <c r="AIL1181" s="75"/>
      <c r="AIM1181" s="75"/>
      <c r="AIN1181" s="75"/>
      <c r="AIO1181" s="75"/>
      <c r="AIP1181" s="75"/>
      <c r="AIQ1181" s="75"/>
      <c r="AIR1181" s="75"/>
      <c r="AIS1181" s="75"/>
      <c r="AIT1181" s="75"/>
      <c r="AIU1181" s="75"/>
      <c r="AIV1181" s="75"/>
      <c r="AIW1181" s="75"/>
      <c r="AIX1181" s="75"/>
      <c r="AIY1181" s="75"/>
      <c r="AIZ1181" s="75"/>
      <c r="AJA1181" s="75"/>
      <c r="AJB1181" s="75"/>
      <c r="AJC1181" s="75"/>
      <c r="AJD1181" s="75"/>
      <c r="AJE1181" s="75"/>
      <c r="AJF1181" s="75"/>
      <c r="AJG1181" s="75"/>
      <c r="AJH1181" s="75"/>
      <c r="AJI1181" s="75"/>
      <c r="AJJ1181" s="75"/>
      <c r="AJK1181" s="75"/>
      <c r="AJL1181" s="75"/>
      <c r="AJM1181" s="75"/>
      <c r="AJN1181" s="75"/>
      <c r="AJO1181" s="75"/>
      <c r="AJP1181" s="75"/>
      <c r="AJQ1181" s="75"/>
      <c r="AJR1181" s="75"/>
      <c r="AJS1181" s="75"/>
      <c r="AJT1181" s="75"/>
      <c r="AJU1181" s="75"/>
      <c r="AJV1181" s="75"/>
      <c r="AJW1181" s="75"/>
      <c r="AJX1181" s="75"/>
      <c r="AJY1181" s="75"/>
      <c r="AJZ1181" s="75"/>
      <c r="AKA1181" s="75"/>
      <c r="AKB1181" s="75"/>
      <c r="AKC1181" s="75"/>
      <c r="AKD1181" s="75"/>
      <c r="AKE1181" s="75"/>
      <c r="AKF1181" s="75"/>
      <c r="AKG1181" s="75"/>
      <c r="AKH1181" s="75"/>
      <c r="AKI1181" s="75"/>
      <c r="AKJ1181" s="75"/>
      <c r="AKK1181" s="75"/>
      <c r="AKL1181" s="75"/>
      <c r="AKM1181" s="75"/>
      <c r="AKN1181" s="75"/>
      <c r="AKO1181" s="75"/>
      <c r="AKP1181" s="75"/>
      <c r="AKQ1181" s="75"/>
      <c r="AKR1181" s="75"/>
      <c r="AKS1181" s="75"/>
      <c r="AKT1181" s="75"/>
      <c r="AKU1181" s="75"/>
      <c r="AKV1181" s="75"/>
      <c r="AKW1181" s="75"/>
      <c r="AKX1181" s="75"/>
      <c r="AKY1181" s="75"/>
      <c r="AKZ1181" s="75"/>
      <c r="ALA1181" s="75"/>
      <c r="ALB1181" s="75"/>
      <c r="ALC1181" s="75"/>
      <c r="ALD1181" s="75"/>
      <c r="ALE1181" s="75"/>
      <c r="ALF1181" s="75"/>
      <c r="ALG1181" s="75"/>
      <c r="ALH1181" s="75"/>
      <c r="ALI1181" s="75"/>
      <c r="ALJ1181" s="75"/>
      <c r="ALK1181" s="75"/>
      <c r="ALL1181" s="75"/>
      <c r="ALM1181" s="75"/>
      <c r="ALN1181" s="75"/>
      <c r="ALO1181" s="75"/>
    </row>
    <row r="1182" spans="1:1003" s="238" customFormat="1" ht="14.55" customHeight="1" outlineLevel="1" x14ac:dyDescent="0.25">
      <c r="A1182" s="230" t="s">
        <v>1422</v>
      </c>
      <c r="B1182" s="343" t="str">
        <f>"28.0603"</f>
        <v>28.0603</v>
      </c>
      <c r="C1182" s="75" t="s">
        <v>3477</v>
      </c>
      <c r="D1182" s="127" t="s">
        <v>3478</v>
      </c>
      <c r="E1182" s="232"/>
      <c r="F1182" s="75"/>
      <c r="G1182" s="75"/>
      <c r="H1182" s="75"/>
      <c r="I1182" s="75"/>
      <c r="J1182" s="75"/>
      <c r="K1182" s="75"/>
      <c r="L1182" s="75"/>
      <c r="M1182" s="75"/>
      <c r="N1182" s="75"/>
      <c r="O1182" s="75"/>
      <c r="P1182" s="75"/>
      <c r="Q1182" s="75"/>
      <c r="R1182" s="75"/>
      <c r="S1182" s="75"/>
      <c r="T1182" s="75"/>
      <c r="U1182" s="75"/>
      <c r="V1182" s="75"/>
      <c r="W1182" s="75"/>
      <c r="X1182" s="75"/>
      <c r="Y1182" s="75"/>
      <c r="Z1182" s="75"/>
      <c r="AA1182" s="75"/>
      <c r="AB1182" s="75"/>
      <c r="AC1182" s="75"/>
      <c r="AD1182" s="75"/>
      <c r="AE1182" s="75"/>
      <c r="AF1182" s="75"/>
      <c r="AG1182" s="75"/>
      <c r="AH1182" s="75"/>
      <c r="AI1182" s="75"/>
      <c r="AJ1182" s="75"/>
      <c r="AK1182" s="75"/>
      <c r="AL1182" s="75"/>
      <c r="AM1182" s="75"/>
      <c r="AN1182" s="75"/>
      <c r="AO1182" s="75"/>
      <c r="AP1182" s="75"/>
      <c r="AQ1182" s="75"/>
      <c r="AR1182" s="75"/>
      <c r="AS1182" s="75"/>
      <c r="AT1182" s="75"/>
      <c r="AU1182" s="75"/>
      <c r="AV1182" s="75"/>
      <c r="AW1182" s="75"/>
      <c r="AX1182" s="75"/>
      <c r="AY1182" s="75"/>
      <c r="AZ1182" s="75"/>
      <c r="BA1182" s="75"/>
      <c r="BB1182" s="75"/>
      <c r="BC1182" s="75"/>
      <c r="BD1182" s="75"/>
      <c r="BE1182" s="75"/>
      <c r="BF1182" s="75"/>
      <c r="BG1182" s="75"/>
      <c r="BH1182" s="75"/>
      <c r="BI1182" s="75"/>
      <c r="BJ1182" s="75"/>
      <c r="BK1182" s="75"/>
      <c r="BL1182" s="75"/>
      <c r="BM1182" s="75"/>
      <c r="BN1182" s="75"/>
      <c r="BO1182" s="75"/>
      <c r="BP1182" s="75"/>
      <c r="BQ1182" s="75"/>
      <c r="BR1182" s="75"/>
      <c r="BS1182" s="75"/>
      <c r="BT1182" s="75"/>
      <c r="BU1182" s="75"/>
      <c r="BV1182" s="75"/>
      <c r="BW1182" s="75"/>
      <c r="BX1182" s="75"/>
      <c r="BY1182" s="75"/>
      <c r="BZ1182" s="75"/>
      <c r="CA1182" s="75"/>
      <c r="CB1182" s="75"/>
      <c r="CC1182" s="75"/>
      <c r="CD1182" s="75"/>
      <c r="CE1182" s="75"/>
      <c r="CF1182" s="75"/>
      <c r="CG1182" s="75"/>
      <c r="CH1182" s="75"/>
      <c r="CI1182" s="75"/>
      <c r="CJ1182" s="75"/>
      <c r="CK1182" s="75"/>
      <c r="CL1182" s="75"/>
      <c r="CM1182" s="75"/>
      <c r="CN1182" s="75"/>
      <c r="CO1182" s="75"/>
      <c r="CP1182" s="75"/>
      <c r="CQ1182" s="75"/>
      <c r="CR1182" s="75"/>
      <c r="CS1182" s="75"/>
      <c r="CT1182" s="75"/>
      <c r="CU1182" s="75"/>
      <c r="CV1182" s="75"/>
      <c r="CW1182" s="75"/>
      <c r="CX1182" s="75"/>
      <c r="CY1182" s="75"/>
      <c r="CZ1182" s="75"/>
      <c r="DA1182" s="75"/>
      <c r="DB1182" s="75"/>
      <c r="DC1182" s="75"/>
      <c r="DD1182" s="75"/>
      <c r="DE1182" s="75"/>
      <c r="DF1182" s="75"/>
      <c r="DG1182" s="75"/>
      <c r="DH1182" s="75"/>
      <c r="DI1182" s="75"/>
      <c r="DJ1182" s="75"/>
      <c r="DK1182" s="75"/>
      <c r="DL1182" s="75"/>
      <c r="DM1182" s="75"/>
      <c r="DN1182" s="75"/>
      <c r="DO1182" s="75"/>
      <c r="DP1182" s="75"/>
      <c r="DQ1182" s="75"/>
      <c r="DR1182" s="75"/>
      <c r="DS1182" s="75"/>
      <c r="DT1182" s="75"/>
      <c r="DU1182" s="75"/>
      <c r="DV1182" s="75"/>
      <c r="DW1182" s="75"/>
      <c r="DX1182" s="75"/>
      <c r="DY1182" s="75"/>
      <c r="DZ1182" s="75"/>
      <c r="EA1182" s="75"/>
      <c r="EB1182" s="75"/>
      <c r="EC1182" s="75"/>
      <c r="ED1182" s="75"/>
      <c r="EE1182" s="75"/>
      <c r="EF1182" s="75"/>
      <c r="EG1182" s="75"/>
      <c r="EH1182" s="75"/>
      <c r="EI1182" s="75"/>
      <c r="EJ1182" s="75"/>
      <c r="EK1182" s="75"/>
      <c r="EL1182" s="75"/>
      <c r="EM1182" s="75"/>
      <c r="EN1182" s="75"/>
      <c r="EO1182" s="75"/>
      <c r="EP1182" s="75"/>
      <c r="EQ1182" s="75"/>
      <c r="ER1182" s="75"/>
      <c r="ES1182" s="75"/>
      <c r="ET1182" s="75"/>
      <c r="EU1182" s="75"/>
      <c r="EV1182" s="75"/>
      <c r="EW1182" s="75"/>
      <c r="EX1182" s="75"/>
      <c r="EY1182" s="75"/>
      <c r="EZ1182" s="75"/>
      <c r="FA1182" s="75"/>
      <c r="FB1182" s="75"/>
      <c r="FC1182" s="75"/>
      <c r="FD1182" s="75"/>
      <c r="FE1182" s="75"/>
      <c r="FF1182" s="75"/>
      <c r="FG1182" s="75"/>
      <c r="FH1182" s="75"/>
      <c r="FI1182" s="75"/>
      <c r="FJ1182" s="75"/>
      <c r="FK1182" s="75"/>
      <c r="FL1182" s="75"/>
      <c r="FM1182" s="75"/>
      <c r="FN1182" s="75"/>
      <c r="FO1182" s="75"/>
      <c r="FP1182" s="75"/>
      <c r="FQ1182" s="75"/>
      <c r="FR1182" s="75"/>
      <c r="FS1182" s="75"/>
      <c r="FT1182" s="75"/>
      <c r="FU1182" s="75"/>
      <c r="FV1182" s="75"/>
      <c r="FW1182" s="75"/>
      <c r="FX1182" s="75"/>
      <c r="FY1182" s="75"/>
      <c r="FZ1182" s="75"/>
      <c r="GA1182" s="75"/>
      <c r="GB1182" s="75"/>
      <c r="GC1182" s="75"/>
      <c r="GD1182" s="75"/>
      <c r="GE1182" s="75"/>
      <c r="GF1182" s="75"/>
      <c r="GG1182" s="75"/>
      <c r="GH1182" s="75"/>
      <c r="GI1182" s="75"/>
      <c r="GJ1182" s="75"/>
      <c r="GK1182" s="75"/>
      <c r="GL1182" s="75"/>
      <c r="GM1182" s="75"/>
      <c r="GN1182" s="75"/>
      <c r="GO1182" s="75"/>
      <c r="GP1182" s="75"/>
      <c r="GQ1182" s="75"/>
      <c r="GR1182" s="75"/>
      <c r="GS1182" s="75"/>
      <c r="GT1182" s="75"/>
      <c r="GU1182" s="75"/>
      <c r="GV1182" s="75"/>
      <c r="GW1182" s="75"/>
      <c r="GX1182" s="75"/>
      <c r="GY1182" s="75"/>
      <c r="GZ1182" s="75"/>
      <c r="HA1182" s="75"/>
      <c r="HB1182" s="75"/>
      <c r="HC1182" s="75"/>
      <c r="HD1182" s="75"/>
      <c r="HE1182" s="75"/>
      <c r="HF1182" s="75"/>
      <c r="HG1182" s="75"/>
      <c r="HH1182" s="75"/>
      <c r="HI1182" s="75"/>
      <c r="HJ1182" s="75"/>
      <c r="HK1182" s="75"/>
      <c r="HL1182" s="75"/>
      <c r="HM1182" s="75"/>
      <c r="HN1182" s="75"/>
      <c r="HO1182" s="75"/>
      <c r="HP1182" s="75"/>
      <c r="HQ1182" s="75"/>
      <c r="HR1182" s="75"/>
      <c r="HS1182" s="75"/>
      <c r="HT1182" s="75"/>
      <c r="HU1182" s="75"/>
      <c r="HV1182" s="75"/>
      <c r="HW1182" s="75"/>
      <c r="HX1182" s="75"/>
      <c r="HY1182" s="75"/>
      <c r="HZ1182" s="75"/>
      <c r="IA1182" s="75"/>
      <c r="IB1182" s="75"/>
      <c r="IC1182" s="75"/>
      <c r="ID1182" s="75"/>
      <c r="IE1182" s="75"/>
      <c r="IF1182" s="75"/>
      <c r="IG1182" s="75"/>
      <c r="IH1182" s="75"/>
      <c r="II1182" s="75"/>
      <c r="IJ1182" s="75"/>
      <c r="IK1182" s="75"/>
      <c r="IL1182" s="75"/>
      <c r="IM1182" s="75"/>
      <c r="IN1182" s="75"/>
      <c r="IO1182" s="75"/>
      <c r="IP1182" s="75"/>
      <c r="IQ1182" s="75"/>
      <c r="IR1182" s="75"/>
      <c r="IS1182" s="75"/>
      <c r="IT1182" s="75"/>
      <c r="IU1182" s="75"/>
      <c r="IV1182" s="75"/>
      <c r="IW1182" s="75"/>
      <c r="IX1182" s="75"/>
      <c r="IY1182" s="75"/>
      <c r="IZ1182" s="75"/>
      <c r="JA1182" s="75"/>
      <c r="JB1182" s="75"/>
      <c r="JC1182" s="75"/>
      <c r="JD1182" s="75"/>
      <c r="JE1182" s="75"/>
      <c r="JF1182" s="75"/>
      <c r="JG1182" s="75"/>
      <c r="JH1182" s="75"/>
      <c r="JI1182" s="75"/>
      <c r="JJ1182" s="75"/>
      <c r="JK1182" s="75"/>
      <c r="JL1182" s="75"/>
      <c r="JM1182" s="75"/>
      <c r="JN1182" s="75"/>
      <c r="JO1182" s="75"/>
      <c r="JP1182" s="75"/>
      <c r="JQ1182" s="75"/>
      <c r="JR1182" s="75"/>
      <c r="JS1182" s="75"/>
      <c r="JT1182" s="75"/>
      <c r="JU1182" s="75"/>
      <c r="JV1182" s="75"/>
      <c r="JW1182" s="75"/>
      <c r="JX1182" s="75"/>
      <c r="JY1182" s="75"/>
      <c r="JZ1182" s="75"/>
      <c r="KA1182" s="75"/>
      <c r="KB1182" s="75"/>
      <c r="KC1182" s="75"/>
      <c r="KD1182" s="75"/>
      <c r="KE1182" s="75"/>
      <c r="KF1182" s="75"/>
      <c r="KG1182" s="75"/>
      <c r="KH1182" s="75"/>
      <c r="KI1182" s="75"/>
      <c r="KJ1182" s="75"/>
      <c r="KK1182" s="75"/>
      <c r="KL1182" s="75"/>
      <c r="KM1182" s="75"/>
      <c r="KN1182" s="75"/>
      <c r="KO1182" s="75"/>
      <c r="KP1182" s="75"/>
      <c r="KQ1182" s="75"/>
      <c r="KR1182" s="75"/>
      <c r="KS1182" s="75"/>
      <c r="KT1182" s="75"/>
      <c r="KU1182" s="75"/>
      <c r="KV1182" s="75"/>
      <c r="KW1182" s="75"/>
      <c r="KX1182" s="75"/>
      <c r="KY1182" s="75"/>
      <c r="KZ1182" s="75"/>
      <c r="LA1182" s="75"/>
      <c r="LB1182" s="75"/>
      <c r="LC1182" s="75"/>
      <c r="LD1182" s="75"/>
      <c r="LE1182" s="75"/>
      <c r="LF1182" s="75"/>
      <c r="LG1182" s="75"/>
      <c r="LH1182" s="75"/>
      <c r="LI1182" s="75"/>
      <c r="LJ1182" s="75"/>
      <c r="LK1182" s="75"/>
      <c r="LL1182" s="75"/>
      <c r="LM1182" s="75"/>
      <c r="LN1182" s="75"/>
      <c r="LO1182" s="75"/>
      <c r="LP1182" s="75"/>
      <c r="LQ1182" s="75"/>
      <c r="LR1182" s="75"/>
      <c r="LS1182" s="75"/>
      <c r="LT1182" s="75"/>
      <c r="LU1182" s="75"/>
      <c r="LV1182" s="75"/>
      <c r="LW1182" s="75"/>
      <c r="LX1182" s="75"/>
      <c r="LY1182" s="75"/>
      <c r="LZ1182" s="75"/>
      <c r="MA1182" s="75"/>
      <c r="MB1182" s="75"/>
      <c r="MC1182" s="75"/>
      <c r="MD1182" s="75"/>
      <c r="ME1182" s="75"/>
      <c r="MF1182" s="75"/>
      <c r="MG1182" s="75"/>
      <c r="MH1182" s="75"/>
      <c r="MI1182" s="75"/>
      <c r="MJ1182" s="75"/>
      <c r="MK1182" s="75"/>
      <c r="ML1182" s="75"/>
      <c r="MM1182" s="75"/>
      <c r="MN1182" s="75"/>
      <c r="MO1182" s="75"/>
      <c r="MP1182" s="75"/>
      <c r="MQ1182" s="75"/>
      <c r="MR1182" s="75"/>
      <c r="MS1182" s="75"/>
      <c r="MT1182" s="75"/>
      <c r="MU1182" s="75"/>
      <c r="MV1182" s="75"/>
      <c r="MW1182" s="75"/>
      <c r="MX1182" s="75"/>
      <c r="MY1182" s="75"/>
      <c r="MZ1182" s="75"/>
      <c r="NA1182" s="75"/>
      <c r="NB1182" s="75"/>
      <c r="NC1182" s="75"/>
      <c r="ND1182" s="75"/>
      <c r="NE1182" s="75"/>
      <c r="NF1182" s="75"/>
      <c r="NG1182" s="75"/>
      <c r="NH1182" s="75"/>
      <c r="NI1182" s="75"/>
      <c r="NJ1182" s="75"/>
      <c r="NK1182" s="75"/>
      <c r="NL1182" s="75"/>
      <c r="NM1182" s="75"/>
      <c r="NN1182" s="75"/>
      <c r="NO1182" s="75"/>
      <c r="NP1182" s="75"/>
      <c r="NQ1182" s="75"/>
      <c r="NR1182" s="75"/>
      <c r="NS1182" s="75"/>
      <c r="NT1182" s="75"/>
      <c r="NU1182" s="75"/>
      <c r="NV1182" s="75"/>
      <c r="NW1182" s="75"/>
      <c r="NX1182" s="75"/>
      <c r="NY1182" s="75"/>
      <c r="NZ1182" s="75"/>
      <c r="OA1182" s="75"/>
      <c r="OB1182" s="75"/>
      <c r="OC1182" s="75"/>
      <c r="OD1182" s="75"/>
      <c r="OE1182" s="75"/>
      <c r="OF1182" s="75"/>
      <c r="OG1182" s="75"/>
      <c r="OH1182" s="75"/>
      <c r="OI1182" s="75"/>
      <c r="OJ1182" s="75"/>
      <c r="OK1182" s="75"/>
      <c r="OL1182" s="75"/>
      <c r="OM1182" s="75"/>
      <c r="ON1182" s="75"/>
      <c r="OO1182" s="75"/>
      <c r="OP1182" s="75"/>
      <c r="OQ1182" s="75"/>
      <c r="OR1182" s="75"/>
      <c r="OS1182" s="75"/>
      <c r="OT1182" s="75"/>
      <c r="OU1182" s="75"/>
      <c r="OV1182" s="75"/>
      <c r="OW1182" s="75"/>
      <c r="OX1182" s="75"/>
      <c r="OY1182" s="75"/>
      <c r="OZ1182" s="75"/>
      <c r="PA1182" s="75"/>
      <c r="PB1182" s="75"/>
      <c r="PC1182" s="75"/>
      <c r="PD1182" s="75"/>
      <c r="PE1182" s="75"/>
      <c r="PF1182" s="75"/>
      <c r="PG1182" s="75"/>
      <c r="PH1182" s="75"/>
      <c r="PI1182" s="75"/>
      <c r="PJ1182" s="75"/>
      <c r="PK1182" s="75"/>
      <c r="PL1182" s="75"/>
      <c r="PM1182" s="75"/>
      <c r="PN1182" s="75"/>
      <c r="PO1182" s="75"/>
      <c r="PP1182" s="75"/>
      <c r="PQ1182" s="75"/>
      <c r="PR1182" s="75"/>
      <c r="PS1182" s="75"/>
      <c r="PT1182" s="75"/>
      <c r="PU1182" s="75"/>
      <c r="PV1182" s="75"/>
      <c r="PW1182" s="75"/>
      <c r="PX1182" s="75"/>
      <c r="PY1182" s="75"/>
      <c r="PZ1182" s="75"/>
      <c r="QA1182" s="75"/>
      <c r="QB1182" s="75"/>
      <c r="QC1182" s="75"/>
      <c r="QD1182" s="75"/>
      <c r="QE1182" s="75"/>
      <c r="QF1182" s="75"/>
      <c r="QG1182" s="75"/>
      <c r="QH1182" s="75"/>
      <c r="QI1182" s="75"/>
      <c r="QJ1182" s="75"/>
      <c r="QK1182" s="75"/>
      <c r="QL1182" s="75"/>
      <c r="QM1182" s="75"/>
      <c r="QN1182" s="75"/>
      <c r="QO1182" s="75"/>
      <c r="QP1182" s="75"/>
      <c r="QQ1182" s="75"/>
      <c r="QR1182" s="75"/>
      <c r="QS1182" s="75"/>
      <c r="QT1182" s="75"/>
      <c r="QU1182" s="75"/>
      <c r="QV1182" s="75"/>
      <c r="QW1182" s="75"/>
      <c r="QX1182" s="75"/>
      <c r="QY1182" s="75"/>
      <c r="QZ1182" s="75"/>
      <c r="RA1182" s="75"/>
      <c r="RB1182" s="75"/>
      <c r="RC1182" s="75"/>
      <c r="RD1182" s="75"/>
      <c r="RE1182" s="75"/>
      <c r="RF1182" s="75"/>
      <c r="RG1182" s="75"/>
      <c r="RH1182" s="75"/>
      <c r="RI1182" s="75"/>
      <c r="RJ1182" s="75"/>
      <c r="RK1182" s="75"/>
      <c r="RL1182" s="75"/>
      <c r="RM1182" s="75"/>
      <c r="RN1182" s="75"/>
      <c r="RO1182" s="75"/>
      <c r="RP1182" s="75"/>
      <c r="RQ1182" s="75"/>
      <c r="RR1182" s="75"/>
      <c r="RS1182" s="75"/>
      <c r="RT1182" s="75"/>
      <c r="RU1182" s="75"/>
      <c r="RV1182" s="75"/>
      <c r="RW1182" s="75"/>
      <c r="RX1182" s="75"/>
      <c r="RY1182" s="75"/>
      <c r="RZ1182" s="75"/>
      <c r="SA1182" s="75"/>
      <c r="SB1182" s="75"/>
      <c r="SC1182" s="75"/>
      <c r="SD1182" s="75"/>
      <c r="SE1182" s="75"/>
      <c r="SF1182" s="75"/>
      <c r="SG1182" s="75"/>
      <c r="SH1182" s="75"/>
      <c r="SI1182" s="75"/>
      <c r="SJ1182" s="75"/>
      <c r="SK1182" s="75"/>
      <c r="SL1182" s="75"/>
      <c r="SM1182" s="75"/>
      <c r="SN1182" s="75"/>
      <c r="SO1182" s="75"/>
      <c r="SP1182" s="75"/>
      <c r="SQ1182" s="75"/>
      <c r="SR1182" s="75"/>
      <c r="SS1182" s="75"/>
      <c r="ST1182" s="75"/>
      <c r="SU1182" s="75"/>
      <c r="SV1182" s="75"/>
      <c r="SW1182" s="75"/>
      <c r="SX1182" s="75"/>
      <c r="SY1182" s="75"/>
      <c r="SZ1182" s="75"/>
      <c r="TA1182" s="75"/>
      <c r="TB1182" s="75"/>
      <c r="TC1182" s="75"/>
      <c r="TD1182" s="75"/>
      <c r="TE1182" s="75"/>
      <c r="TF1182" s="75"/>
      <c r="TG1182" s="75"/>
      <c r="TH1182" s="75"/>
      <c r="TI1182" s="75"/>
      <c r="TJ1182" s="75"/>
      <c r="TK1182" s="75"/>
      <c r="TL1182" s="75"/>
      <c r="TM1182" s="75"/>
      <c r="TN1182" s="75"/>
      <c r="TO1182" s="75"/>
      <c r="TP1182" s="75"/>
      <c r="TQ1182" s="75"/>
      <c r="TR1182" s="75"/>
      <c r="TS1182" s="75"/>
      <c r="TT1182" s="75"/>
      <c r="TU1182" s="75"/>
      <c r="TV1182" s="75"/>
      <c r="TW1182" s="75"/>
      <c r="TX1182" s="75"/>
      <c r="TY1182" s="75"/>
      <c r="TZ1182" s="75"/>
      <c r="UA1182" s="75"/>
      <c r="UB1182" s="75"/>
      <c r="UC1182" s="75"/>
      <c r="UD1182" s="75"/>
      <c r="UE1182" s="75"/>
      <c r="UF1182" s="75"/>
      <c r="UG1182" s="75"/>
      <c r="UH1182" s="75"/>
      <c r="UI1182" s="75"/>
      <c r="UJ1182" s="75"/>
      <c r="UK1182" s="75"/>
      <c r="UL1182" s="75"/>
      <c r="UM1182" s="75"/>
      <c r="UN1182" s="75"/>
      <c r="UO1182" s="75"/>
      <c r="UP1182" s="75"/>
      <c r="UQ1182" s="75"/>
      <c r="UR1182" s="75"/>
      <c r="US1182" s="75"/>
      <c r="UT1182" s="75"/>
      <c r="UU1182" s="75"/>
      <c r="UV1182" s="75"/>
      <c r="UW1182" s="75"/>
      <c r="UX1182" s="75"/>
      <c r="UY1182" s="75"/>
      <c r="UZ1182" s="75"/>
      <c r="VA1182" s="75"/>
      <c r="VB1182" s="75"/>
      <c r="VC1182" s="75"/>
      <c r="VD1182" s="75"/>
      <c r="VE1182" s="75"/>
      <c r="VF1182" s="75"/>
      <c r="VG1182" s="75"/>
      <c r="VH1182" s="75"/>
      <c r="VI1182" s="75"/>
      <c r="VJ1182" s="75"/>
      <c r="VK1182" s="75"/>
      <c r="VL1182" s="75"/>
      <c r="VM1182" s="75"/>
      <c r="VN1182" s="75"/>
      <c r="VO1182" s="75"/>
      <c r="VP1182" s="75"/>
      <c r="VQ1182" s="75"/>
      <c r="VR1182" s="75"/>
      <c r="VS1182" s="75"/>
      <c r="VT1182" s="75"/>
      <c r="VU1182" s="75"/>
      <c r="VV1182" s="75"/>
      <c r="VW1182" s="75"/>
      <c r="VX1182" s="75"/>
      <c r="VY1182" s="75"/>
      <c r="VZ1182" s="75"/>
      <c r="WA1182" s="75"/>
      <c r="WB1182" s="75"/>
      <c r="WC1182" s="75"/>
      <c r="WD1182" s="75"/>
      <c r="WE1182" s="75"/>
      <c r="WF1182" s="75"/>
      <c r="WG1182" s="75"/>
      <c r="WH1182" s="75"/>
      <c r="WI1182" s="75"/>
      <c r="WJ1182" s="75"/>
      <c r="WK1182" s="75"/>
      <c r="WL1182" s="75"/>
      <c r="WM1182" s="75"/>
      <c r="WN1182" s="75"/>
      <c r="WO1182" s="75"/>
      <c r="WP1182" s="75"/>
      <c r="WQ1182" s="75"/>
      <c r="WR1182" s="75"/>
      <c r="WS1182" s="75"/>
      <c r="WT1182" s="75"/>
      <c r="WU1182" s="75"/>
      <c r="WV1182" s="75"/>
      <c r="WW1182" s="75"/>
      <c r="WX1182" s="75"/>
      <c r="WY1182" s="75"/>
      <c r="WZ1182" s="75"/>
      <c r="XA1182" s="75"/>
      <c r="XB1182" s="75"/>
      <c r="XC1182" s="75"/>
      <c r="XD1182" s="75"/>
      <c r="XE1182" s="75"/>
      <c r="XF1182" s="75"/>
      <c r="XG1182" s="75"/>
      <c r="XH1182" s="75"/>
      <c r="XI1182" s="75"/>
      <c r="XJ1182" s="75"/>
      <c r="XK1182" s="75"/>
      <c r="XL1182" s="75"/>
      <c r="XM1182" s="75"/>
      <c r="XN1182" s="75"/>
      <c r="XO1182" s="75"/>
      <c r="XP1182" s="75"/>
      <c r="XQ1182" s="75"/>
      <c r="XR1182" s="75"/>
      <c r="XS1182" s="75"/>
      <c r="XT1182" s="75"/>
      <c r="XU1182" s="75"/>
      <c r="XV1182" s="75"/>
      <c r="XW1182" s="75"/>
      <c r="XX1182" s="75"/>
      <c r="XY1182" s="75"/>
      <c r="XZ1182" s="75"/>
      <c r="YA1182" s="75"/>
      <c r="YB1182" s="75"/>
      <c r="YC1182" s="75"/>
      <c r="YD1182" s="75"/>
      <c r="YE1182" s="75"/>
      <c r="YF1182" s="75"/>
      <c r="YG1182" s="75"/>
      <c r="YH1182" s="75"/>
      <c r="YI1182" s="75"/>
      <c r="YJ1182" s="75"/>
      <c r="YK1182" s="75"/>
      <c r="YL1182" s="75"/>
      <c r="YM1182" s="75"/>
      <c r="YN1182" s="75"/>
      <c r="YO1182" s="75"/>
      <c r="YP1182" s="75"/>
      <c r="YQ1182" s="75"/>
      <c r="YR1182" s="75"/>
      <c r="YS1182" s="75"/>
      <c r="YT1182" s="75"/>
      <c r="YU1182" s="75"/>
      <c r="YV1182" s="75"/>
      <c r="YW1182" s="75"/>
      <c r="YX1182" s="75"/>
      <c r="YY1182" s="75"/>
      <c r="YZ1182" s="75"/>
      <c r="ZA1182" s="75"/>
      <c r="ZB1182" s="75"/>
      <c r="ZC1182" s="75"/>
      <c r="ZD1182" s="75"/>
      <c r="ZE1182" s="75"/>
      <c r="ZF1182" s="75"/>
      <c r="ZG1182" s="75"/>
      <c r="ZH1182" s="75"/>
      <c r="ZI1182" s="75"/>
      <c r="ZJ1182" s="75"/>
      <c r="ZK1182" s="75"/>
      <c r="ZL1182" s="75"/>
      <c r="ZM1182" s="75"/>
      <c r="ZN1182" s="75"/>
      <c r="ZO1182" s="75"/>
      <c r="ZP1182" s="75"/>
      <c r="ZQ1182" s="75"/>
      <c r="ZR1182" s="75"/>
      <c r="ZS1182" s="75"/>
      <c r="ZT1182" s="75"/>
      <c r="ZU1182" s="75"/>
      <c r="ZV1182" s="75"/>
      <c r="ZW1182" s="75"/>
      <c r="ZX1182" s="75"/>
      <c r="ZY1182" s="75"/>
      <c r="ZZ1182" s="75"/>
      <c r="AAA1182" s="75"/>
      <c r="AAB1182" s="75"/>
      <c r="AAC1182" s="75"/>
      <c r="AAD1182" s="75"/>
      <c r="AAE1182" s="75"/>
      <c r="AAF1182" s="75"/>
      <c r="AAG1182" s="75"/>
      <c r="AAH1182" s="75"/>
      <c r="AAI1182" s="75"/>
      <c r="AAJ1182" s="75"/>
      <c r="AAK1182" s="75"/>
      <c r="AAL1182" s="75"/>
      <c r="AAM1182" s="75"/>
      <c r="AAN1182" s="75"/>
      <c r="AAO1182" s="75"/>
      <c r="AAP1182" s="75"/>
      <c r="AAQ1182" s="75"/>
      <c r="AAR1182" s="75"/>
      <c r="AAS1182" s="75"/>
      <c r="AAT1182" s="75"/>
      <c r="AAU1182" s="75"/>
      <c r="AAV1182" s="75"/>
      <c r="AAW1182" s="75"/>
      <c r="AAX1182" s="75"/>
      <c r="AAY1182" s="75"/>
      <c r="AAZ1182" s="75"/>
      <c r="ABA1182" s="75"/>
      <c r="ABB1182" s="75"/>
      <c r="ABC1182" s="75"/>
      <c r="ABD1182" s="75"/>
      <c r="ABE1182" s="75"/>
      <c r="ABF1182" s="75"/>
      <c r="ABG1182" s="75"/>
      <c r="ABH1182" s="75"/>
      <c r="ABI1182" s="75"/>
      <c r="ABJ1182" s="75"/>
      <c r="ABK1182" s="75"/>
      <c r="ABL1182" s="75"/>
      <c r="ABM1182" s="75"/>
      <c r="ABN1182" s="75"/>
      <c r="ABO1182" s="75"/>
      <c r="ABP1182" s="75"/>
      <c r="ABQ1182" s="75"/>
      <c r="ABR1182" s="75"/>
      <c r="ABS1182" s="75"/>
      <c r="ABT1182" s="75"/>
      <c r="ABU1182" s="75"/>
      <c r="ABV1182" s="75"/>
      <c r="ABW1182" s="75"/>
      <c r="ABX1182" s="75"/>
      <c r="ABY1182" s="75"/>
      <c r="ABZ1182" s="75"/>
      <c r="ACA1182" s="75"/>
      <c r="ACB1182" s="75"/>
      <c r="ACC1182" s="75"/>
      <c r="ACD1182" s="75"/>
      <c r="ACE1182" s="75"/>
      <c r="ACF1182" s="75"/>
      <c r="ACG1182" s="75"/>
      <c r="ACH1182" s="75"/>
      <c r="ACI1182" s="75"/>
      <c r="ACJ1182" s="75"/>
      <c r="ACK1182" s="75"/>
      <c r="ACL1182" s="75"/>
      <c r="ACM1182" s="75"/>
      <c r="ACN1182" s="75"/>
      <c r="ACO1182" s="75"/>
      <c r="ACP1182" s="75"/>
      <c r="ACQ1182" s="75"/>
      <c r="ACR1182" s="75"/>
      <c r="ACS1182" s="75"/>
      <c r="ACT1182" s="75"/>
      <c r="ACU1182" s="75"/>
      <c r="ACV1182" s="75"/>
      <c r="ACW1182" s="75"/>
      <c r="ACX1182" s="75"/>
      <c r="ACY1182" s="75"/>
      <c r="ACZ1182" s="75"/>
      <c r="ADA1182" s="75"/>
      <c r="ADB1182" s="75"/>
      <c r="ADC1182" s="75"/>
      <c r="ADD1182" s="75"/>
      <c r="ADE1182" s="75"/>
      <c r="ADF1182" s="75"/>
      <c r="ADG1182" s="75"/>
      <c r="ADH1182" s="75"/>
      <c r="ADI1182" s="75"/>
      <c r="ADJ1182" s="75"/>
      <c r="ADK1182" s="75"/>
      <c r="ADL1182" s="75"/>
      <c r="ADM1182" s="75"/>
      <c r="ADN1182" s="75"/>
      <c r="ADO1182" s="75"/>
      <c r="ADP1182" s="75"/>
      <c r="ADQ1182" s="75"/>
      <c r="ADR1182" s="75"/>
      <c r="ADS1182" s="75"/>
      <c r="ADT1182" s="75"/>
      <c r="ADU1182" s="75"/>
      <c r="ADV1182" s="75"/>
      <c r="ADW1182" s="75"/>
      <c r="ADX1182" s="75"/>
      <c r="ADY1182" s="75"/>
      <c r="ADZ1182" s="75"/>
      <c r="AEA1182" s="75"/>
      <c r="AEB1182" s="75"/>
      <c r="AEC1182" s="75"/>
      <c r="AED1182" s="75"/>
      <c r="AEE1182" s="75"/>
      <c r="AEF1182" s="75"/>
      <c r="AEG1182" s="75"/>
      <c r="AEH1182" s="75"/>
      <c r="AEI1182" s="75"/>
      <c r="AEJ1182" s="75"/>
      <c r="AEK1182" s="75"/>
      <c r="AEL1182" s="75"/>
      <c r="AEM1182" s="75"/>
      <c r="AEN1182" s="75"/>
      <c r="AEO1182" s="75"/>
      <c r="AEP1182" s="75"/>
      <c r="AEQ1182" s="75"/>
      <c r="AER1182" s="75"/>
      <c r="AES1182" s="75"/>
      <c r="AET1182" s="75"/>
      <c r="AEU1182" s="75"/>
      <c r="AEV1182" s="75"/>
      <c r="AEW1182" s="75"/>
      <c r="AEX1182" s="75"/>
      <c r="AEY1182" s="75"/>
      <c r="AEZ1182" s="75"/>
      <c r="AFA1182" s="75"/>
      <c r="AFB1182" s="75"/>
      <c r="AFC1182" s="75"/>
      <c r="AFD1182" s="75"/>
      <c r="AFE1182" s="75"/>
      <c r="AFF1182" s="75"/>
      <c r="AFG1182" s="75"/>
      <c r="AFH1182" s="75"/>
      <c r="AFI1182" s="75"/>
      <c r="AFJ1182" s="75"/>
      <c r="AFK1182" s="75"/>
      <c r="AFL1182" s="75"/>
      <c r="AFM1182" s="75"/>
      <c r="AFN1182" s="75"/>
      <c r="AFO1182" s="75"/>
      <c r="AFP1182" s="75"/>
      <c r="AFQ1182" s="75"/>
      <c r="AFR1182" s="75"/>
      <c r="AFS1182" s="75"/>
      <c r="AFT1182" s="75"/>
      <c r="AFU1182" s="75"/>
      <c r="AFV1182" s="75"/>
      <c r="AFW1182" s="75"/>
      <c r="AFX1182" s="75"/>
      <c r="AFY1182" s="75"/>
      <c r="AFZ1182" s="75"/>
      <c r="AGA1182" s="75"/>
      <c r="AGB1182" s="75"/>
      <c r="AGC1182" s="75"/>
      <c r="AGD1182" s="75"/>
      <c r="AGE1182" s="75"/>
      <c r="AGF1182" s="75"/>
      <c r="AGG1182" s="75"/>
      <c r="AGH1182" s="75"/>
      <c r="AGI1182" s="75"/>
      <c r="AGJ1182" s="75"/>
      <c r="AGK1182" s="75"/>
      <c r="AGL1182" s="75"/>
      <c r="AGM1182" s="75"/>
      <c r="AGN1182" s="75"/>
      <c r="AGO1182" s="75"/>
      <c r="AGP1182" s="75"/>
      <c r="AGQ1182" s="75"/>
      <c r="AGR1182" s="75"/>
      <c r="AGS1182" s="75"/>
      <c r="AGT1182" s="75"/>
      <c r="AGU1182" s="75"/>
      <c r="AGV1182" s="75"/>
      <c r="AGW1182" s="75"/>
      <c r="AGX1182" s="75"/>
      <c r="AGY1182" s="75"/>
      <c r="AGZ1182" s="75"/>
      <c r="AHA1182" s="75"/>
      <c r="AHB1182" s="75"/>
      <c r="AHC1182" s="75"/>
      <c r="AHD1182" s="75"/>
      <c r="AHE1182" s="75"/>
      <c r="AHF1182" s="75"/>
      <c r="AHG1182" s="75"/>
      <c r="AHH1182" s="75"/>
      <c r="AHI1182" s="75"/>
      <c r="AHJ1182" s="75"/>
      <c r="AHK1182" s="75"/>
      <c r="AHL1182" s="75"/>
      <c r="AHM1182" s="75"/>
      <c r="AHN1182" s="75"/>
      <c r="AHO1182" s="75"/>
      <c r="AHP1182" s="75"/>
      <c r="AHQ1182" s="75"/>
      <c r="AHR1182" s="75"/>
      <c r="AHS1182" s="75"/>
      <c r="AHT1182" s="75"/>
      <c r="AHU1182" s="75"/>
      <c r="AHV1182" s="75"/>
      <c r="AHW1182" s="75"/>
      <c r="AHX1182" s="75"/>
      <c r="AHY1182" s="75"/>
      <c r="AHZ1182" s="75"/>
      <c r="AIA1182" s="75"/>
      <c r="AIB1182" s="75"/>
      <c r="AIC1182" s="75"/>
      <c r="AID1182" s="75"/>
      <c r="AIE1182" s="75"/>
      <c r="AIF1182" s="75"/>
      <c r="AIG1182" s="75"/>
      <c r="AIH1182" s="75"/>
      <c r="AII1182" s="75"/>
      <c r="AIJ1182" s="75"/>
      <c r="AIK1182" s="75"/>
      <c r="AIL1182" s="75"/>
      <c r="AIM1182" s="75"/>
      <c r="AIN1182" s="75"/>
      <c r="AIO1182" s="75"/>
      <c r="AIP1182" s="75"/>
      <c r="AIQ1182" s="75"/>
      <c r="AIR1182" s="75"/>
      <c r="AIS1182" s="75"/>
      <c r="AIT1182" s="75"/>
      <c r="AIU1182" s="75"/>
      <c r="AIV1182" s="75"/>
      <c r="AIW1182" s="75"/>
      <c r="AIX1182" s="75"/>
      <c r="AIY1182" s="75"/>
      <c r="AIZ1182" s="75"/>
      <c r="AJA1182" s="75"/>
      <c r="AJB1182" s="75"/>
      <c r="AJC1182" s="75"/>
      <c r="AJD1182" s="75"/>
      <c r="AJE1182" s="75"/>
      <c r="AJF1182" s="75"/>
      <c r="AJG1182" s="75"/>
      <c r="AJH1182" s="75"/>
      <c r="AJI1182" s="75"/>
      <c r="AJJ1182" s="75"/>
      <c r="AJK1182" s="75"/>
      <c r="AJL1182" s="75"/>
      <c r="AJM1182" s="75"/>
      <c r="AJN1182" s="75"/>
      <c r="AJO1182" s="75"/>
      <c r="AJP1182" s="75"/>
      <c r="AJQ1182" s="75"/>
      <c r="AJR1182" s="75"/>
      <c r="AJS1182" s="75"/>
      <c r="AJT1182" s="75"/>
      <c r="AJU1182" s="75"/>
      <c r="AJV1182" s="75"/>
      <c r="AJW1182" s="75"/>
      <c r="AJX1182" s="75"/>
      <c r="AJY1182" s="75"/>
      <c r="AJZ1182" s="75"/>
      <c r="AKA1182" s="75"/>
      <c r="AKB1182" s="75"/>
      <c r="AKC1182" s="75"/>
      <c r="AKD1182" s="75"/>
      <c r="AKE1182" s="75"/>
      <c r="AKF1182" s="75"/>
      <c r="AKG1182" s="75"/>
      <c r="AKH1182" s="75"/>
      <c r="AKI1182" s="75"/>
      <c r="AKJ1182" s="75"/>
      <c r="AKK1182" s="75"/>
      <c r="AKL1182" s="75"/>
      <c r="AKM1182" s="75"/>
      <c r="AKN1182" s="75"/>
      <c r="AKO1182" s="75"/>
      <c r="AKP1182" s="75"/>
      <c r="AKQ1182" s="75"/>
      <c r="AKR1182" s="75"/>
      <c r="AKS1182" s="75"/>
      <c r="AKT1182" s="75"/>
      <c r="AKU1182" s="75"/>
      <c r="AKV1182" s="75"/>
      <c r="AKW1182" s="75"/>
      <c r="AKX1182" s="75"/>
      <c r="AKY1182" s="75"/>
      <c r="AKZ1182" s="75"/>
      <c r="ALA1182" s="75"/>
      <c r="ALB1182" s="75"/>
      <c r="ALC1182" s="75"/>
      <c r="ALD1182" s="75"/>
      <c r="ALE1182" s="75"/>
      <c r="ALF1182" s="75"/>
      <c r="ALG1182" s="75"/>
      <c r="ALH1182" s="75"/>
      <c r="ALI1182" s="75"/>
      <c r="ALJ1182" s="75"/>
      <c r="ALK1182" s="75"/>
      <c r="ALL1182" s="75"/>
      <c r="ALM1182" s="75"/>
      <c r="ALN1182" s="75"/>
      <c r="ALO1182" s="75"/>
    </row>
    <row r="1183" spans="1:1003" s="238" customFormat="1" ht="14.55" customHeight="1" outlineLevel="1" x14ac:dyDescent="0.25">
      <c r="A1183" s="230" t="s">
        <v>1422</v>
      </c>
      <c r="B1183" s="343" t="str">
        <f>"28.0604"</f>
        <v>28.0604</v>
      </c>
      <c r="C1183" s="75" t="s">
        <v>3479</v>
      </c>
      <c r="D1183" s="127" t="s">
        <v>3480</v>
      </c>
      <c r="E1183" s="232"/>
      <c r="F1183" s="75"/>
      <c r="G1183" s="75"/>
      <c r="H1183" s="75"/>
      <c r="I1183" s="75"/>
      <c r="J1183" s="75"/>
      <c r="K1183" s="75"/>
      <c r="L1183" s="75"/>
      <c r="M1183" s="75"/>
      <c r="N1183" s="75"/>
      <c r="O1183" s="75"/>
      <c r="P1183" s="75"/>
      <c r="Q1183" s="75"/>
      <c r="R1183" s="75"/>
      <c r="S1183" s="75"/>
      <c r="T1183" s="75"/>
      <c r="U1183" s="75"/>
      <c r="V1183" s="75"/>
      <c r="W1183" s="75"/>
      <c r="X1183" s="75"/>
      <c r="Y1183" s="75"/>
      <c r="Z1183" s="75"/>
      <c r="AA1183" s="75"/>
      <c r="AB1183" s="75"/>
      <c r="AC1183" s="75"/>
      <c r="AD1183" s="75"/>
      <c r="AE1183" s="75"/>
      <c r="AF1183" s="75"/>
      <c r="AG1183" s="75"/>
      <c r="AH1183" s="75"/>
      <c r="AI1183" s="75"/>
      <c r="AJ1183" s="75"/>
      <c r="AK1183" s="75"/>
      <c r="AL1183" s="75"/>
      <c r="AM1183" s="75"/>
      <c r="AN1183" s="75"/>
      <c r="AO1183" s="75"/>
      <c r="AP1183" s="75"/>
      <c r="AQ1183" s="75"/>
      <c r="AR1183" s="75"/>
      <c r="AS1183" s="75"/>
      <c r="AT1183" s="75"/>
      <c r="AU1183" s="75"/>
      <c r="AV1183" s="75"/>
      <c r="AW1183" s="75"/>
      <c r="AX1183" s="75"/>
      <c r="AY1183" s="75"/>
      <c r="AZ1183" s="75"/>
      <c r="BA1183" s="75"/>
      <c r="BB1183" s="75"/>
      <c r="BC1183" s="75"/>
      <c r="BD1183" s="75"/>
      <c r="BE1183" s="75"/>
      <c r="BF1183" s="75"/>
      <c r="BG1183" s="75"/>
      <c r="BH1183" s="75"/>
      <c r="BI1183" s="75"/>
      <c r="BJ1183" s="75"/>
      <c r="BK1183" s="75"/>
      <c r="BL1183" s="75"/>
      <c r="BM1183" s="75"/>
      <c r="BN1183" s="75"/>
      <c r="BO1183" s="75"/>
      <c r="BP1183" s="75"/>
      <c r="BQ1183" s="75"/>
      <c r="BR1183" s="75"/>
      <c r="BS1183" s="75"/>
      <c r="BT1183" s="75"/>
      <c r="BU1183" s="75"/>
      <c r="BV1183" s="75"/>
      <c r="BW1183" s="75"/>
      <c r="BX1183" s="75"/>
      <c r="BY1183" s="75"/>
      <c r="BZ1183" s="75"/>
      <c r="CA1183" s="75"/>
      <c r="CB1183" s="75"/>
      <c r="CC1183" s="75"/>
      <c r="CD1183" s="75"/>
      <c r="CE1183" s="75"/>
      <c r="CF1183" s="75"/>
      <c r="CG1183" s="75"/>
      <c r="CH1183" s="75"/>
      <c r="CI1183" s="75"/>
      <c r="CJ1183" s="75"/>
      <c r="CK1183" s="75"/>
      <c r="CL1183" s="75"/>
      <c r="CM1183" s="75"/>
      <c r="CN1183" s="75"/>
      <c r="CO1183" s="75"/>
      <c r="CP1183" s="75"/>
      <c r="CQ1183" s="75"/>
      <c r="CR1183" s="75"/>
      <c r="CS1183" s="75"/>
      <c r="CT1183" s="75"/>
      <c r="CU1183" s="75"/>
      <c r="CV1183" s="75"/>
      <c r="CW1183" s="75"/>
      <c r="CX1183" s="75"/>
      <c r="CY1183" s="75"/>
      <c r="CZ1183" s="75"/>
      <c r="DA1183" s="75"/>
      <c r="DB1183" s="75"/>
      <c r="DC1183" s="75"/>
      <c r="DD1183" s="75"/>
      <c r="DE1183" s="75"/>
      <c r="DF1183" s="75"/>
      <c r="DG1183" s="75"/>
      <c r="DH1183" s="75"/>
      <c r="DI1183" s="75"/>
      <c r="DJ1183" s="75"/>
      <c r="DK1183" s="75"/>
      <c r="DL1183" s="75"/>
      <c r="DM1183" s="75"/>
      <c r="DN1183" s="75"/>
      <c r="DO1183" s="75"/>
      <c r="DP1183" s="75"/>
      <c r="DQ1183" s="75"/>
      <c r="DR1183" s="75"/>
      <c r="DS1183" s="75"/>
      <c r="DT1183" s="75"/>
      <c r="DU1183" s="75"/>
      <c r="DV1183" s="75"/>
      <c r="DW1183" s="75"/>
      <c r="DX1183" s="75"/>
      <c r="DY1183" s="75"/>
      <c r="DZ1183" s="75"/>
      <c r="EA1183" s="75"/>
      <c r="EB1183" s="75"/>
      <c r="EC1183" s="75"/>
      <c r="ED1183" s="75"/>
      <c r="EE1183" s="75"/>
      <c r="EF1183" s="75"/>
      <c r="EG1183" s="75"/>
      <c r="EH1183" s="75"/>
      <c r="EI1183" s="75"/>
      <c r="EJ1183" s="75"/>
      <c r="EK1183" s="75"/>
      <c r="EL1183" s="75"/>
      <c r="EM1183" s="75"/>
      <c r="EN1183" s="75"/>
      <c r="EO1183" s="75"/>
      <c r="EP1183" s="75"/>
      <c r="EQ1183" s="75"/>
      <c r="ER1183" s="75"/>
      <c r="ES1183" s="75"/>
      <c r="ET1183" s="75"/>
      <c r="EU1183" s="75"/>
      <c r="EV1183" s="75"/>
      <c r="EW1183" s="75"/>
      <c r="EX1183" s="75"/>
      <c r="EY1183" s="75"/>
      <c r="EZ1183" s="75"/>
      <c r="FA1183" s="75"/>
      <c r="FB1183" s="75"/>
      <c r="FC1183" s="75"/>
      <c r="FD1183" s="75"/>
      <c r="FE1183" s="75"/>
      <c r="FF1183" s="75"/>
      <c r="FG1183" s="75"/>
      <c r="FH1183" s="75"/>
      <c r="FI1183" s="75"/>
      <c r="FJ1183" s="75"/>
      <c r="FK1183" s="75"/>
      <c r="FL1183" s="75"/>
      <c r="FM1183" s="75"/>
      <c r="FN1183" s="75"/>
      <c r="FO1183" s="75"/>
      <c r="FP1183" s="75"/>
      <c r="FQ1183" s="75"/>
      <c r="FR1183" s="75"/>
      <c r="FS1183" s="75"/>
      <c r="FT1183" s="75"/>
      <c r="FU1183" s="75"/>
      <c r="FV1183" s="75"/>
      <c r="FW1183" s="75"/>
      <c r="FX1183" s="75"/>
      <c r="FY1183" s="75"/>
      <c r="FZ1183" s="75"/>
      <c r="GA1183" s="75"/>
      <c r="GB1183" s="75"/>
      <c r="GC1183" s="75"/>
      <c r="GD1183" s="75"/>
      <c r="GE1183" s="75"/>
      <c r="GF1183" s="75"/>
      <c r="GG1183" s="75"/>
      <c r="GH1183" s="75"/>
      <c r="GI1183" s="75"/>
      <c r="GJ1183" s="75"/>
      <c r="GK1183" s="75"/>
      <c r="GL1183" s="75"/>
      <c r="GM1183" s="75"/>
      <c r="GN1183" s="75"/>
      <c r="GO1183" s="75"/>
      <c r="GP1183" s="75"/>
      <c r="GQ1183" s="75"/>
      <c r="GR1183" s="75"/>
      <c r="GS1183" s="75"/>
      <c r="GT1183" s="75"/>
      <c r="GU1183" s="75"/>
      <c r="GV1183" s="75"/>
      <c r="GW1183" s="75"/>
      <c r="GX1183" s="75"/>
      <c r="GY1183" s="75"/>
      <c r="GZ1183" s="75"/>
      <c r="HA1183" s="75"/>
      <c r="HB1183" s="75"/>
      <c r="HC1183" s="75"/>
      <c r="HD1183" s="75"/>
      <c r="HE1183" s="75"/>
      <c r="HF1183" s="75"/>
      <c r="HG1183" s="75"/>
      <c r="HH1183" s="75"/>
      <c r="HI1183" s="75"/>
      <c r="HJ1183" s="75"/>
      <c r="HK1183" s="75"/>
      <c r="HL1183" s="75"/>
      <c r="HM1183" s="75"/>
      <c r="HN1183" s="75"/>
      <c r="HO1183" s="75"/>
      <c r="HP1183" s="75"/>
      <c r="HQ1183" s="75"/>
      <c r="HR1183" s="75"/>
      <c r="HS1183" s="75"/>
      <c r="HT1183" s="75"/>
      <c r="HU1183" s="75"/>
      <c r="HV1183" s="75"/>
      <c r="HW1183" s="75"/>
      <c r="HX1183" s="75"/>
      <c r="HY1183" s="75"/>
      <c r="HZ1183" s="75"/>
      <c r="IA1183" s="75"/>
      <c r="IB1183" s="75"/>
      <c r="IC1183" s="75"/>
      <c r="ID1183" s="75"/>
      <c r="IE1183" s="75"/>
      <c r="IF1183" s="75"/>
      <c r="IG1183" s="75"/>
      <c r="IH1183" s="75"/>
      <c r="II1183" s="75"/>
      <c r="IJ1183" s="75"/>
      <c r="IK1183" s="75"/>
      <c r="IL1183" s="75"/>
      <c r="IM1183" s="75"/>
      <c r="IN1183" s="75"/>
      <c r="IO1183" s="75"/>
      <c r="IP1183" s="75"/>
      <c r="IQ1183" s="75"/>
      <c r="IR1183" s="75"/>
      <c r="IS1183" s="75"/>
      <c r="IT1183" s="75"/>
      <c r="IU1183" s="75"/>
      <c r="IV1183" s="75"/>
      <c r="IW1183" s="75"/>
      <c r="IX1183" s="75"/>
      <c r="IY1183" s="75"/>
      <c r="IZ1183" s="75"/>
      <c r="JA1183" s="75"/>
      <c r="JB1183" s="75"/>
      <c r="JC1183" s="75"/>
      <c r="JD1183" s="75"/>
      <c r="JE1183" s="75"/>
      <c r="JF1183" s="75"/>
      <c r="JG1183" s="75"/>
      <c r="JH1183" s="75"/>
      <c r="JI1183" s="75"/>
      <c r="JJ1183" s="75"/>
      <c r="JK1183" s="75"/>
      <c r="JL1183" s="75"/>
      <c r="JM1183" s="75"/>
      <c r="JN1183" s="75"/>
      <c r="JO1183" s="75"/>
      <c r="JP1183" s="75"/>
      <c r="JQ1183" s="75"/>
      <c r="JR1183" s="75"/>
      <c r="JS1183" s="75"/>
      <c r="JT1183" s="75"/>
      <c r="JU1183" s="75"/>
      <c r="JV1183" s="75"/>
      <c r="JW1183" s="75"/>
      <c r="JX1183" s="75"/>
      <c r="JY1183" s="75"/>
      <c r="JZ1183" s="75"/>
      <c r="KA1183" s="75"/>
      <c r="KB1183" s="75"/>
      <c r="KC1183" s="75"/>
      <c r="KD1183" s="75"/>
      <c r="KE1183" s="75"/>
      <c r="KF1183" s="75"/>
      <c r="KG1183" s="75"/>
      <c r="KH1183" s="75"/>
      <c r="KI1183" s="75"/>
      <c r="KJ1183" s="75"/>
      <c r="KK1183" s="75"/>
      <c r="KL1183" s="75"/>
      <c r="KM1183" s="75"/>
      <c r="KN1183" s="75"/>
      <c r="KO1183" s="75"/>
      <c r="KP1183" s="75"/>
      <c r="KQ1183" s="75"/>
      <c r="KR1183" s="75"/>
      <c r="KS1183" s="75"/>
      <c r="KT1183" s="75"/>
      <c r="KU1183" s="75"/>
      <c r="KV1183" s="75"/>
      <c r="KW1183" s="75"/>
      <c r="KX1183" s="75"/>
      <c r="KY1183" s="75"/>
      <c r="KZ1183" s="75"/>
      <c r="LA1183" s="75"/>
      <c r="LB1183" s="75"/>
      <c r="LC1183" s="75"/>
      <c r="LD1183" s="75"/>
      <c r="LE1183" s="75"/>
      <c r="LF1183" s="75"/>
      <c r="LG1183" s="75"/>
      <c r="LH1183" s="75"/>
      <c r="LI1183" s="75"/>
      <c r="LJ1183" s="75"/>
      <c r="LK1183" s="75"/>
      <c r="LL1183" s="75"/>
      <c r="LM1183" s="75"/>
      <c r="LN1183" s="75"/>
      <c r="LO1183" s="75"/>
      <c r="LP1183" s="75"/>
      <c r="LQ1183" s="75"/>
      <c r="LR1183" s="75"/>
      <c r="LS1183" s="75"/>
      <c r="LT1183" s="75"/>
      <c r="LU1183" s="75"/>
      <c r="LV1183" s="75"/>
      <c r="LW1183" s="75"/>
      <c r="LX1183" s="75"/>
      <c r="LY1183" s="75"/>
      <c r="LZ1183" s="75"/>
      <c r="MA1183" s="75"/>
      <c r="MB1183" s="75"/>
      <c r="MC1183" s="75"/>
      <c r="MD1183" s="75"/>
      <c r="ME1183" s="75"/>
      <c r="MF1183" s="75"/>
      <c r="MG1183" s="75"/>
      <c r="MH1183" s="75"/>
      <c r="MI1183" s="75"/>
      <c r="MJ1183" s="75"/>
      <c r="MK1183" s="75"/>
      <c r="ML1183" s="75"/>
      <c r="MM1183" s="75"/>
      <c r="MN1183" s="75"/>
      <c r="MO1183" s="75"/>
      <c r="MP1183" s="75"/>
      <c r="MQ1183" s="75"/>
      <c r="MR1183" s="75"/>
      <c r="MS1183" s="75"/>
      <c r="MT1183" s="75"/>
      <c r="MU1183" s="75"/>
      <c r="MV1183" s="75"/>
      <c r="MW1183" s="75"/>
      <c r="MX1183" s="75"/>
      <c r="MY1183" s="75"/>
      <c r="MZ1183" s="75"/>
      <c r="NA1183" s="75"/>
      <c r="NB1183" s="75"/>
      <c r="NC1183" s="75"/>
      <c r="ND1183" s="75"/>
      <c r="NE1183" s="75"/>
      <c r="NF1183" s="75"/>
      <c r="NG1183" s="75"/>
      <c r="NH1183" s="75"/>
      <c r="NI1183" s="75"/>
      <c r="NJ1183" s="75"/>
      <c r="NK1183" s="75"/>
      <c r="NL1183" s="75"/>
      <c r="NM1183" s="75"/>
      <c r="NN1183" s="75"/>
      <c r="NO1183" s="75"/>
      <c r="NP1183" s="75"/>
      <c r="NQ1183" s="75"/>
      <c r="NR1183" s="75"/>
      <c r="NS1183" s="75"/>
      <c r="NT1183" s="75"/>
      <c r="NU1183" s="75"/>
      <c r="NV1183" s="75"/>
      <c r="NW1183" s="75"/>
      <c r="NX1183" s="75"/>
      <c r="NY1183" s="75"/>
      <c r="NZ1183" s="75"/>
      <c r="OA1183" s="75"/>
      <c r="OB1183" s="75"/>
      <c r="OC1183" s="75"/>
      <c r="OD1183" s="75"/>
      <c r="OE1183" s="75"/>
      <c r="OF1183" s="75"/>
      <c r="OG1183" s="75"/>
      <c r="OH1183" s="75"/>
      <c r="OI1183" s="75"/>
      <c r="OJ1183" s="75"/>
      <c r="OK1183" s="75"/>
      <c r="OL1183" s="75"/>
      <c r="OM1183" s="75"/>
      <c r="ON1183" s="75"/>
      <c r="OO1183" s="75"/>
      <c r="OP1183" s="75"/>
      <c r="OQ1183" s="75"/>
      <c r="OR1183" s="75"/>
      <c r="OS1183" s="75"/>
      <c r="OT1183" s="75"/>
      <c r="OU1183" s="75"/>
      <c r="OV1183" s="75"/>
      <c r="OW1183" s="75"/>
      <c r="OX1183" s="75"/>
      <c r="OY1183" s="75"/>
      <c r="OZ1183" s="75"/>
      <c r="PA1183" s="75"/>
      <c r="PB1183" s="75"/>
      <c r="PC1183" s="75"/>
      <c r="PD1183" s="75"/>
      <c r="PE1183" s="75"/>
      <c r="PF1183" s="75"/>
      <c r="PG1183" s="75"/>
      <c r="PH1183" s="75"/>
      <c r="PI1183" s="75"/>
      <c r="PJ1183" s="75"/>
      <c r="PK1183" s="75"/>
      <c r="PL1183" s="75"/>
      <c r="PM1183" s="75"/>
      <c r="PN1183" s="75"/>
      <c r="PO1183" s="75"/>
      <c r="PP1183" s="75"/>
      <c r="PQ1183" s="75"/>
      <c r="PR1183" s="75"/>
      <c r="PS1183" s="75"/>
      <c r="PT1183" s="75"/>
      <c r="PU1183" s="75"/>
      <c r="PV1183" s="75"/>
      <c r="PW1183" s="75"/>
      <c r="PX1183" s="75"/>
      <c r="PY1183" s="75"/>
      <c r="PZ1183" s="75"/>
      <c r="QA1183" s="75"/>
      <c r="QB1183" s="75"/>
      <c r="QC1183" s="75"/>
      <c r="QD1183" s="75"/>
      <c r="QE1183" s="75"/>
      <c r="QF1183" s="75"/>
      <c r="QG1183" s="75"/>
      <c r="QH1183" s="75"/>
      <c r="QI1183" s="75"/>
      <c r="QJ1183" s="75"/>
      <c r="QK1183" s="75"/>
      <c r="QL1183" s="75"/>
      <c r="QM1183" s="75"/>
      <c r="QN1183" s="75"/>
      <c r="QO1183" s="75"/>
      <c r="QP1183" s="75"/>
      <c r="QQ1183" s="75"/>
      <c r="QR1183" s="75"/>
      <c r="QS1183" s="75"/>
      <c r="QT1183" s="75"/>
      <c r="QU1183" s="75"/>
      <c r="QV1183" s="75"/>
      <c r="QW1183" s="75"/>
      <c r="QX1183" s="75"/>
      <c r="QY1183" s="75"/>
      <c r="QZ1183" s="75"/>
      <c r="RA1183" s="75"/>
      <c r="RB1183" s="75"/>
      <c r="RC1183" s="75"/>
      <c r="RD1183" s="75"/>
      <c r="RE1183" s="75"/>
      <c r="RF1183" s="75"/>
      <c r="RG1183" s="75"/>
      <c r="RH1183" s="75"/>
      <c r="RI1183" s="75"/>
      <c r="RJ1183" s="75"/>
      <c r="RK1183" s="75"/>
      <c r="RL1183" s="75"/>
      <c r="RM1183" s="75"/>
      <c r="RN1183" s="75"/>
      <c r="RO1183" s="75"/>
      <c r="RP1183" s="75"/>
      <c r="RQ1183" s="75"/>
      <c r="RR1183" s="75"/>
      <c r="RS1183" s="75"/>
      <c r="RT1183" s="75"/>
      <c r="RU1183" s="75"/>
      <c r="RV1183" s="75"/>
      <c r="RW1183" s="75"/>
      <c r="RX1183" s="75"/>
      <c r="RY1183" s="75"/>
      <c r="RZ1183" s="75"/>
      <c r="SA1183" s="75"/>
      <c r="SB1183" s="75"/>
      <c r="SC1183" s="75"/>
      <c r="SD1183" s="75"/>
      <c r="SE1183" s="75"/>
      <c r="SF1183" s="75"/>
      <c r="SG1183" s="75"/>
      <c r="SH1183" s="75"/>
      <c r="SI1183" s="75"/>
      <c r="SJ1183" s="75"/>
      <c r="SK1183" s="75"/>
      <c r="SL1183" s="75"/>
      <c r="SM1183" s="75"/>
      <c r="SN1183" s="75"/>
      <c r="SO1183" s="75"/>
      <c r="SP1183" s="75"/>
      <c r="SQ1183" s="75"/>
      <c r="SR1183" s="75"/>
      <c r="SS1183" s="75"/>
      <c r="ST1183" s="75"/>
      <c r="SU1183" s="75"/>
      <c r="SV1183" s="75"/>
      <c r="SW1183" s="75"/>
      <c r="SX1183" s="75"/>
      <c r="SY1183" s="75"/>
      <c r="SZ1183" s="75"/>
      <c r="TA1183" s="75"/>
      <c r="TB1183" s="75"/>
      <c r="TC1183" s="75"/>
      <c r="TD1183" s="75"/>
      <c r="TE1183" s="75"/>
      <c r="TF1183" s="75"/>
      <c r="TG1183" s="75"/>
      <c r="TH1183" s="75"/>
      <c r="TI1183" s="75"/>
      <c r="TJ1183" s="75"/>
      <c r="TK1183" s="75"/>
      <c r="TL1183" s="75"/>
      <c r="TM1183" s="75"/>
      <c r="TN1183" s="75"/>
      <c r="TO1183" s="75"/>
      <c r="TP1183" s="75"/>
      <c r="TQ1183" s="75"/>
      <c r="TR1183" s="75"/>
      <c r="TS1183" s="75"/>
      <c r="TT1183" s="75"/>
      <c r="TU1183" s="75"/>
      <c r="TV1183" s="75"/>
      <c r="TW1183" s="75"/>
      <c r="TX1183" s="75"/>
      <c r="TY1183" s="75"/>
      <c r="TZ1183" s="75"/>
      <c r="UA1183" s="75"/>
      <c r="UB1183" s="75"/>
      <c r="UC1183" s="75"/>
      <c r="UD1183" s="75"/>
      <c r="UE1183" s="75"/>
      <c r="UF1183" s="75"/>
      <c r="UG1183" s="75"/>
      <c r="UH1183" s="75"/>
      <c r="UI1183" s="75"/>
      <c r="UJ1183" s="75"/>
      <c r="UK1183" s="75"/>
      <c r="UL1183" s="75"/>
      <c r="UM1183" s="75"/>
      <c r="UN1183" s="75"/>
      <c r="UO1183" s="75"/>
      <c r="UP1183" s="75"/>
      <c r="UQ1183" s="75"/>
      <c r="UR1183" s="75"/>
      <c r="US1183" s="75"/>
      <c r="UT1183" s="75"/>
      <c r="UU1183" s="75"/>
      <c r="UV1183" s="75"/>
      <c r="UW1183" s="75"/>
      <c r="UX1183" s="75"/>
      <c r="UY1183" s="75"/>
      <c r="UZ1183" s="75"/>
      <c r="VA1183" s="75"/>
      <c r="VB1183" s="75"/>
      <c r="VC1183" s="75"/>
      <c r="VD1183" s="75"/>
      <c r="VE1183" s="75"/>
      <c r="VF1183" s="75"/>
      <c r="VG1183" s="75"/>
      <c r="VH1183" s="75"/>
      <c r="VI1183" s="75"/>
      <c r="VJ1183" s="75"/>
      <c r="VK1183" s="75"/>
      <c r="VL1183" s="75"/>
      <c r="VM1183" s="75"/>
      <c r="VN1183" s="75"/>
      <c r="VO1183" s="75"/>
      <c r="VP1183" s="75"/>
      <c r="VQ1183" s="75"/>
      <c r="VR1183" s="75"/>
      <c r="VS1183" s="75"/>
      <c r="VT1183" s="75"/>
      <c r="VU1183" s="75"/>
      <c r="VV1183" s="75"/>
      <c r="VW1183" s="75"/>
      <c r="VX1183" s="75"/>
      <c r="VY1183" s="75"/>
      <c r="VZ1183" s="75"/>
      <c r="WA1183" s="75"/>
      <c r="WB1183" s="75"/>
      <c r="WC1183" s="75"/>
      <c r="WD1183" s="75"/>
      <c r="WE1183" s="75"/>
      <c r="WF1183" s="75"/>
      <c r="WG1183" s="75"/>
      <c r="WH1183" s="75"/>
      <c r="WI1183" s="75"/>
      <c r="WJ1183" s="75"/>
      <c r="WK1183" s="75"/>
      <c r="WL1183" s="75"/>
      <c r="WM1183" s="75"/>
      <c r="WN1183" s="75"/>
      <c r="WO1183" s="75"/>
      <c r="WP1183" s="75"/>
      <c r="WQ1183" s="75"/>
      <c r="WR1183" s="75"/>
      <c r="WS1183" s="75"/>
      <c r="WT1183" s="75"/>
      <c r="WU1183" s="75"/>
      <c r="WV1183" s="75"/>
      <c r="WW1183" s="75"/>
      <c r="WX1183" s="75"/>
      <c r="WY1183" s="75"/>
      <c r="WZ1183" s="75"/>
      <c r="XA1183" s="75"/>
      <c r="XB1183" s="75"/>
      <c r="XC1183" s="75"/>
      <c r="XD1183" s="75"/>
      <c r="XE1183" s="75"/>
      <c r="XF1183" s="75"/>
      <c r="XG1183" s="75"/>
      <c r="XH1183" s="75"/>
      <c r="XI1183" s="75"/>
      <c r="XJ1183" s="75"/>
      <c r="XK1183" s="75"/>
      <c r="XL1183" s="75"/>
      <c r="XM1183" s="75"/>
      <c r="XN1183" s="75"/>
      <c r="XO1183" s="75"/>
      <c r="XP1183" s="75"/>
      <c r="XQ1183" s="75"/>
      <c r="XR1183" s="75"/>
      <c r="XS1183" s="75"/>
      <c r="XT1183" s="75"/>
      <c r="XU1183" s="75"/>
      <c r="XV1183" s="75"/>
      <c r="XW1183" s="75"/>
      <c r="XX1183" s="75"/>
      <c r="XY1183" s="75"/>
      <c r="XZ1183" s="75"/>
      <c r="YA1183" s="75"/>
      <c r="YB1183" s="75"/>
      <c r="YC1183" s="75"/>
      <c r="YD1183" s="75"/>
      <c r="YE1183" s="75"/>
      <c r="YF1183" s="75"/>
      <c r="YG1183" s="75"/>
      <c r="YH1183" s="75"/>
      <c r="YI1183" s="75"/>
      <c r="YJ1183" s="75"/>
      <c r="YK1183" s="75"/>
      <c r="YL1183" s="75"/>
      <c r="YM1183" s="75"/>
      <c r="YN1183" s="75"/>
      <c r="YO1183" s="75"/>
      <c r="YP1183" s="75"/>
      <c r="YQ1183" s="75"/>
      <c r="YR1183" s="75"/>
      <c r="YS1183" s="75"/>
      <c r="YT1183" s="75"/>
      <c r="YU1183" s="75"/>
      <c r="YV1183" s="75"/>
      <c r="YW1183" s="75"/>
      <c r="YX1183" s="75"/>
      <c r="YY1183" s="75"/>
      <c r="YZ1183" s="75"/>
      <c r="ZA1183" s="75"/>
      <c r="ZB1183" s="75"/>
      <c r="ZC1183" s="75"/>
      <c r="ZD1183" s="75"/>
      <c r="ZE1183" s="75"/>
      <c r="ZF1183" s="75"/>
      <c r="ZG1183" s="75"/>
      <c r="ZH1183" s="75"/>
      <c r="ZI1183" s="75"/>
      <c r="ZJ1183" s="75"/>
      <c r="ZK1183" s="75"/>
      <c r="ZL1183" s="75"/>
      <c r="ZM1183" s="75"/>
      <c r="ZN1183" s="75"/>
      <c r="ZO1183" s="75"/>
      <c r="ZP1183" s="75"/>
      <c r="ZQ1183" s="75"/>
      <c r="ZR1183" s="75"/>
      <c r="ZS1183" s="75"/>
      <c r="ZT1183" s="75"/>
      <c r="ZU1183" s="75"/>
      <c r="ZV1183" s="75"/>
      <c r="ZW1183" s="75"/>
      <c r="ZX1183" s="75"/>
      <c r="ZY1183" s="75"/>
      <c r="ZZ1183" s="75"/>
      <c r="AAA1183" s="75"/>
      <c r="AAB1183" s="75"/>
      <c r="AAC1183" s="75"/>
      <c r="AAD1183" s="75"/>
      <c r="AAE1183" s="75"/>
      <c r="AAF1183" s="75"/>
      <c r="AAG1183" s="75"/>
      <c r="AAH1183" s="75"/>
      <c r="AAI1183" s="75"/>
      <c r="AAJ1183" s="75"/>
      <c r="AAK1183" s="75"/>
      <c r="AAL1183" s="75"/>
      <c r="AAM1183" s="75"/>
      <c r="AAN1183" s="75"/>
      <c r="AAO1183" s="75"/>
      <c r="AAP1183" s="75"/>
      <c r="AAQ1183" s="75"/>
      <c r="AAR1183" s="75"/>
      <c r="AAS1183" s="75"/>
      <c r="AAT1183" s="75"/>
      <c r="AAU1183" s="75"/>
      <c r="AAV1183" s="75"/>
      <c r="AAW1183" s="75"/>
      <c r="AAX1183" s="75"/>
      <c r="AAY1183" s="75"/>
      <c r="AAZ1183" s="75"/>
      <c r="ABA1183" s="75"/>
      <c r="ABB1183" s="75"/>
      <c r="ABC1183" s="75"/>
      <c r="ABD1183" s="75"/>
      <c r="ABE1183" s="75"/>
      <c r="ABF1183" s="75"/>
      <c r="ABG1183" s="75"/>
      <c r="ABH1183" s="75"/>
      <c r="ABI1183" s="75"/>
      <c r="ABJ1183" s="75"/>
      <c r="ABK1183" s="75"/>
      <c r="ABL1183" s="75"/>
      <c r="ABM1183" s="75"/>
      <c r="ABN1183" s="75"/>
      <c r="ABO1183" s="75"/>
      <c r="ABP1183" s="75"/>
      <c r="ABQ1183" s="75"/>
      <c r="ABR1183" s="75"/>
      <c r="ABS1183" s="75"/>
      <c r="ABT1183" s="75"/>
      <c r="ABU1183" s="75"/>
      <c r="ABV1183" s="75"/>
      <c r="ABW1183" s="75"/>
      <c r="ABX1183" s="75"/>
      <c r="ABY1183" s="75"/>
      <c r="ABZ1183" s="75"/>
      <c r="ACA1183" s="75"/>
      <c r="ACB1183" s="75"/>
      <c r="ACC1183" s="75"/>
      <c r="ACD1183" s="75"/>
      <c r="ACE1183" s="75"/>
      <c r="ACF1183" s="75"/>
      <c r="ACG1183" s="75"/>
      <c r="ACH1183" s="75"/>
      <c r="ACI1183" s="75"/>
      <c r="ACJ1183" s="75"/>
      <c r="ACK1183" s="75"/>
      <c r="ACL1183" s="75"/>
      <c r="ACM1183" s="75"/>
      <c r="ACN1183" s="75"/>
      <c r="ACO1183" s="75"/>
      <c r="ACP1183" s="75"/>
      <c r="ACQ1183" s="75"/>
      <c r="ACR1183" s="75"/>
      <c r="ACS1183" s="75"/>
      <c r="ACT1183" s="75"/>
      <c r="ACU1183" s="75"/>
      <c r="ACV1183" s="75"/>
      <c r="ACW1183" s="75"/>
      <c r="ACX1183" s="75"/>
      <c r="ACY1183" s="75"/>
      <c r="ACZ1183" s="75"/>
      <c r="ADA1183" s="75"/>
      <c r="ADB1183" s="75"/>
      <c r="ADC1183" s="75"/>
      <c r="ADD1183" s="75"/>
      <c r="ADE1183" s="75"/>
      <c r="ADF1183" s="75"/>
      <c r="ADG1183" s="75"/>
      <c r="ADH1183" s="75"/>
      <c r="ADI1183" s="75"/>
      <c r="ADJ1183" s="75"/>
      <c r="ADK1183" s="75"/>
      <c r="ADL1183" s="75"/>
      <c r="ADM1183" s="75"/>
      <c r="ADN1183" s="75"/>
      <c r="ADO1183" s="75"/>
      <c r="ADP1183" s="75"/>
      <c r="ADQ1183" s="75"/>
      <c r="ADR1183" s="75"/>
      <c r="ADS1183" s="75"/>
      <c r="ADT1183" s="75"/>
      <c r="ADU1183" s="75"/>
      <c r="ADV1183" s="75"/>
      <c r="ADW1183" s="75"/>
      <c r="ADX1183" s="75"/>
      <c r="ADY1183" s="75"/>
      <c r="ADZ1183" s="75"/>
      <c r="AEA1183" s="75"/>
      <c r="AEB1183" s="75"/>
      <c r="AEC1183" s="75"/>
      <c r="AED1183" s="75"/>
      <c r="AEE1183" s="75"/>
      <c r="AEF1183" s="75"/>
      <c r="AEG1183" s="75"/>
      <c r="AEH1183" s="75"/>
      <c r="AEI1183" s="75"/>
      <c r="AEJ1183" s="75"/>
      <c r="AEK1183" s="75"/>
      <c r="AEL1183" s="75"/>
      <c r="AEM1183" s="75"/>
      <c r="AEN1183" s="75"/>
      <c r="AEO1183" s="75"/>
      <c r="AEP1183" s="75"/>
      <c r="AEQ1183" s="75"/>
      <c r="AER1183" s="75"/>
      <c r="AES1183" s="75"/>
      <c r="AET1183" s="75"/>
      <c r="AEU1183" s="75"/>
      <c r="AEV1183" s="75"/>
      <c r="AEW1183" s="75"/>
      <c r="AEX1183" s="75"/>
      <c r="AEY1183" s="75"/>
      <c r="AEZ1183" s="75"/>
      <c r="AFA1183" s="75"/>
      <c r="AFB1183" s="75"/>
      <c r="AFC1183" s="75"/>
      <c r="AFD1183" s="75"/>
      <c r="AFE1183" s="75"/>
      <c r="AFF1183" s="75"/>
      <c r="AFG1183" s="75"/>
      <c r="AFH1183" s="75"/>
      <c r="AFI1183" s="75"/>
      <c r="AFJ1183" s="75"/>
      <c r="AFK1183" s="75"/>
      <c r="AFL1183" s="75"/>
      <c r="AFM1183" s="75"/>
      <c r="AFN1183" s="75"/>
      <c r="AFO1183" s="75"/>
      <c r="AFP1183" s="75"/>
      <c r="AFQ1183" s="75"/>
      <c r="AFR1183" s="75"/>
      <c r="AFS1183" s="75"/>
      <c r="AFT1183" s="75"/>
      <c r="AFU1183" s="75"/>
      <c r="AFV1183" s="75"/>
      <c r="AFW1183" s="75"/>
      <c r="AFX1183" s="75"/>
      <c r="AFY1183" s="75"/>
      <c r="AFZ1183" s="75"/>
      <c r="AGA1183" s="75"/>
      <c r="AGB1183" s="75"/>
      <c r="AGC1183" s="75"/>
      <c r="AGD1183" s="75"/>
      <c r="AGE1183" s="75"/>
      <c r="AGF1183" s="75"/>
      <c r="AGG1183" s="75"/>
      <c r="AGH1183" s="75"/>
      <c r="AGI1183" s="75"/>
      <c r="AGJ1183" s="75"/>
      <c r="AGK1183" s="75"/>
      <c r="AGL1183" s="75"/>
      <c r="AGM1183" s="75"/>
      <c r="AGN1183" s="75"/>
      <c r="AGO1183" s="75"/>
      <c r="AGP1183" s="75"/>
      <c r="AGQ1183" s="75"/>
      <c r="AGR1183" s="75"/>
      <c r="AGS1183" s="75"/>
      <c r="AGT1183" s="75"/>
      <c r="AGU1183" s="75"/>
      <c r="AGV1183" s="75"/>
      <c r="AGW1183" s="75"/>
      <c r="AGX1183" s="75"/>
      <c r="AGY1183" s="75"/>
      <c r="AGZ1183" s="75"/>
      <c r="AHA1183" s="75"/>
      <c r="AHB1183" s="75"/>
      <c r="AHC1183" s="75"/>
      <c r="AHD1183" s="75"/>
      <c r="AHE1183" s="75"/>
      <c r="AHF1183" s="75"/>
      <c r="AHG1183" s="75"/>
      <c r="AHH1183" s="75"/>
      <c r="AHI1183" s="75"/>
      <c r="AHJ1183" s="75"/>
      <c r="AHK1183" s="75"/>
      <c r="AHL1183" s="75"/>
      <c r="AHM1183" s="75"/>
      <c r="AHN1183" s="75"/>
      <c r="AHO1183" s="75"/>
      <c r="AHP1183" s="75"/>
      <c r="AHQ1183" s="75"/>
      <c r="AHR1183" s="75"/>
      <c r="AHS1183" s="75"/>
      <c r="AHT1183" s="75"/>
      <c r="AHU1183" s="75"/>
      <c r="AHV1183" s="75"/>
      <c r="AHW1183" s="75"/>
      <c r="AHX1183" s="75"/>
      <c r="AHY1183" s="75"/>
      <c r="AHZ1183" s="75"/>
      <c r="AIA1183" s="75"/>
      <c r="AIB1183" s="75"/>
      <c r="AIC1183" s="75"/>
      <c r="AID1183" s="75"/>
      <c r="AIE1183" s="75"/>
      <c r="AIF1183" s="75"/>
      <c r="AIG1183" s="75"/>
      <c r="AIH1183" s="75"/>
      <c r="AII1183" s="75"/>
      <c r="AIJ1183" s="75"/>
      <c r="AIK1183" s="75"/>
      <c r="AIL1183" s="75"/>
      <c r="AIM1183" s="75"/>
      <c r="AIN1183" s="75"/>
      <c r="AIO1183" s="75"/>
      <c r="AIP1183" s="75"/>
      <c r="AIQ1183" s="75"/>
      <c r="AIR1183" s="75"/>
      <c r="AIS1183" s="75"/>
      <c r="AIT1183" s="75"/>
      <c r="AIU1183" s="75"/>
      <c r="AIV1183" s="75"/>
      <c r="AIW1183" s="75"/>
      <c r="AIX1183" s="75"/>
      <c r="AIY1183" s="75"/>
      <c r="AIZ1183" s="75"/>
      <c r="AJA1183" s="75"/>
      <c r="AJB1183" s="75"/>
      <c r="AJC1183" s="75"/>
      <c r="AJD1183" s="75"/>
      <c r="AJE1183" s="75"/>
      <c r="AJF1183" s="75"/>
      <c r="AJG1183" s="75"/>
      <c r="AJH1183" s="75"/>
      <c r="AJI1183" s="75"/>
      <c r="AJJ1183" s="75"/>
      <c r="AJK1183" s="75"/>
      <c r="AJL1183" s="75"/>
      <c r="AJM1183" s="75"/>
      <c r="AJN1183" s="75"/>
      <c r="AJO1183" s="75"/>
      <c r="AJP1183" s="75"/>
      <c r="AJQ1183" s="75"/>
      <c r="AJR1183" s="75"/>
      <c r="AJS1183" s="75"/>
      <c r="AJT1183" s="75"/>
      <c r="AJU1183" s="75"/>
      <c r="AJV1183" s="75"/>
      <c r="AJW1183" s="75"/>
      <c r="AJX1183" s="75"/>
      <c r="AJY1183" s="75"/>
      <c r="AJZ1183" s="75"/>
      <c r="AKA1183" s="75"/>
      <c r="AKB1183" s="75"/>
      <c r="AKC1183" s="75"/>
      <c r="AKD1183" s="75"/>
      <c r="AKE1183" s="75"/>
      <c r="AKF1183" s="75"/>
      <c r="AKG1183" s="75"/>
      <c r="AKH1183" s="75"/>
      <c r="AKI1183" s="75"/>
      <c r="AKJ1183" s="75"/>
      <c r="AKK1183" s="75"/>
      <c r="AKL1183" s="75"/>
      <c r="AKM1183" s="75"/>
      <c r="AKN1183" s="75"/>
      <c r="AKO1183" s="75"/>
      <c r="AKP1183" s="75"/>
      <c r="AKQ1183" s="75"/>
      <c r="AKR1183" s="75"/>
      <c r="AKS1183" s="75"/>
      <c r="AKT1183" s="75"/>
      <c r="AKU1183" s="75"/>
      <c r="AKV1183" s="75"/>
      <c r="AKW1183" s="75"/>
      <c r="AKX1183" s="75"/>
      <c r="AKY1183" s="75"/>
      <c r="AKZ1183" s="75"/>
      <c r="ALA1183" s="75"/>
      <c r="ALB1183" s="75"/>
      <c r="ALC1183" s="75"/>
      <c r="ALD1183" s="75"/>
      <c r="ALE1183" s="75"/>
      <c r="ALF1183" s="75"/>
      <c r="ALG1183" s="75"/>
      <c r="ALH1183" s="75"/>
      <c r="ALI1183" s="75"/>
      <c r="ALJ1183" s="75"/>
      <c r="ALK1183" s="75"/>
      <c r="ALL1183" s="75"/>
      <c r="ALM1183" s="75"/>
      <c r="ALN1183" s="75"/>
      <c r="ALO1183" s="75"/>
    </row>
    <row r="1184" spans="1:1003" s="238" customFormat="1" ht="14.55" customHeight="1" outlineLevel="1" x14ac:dyDescent="0.25">
      <c r="A1184" s="230" t="s">
        <v>1422</v>
      </c>
      <c r="B1184" s="343" t="str">
        <f>"28.0605"</f>
        <v>28.0605</v>
      </c>
      <c r="C1184" s="75" t="s">
        <v>3481</v>
      </c>
      <c r="D1184" s="127" t="s">
        <v>3482</v>
      </c>
      <c r="E1184" s="232"/>
      <c r="F1184" s="75"/>
      <c r="G1184" s="75"/>
      <c r="H1184" s="75"/>
      <c r="I1184" s="75"/>
      <c r="J1184" s="75"/>
      <c r="K1184" s="75"/>
      <c r="L1184" s="75"/>
      <c r="M1184" s="75"/>
      <c r="N1184" s="75"/>
      <c r="O1184" s="75"/>
      <c r="P1184" s="75"/>
      <c r="Q1184" s="75"/>
      <c r="R1184" s="75"/>
      <c r="S1184" s="75"/>
      <c r="T1184" s="75"/>
      <c r="U1184" s="75"/>
      <c r="V1184" s="75"/>
      <c r="W1184" s="75"/>
      <c r="X1184" s="75"/>
      <c r="Y1184" s="75"/>
      <c r="Z1184" s="75"/>
      <c r="AA1184" s="75"/>
      <c r="AB1184" s="75"/>
      <c r="AC1184" s="75"/>
      <c r="AD1184" s="75"/>
      <c r="AE1184" s="75"/>
      <c r="AF1184" s="75"/>
      <c r="AG1184" s="75"/>
      <c r="AH1184" s="75"/>
      <c r="AI1184" s="75"/>
      <c r="AJ1184" s="75"/>
      <c r="AK1184" s="75"/>
      <c r="AL1184" s="75"/>
      <c r="AM1184" s="75"/>
      <c r="AN1184" s="75"/>
      <c r="AO1184" s="75"/>
      <c r="AP1184" s="75"/>
      <c r="AQ1184" s="75"/>
      <c r="AR1184" s="75"/>
      <c r="AS1184" s="75"/>
      <c r="AT1184" s="75"/>
      <c r="AU1184" s="75"/>
      <c r="AV1184" s="75"/>
      <c r="AW1184" s="75"/>
      <c r="AX1184" s="75"/>
      <c r="AY1184" s="75"/>
      <c r="AZ1184" s="75"/>
      <c r="BA1184" s="75"/>
      <c r="BB1184" s="75"/>
      <c r="BC1184" s="75"/>
      <c r="BD1184" s="75"/>
      <c r="BE1184" s="75"/>
      <c r="BF1184" s="75"/>
      <c r="BG1184" s="75"/>
      <c r="BH1184" s="75"/>
      <c r="BI1184" s="75"/>
      <c r="BJ1184" s="75"/>
      <c r="BK1184" s="75"/>
      <c r="BL1184" s="75"/>
      <c r="BM1184" s="75"/>
      <c r="BN1184" s="75"/>
      <c r="BO1184" s="75"/>
      <c r="BP1184" s="75"/>
      <c r="BQ1184" s="75"/>
      <c r="BR1184" s="75"/>
      <c r="BS1184" s="75"/>
      <c r="BT1184" s="75"/>
      <c r="BU1184" s="75"/>
      <c r="BV1184" s="75"/>
      <c r="BW1184" s="75"/>
      <c r="BX1184" s="75"/>
      <c r="BY1184" s="75"/>
      <c r="BZ1184" s="75"/>
      <c r="CA1184" s="75"/>
      <c r="CB1184" s="75"/>
      <c r="CC1184" s="75"/>
      <c r="CD1184" s="75"/>
      <c r="CE1184" s="75"/>
      <c r="CF1184" s="75"/>
      <c r="CG1184" s="75"/>
      <c r="CH1184" s="75"/>
      <c r="CI1184" s="75"/>
      <c r="CJ1184" s="75"/>
      <c r="CK1184" s="75"/>
      <c r="CL1184" s="75"/>
      <c r="CM1184" s="75"/>
      <c r="CN1184" s="75"/>
      <c r="CO1184" s="75"/>
      <c r="CP1184" s="75"/>
      <c r="CQ1184" s="75"/>
      <c r="CR1184" s="75"/>
      <c r="CS1184" s="75"/>
      <c r="CT1184" s="75"/>
      <c r="CU1184" s="75"/>
      <c r="CV1184" s="75"/>
      <c r="CW1184" s="75"/>
      <c r="CX1184" s="75"/>
      <c r="CY1184" s="75"/>
      <c r="CZ1184" s="75"/>
      <c r="DA1184" s="75"/>
      <c r="DB1184" s="75"/>
      <c r="DC1184" s="75"/>
      <c r="DD1184" s="75"/>
      <c r="DE1184" s="75"/>
      <c r="DF1184" s="75"/>
      <c r="DG1184" s="75"/>
      <c r="DH1184" s="75"/>
      <c r="DI1184" s="75"/>
      <c r="DJ1184" s="75"/>
      <c r="DK1184" s="75"/>
      <c r="DL1184" s="75"/>
      <c r="DM1184" s="75"/>
      <c r="DN1184" s="75"/>
      <c r="DO1184" s="75"/>
      <c r="DP1184" s="75"/>
      <c r="DQ1184" s="75"/>
      <c r="DR1184" s="75"/>
      <c r="DS1184" s="75"/>
      <c r="DT1184" s="75"/>
      <c r="DU1184" s="75"/>
      <c r="DV1184" s="75"/>
      <c r="DW1184" s="75"/>
      <c r="DX1184" s="75"/>
      <c r="DY1184" s="75"/>
      <c r="DZ1184" s="75"/>
      <c r="EA1184" s="75"/>
      <c r="EB1184" s="75"/>
      <c r="EC1184" s="75"/>
      <c r="ED1184" s="75"/>
      <c r="EE1184" s="75"/>
      <c r="EF1184" s="75"/>
      <c r="EG1184" s="75"/>
      <c r="EH1184" s="75"/>
      <c r="EI1184" s="75"/>
      <c r="EJ1184" s="75"/>
      <c r="EK1184" s="75"/>
      <c r="EL1184" s="75"/>
      <c r="EM1184" s="75"/>
      <c r="EN1184" s="75"/>
      <c r="EO1184" s="75"/>
      <c r="EP1184" s="75"/>
      <c r="EQ1184" s="75"/>
      <c r="ER1184" s="75"/>
      <c r="ES1184" s="75"/>
      <c r="ET1184" s="75"/>
      <c r="EU1184" s="75"/>
      <c r="EV1184" s="75"/>
      <c r="EW1184" s="75"/>
      <c r="EX1184" s="75"/>
      <c r="EY1184" s="75"/>
      <c r="EZ1184" s="75"/>
      <c r="FA1184" s="75"/>
      <c r="FB1184" s="75"/>
      <c r="FC1184" s="75"/>
      <c r="FD1184" s="75"/>
      <c r="FE1184" s="75"/>
      <c r="FF1184" s="75"/>
      <c r="FG1184" s="75"/>
      <c r="FH1184" s="75"/>
      <c r="FI1184" s="75"/>
      <c r="FJ1184" s="75"/>
      <c r="FK1184" s="75"/>
      <c r="FL1184" s="75"/>
      <c r="FM1184" s="75"/>
      <c r="FN1184" s="75"/>
      <c r="FO1184" s="75"/>
      <c r="FP1184" s="75"/>
      <c r="FQ1184" s="75"/>
      <c r="FR1184" s="75"/>
      <c r="FS1184" s="75"/>
      <c r="FT1184" s="75"/>
      <c r="FU1184" s="75"/>
      <c r="FV1184" s="75"/>
      <c r="FW1184" s="75"/>
      <c r="FX1184" s="75"/>
      <c r="FY1184" s="75"/>
      <c r="FZ1184" s="75"/>
      <c r="GA1184" s="75"/>
      <c r="GB1184" s="75"/>
      <c r="GC1184" s="75"/>
      <c r="GD1184" s="75"/>
      <c r="GE1184" s="75"/>
      <c r="GF1184" s="75"/>
      <c r="GG1184" s="75"/>
      <c r="GH1184" s="75"/>
      <c r="GI1184" s="75"/>
      <c r="GJ1184" s="75"/>
      <c r="GK1184" s="75"/>
      <c r="GL1184" s="75"/>
      <c r="GM1184" s="75"/>
      <c r="GN1184" s="75"/>
      <c r="GO1184" s="75"/>
      <c r="GP1184" s="75"/>
      <c r="GQ1184" s="75"/>
      <c r="GR1184" s="75"/>
      <c r="GS1184" s="75"/>
      <c r="GT1184" s="75"/>
      <c r="GU1184" s="75"/>
      <c r="GV1184" s="75"/>
      <c r="GW1184" s="75"/>
      <c r="GX1184" s="75"/>
      <c r="GY1184" s="75"/>
      <c r="GZ1184" s="75"/>
      <c r="HA1184" s="75"/>
      <c r="HB1184" s="75"/>
      <c r="HC1184" s="75"/>
      <c r="HD1184" s="75"/>
      <c r="HE1184" s="75"/>
      <c r="HF1184" s="75"/>
      <c r="HG1184" s="75"/>
      <c r="HH1184" s="75"/>
      <c r="HI1184" s="75"/>
      <c r="HJ1184" s="75"/>
      <c r="HK1184" s="75"/>
      <c r="HL1184" s="75"/>
      <c r="HM1184" s="75"/>
      <c r="HN1184" s="75"/>
      <c r="HO1184" s="75"/>
      <c r="HP1184" s="75"/>
      <c r="HQ1184" s="75"/>
      <c r="HR1184" s="75"/>
      <c r="HS1184" s="75"/>
      <c r="HT1184" s="75"/>
      <c r="HU1184" s="75"/>
      <c r="HV1184" s="75"/>
      <c r="HW1184" s="75"/>
      <c r="HX1184" s="75"/>
      <c r="HY1184" s="75"/>
      <c r="HZ1184" s="75"/>
      <c r="IA1184" s="75"/>
      <c r="IB1184" s="75"/>
      <c r="IC1184" s="75"/>
      <c r="ID1184" s="75"/>
      <c r="IE1184" s="75"/>
      <c r="IF1184" s="75"/>
      <c r="IG1184" s="75"/>
      <c r="IH1184" s="75"/>
      <c r="II1184" s="75"/>
      <c r="IJ1184" s="75"/>
      <c r="IK1184" s="75"/>
      <c r="IL1184" s="75"/>
      <c r="IM1184" s="75"/>
      <c r="IN1184" s="75"/>
      <c r="IO1184" s="75"/>
      <c r="IP1184" s="75"/>
      <c r="IQ1184" s="75"/>
      <c r="IR1184" s="75"/>
      <c r="IS1184" s="75"/>
      <c r="IT1184" s="75"/>
      <c r="IU1184" s="75"/>
      <c r="IV1184" s="75"/>
      <c r="IW1184" s="75"/>
      <c r="IX1184" s="75"/>
      <c r="IY1184" s="75"/>
      <c r="IZ1184" s="75"/>
      <c r="JA1184" s="75"/>
      <c r="JB1184" s="75"/>
      <c r="JC1184" s="75"/>
      <c r="JD1184" s="75"/>
      <c r="JE1184" s="75"/>
      <c r="JF1184" s="75"/>
      <c r="JG1184" s="75"/>
      <c r="JH1184" s="75"/>
      <c r="JI1184" s="75"/>
      <c r="JJ1184" s="75"/>
      <c r="JK1184" s="75"/>
      <c r="JL1184" s="75"/>
      <c r="JM1184" s="75"/>
      <c r="JN1184" s="75"/>
      <c r="JO1184" s="75"/>
      <c r="JP1184" s="75"/>
      <c r="JQ1184" s="75"/>
      <c r="JR1184" s="75"/>
      <c r="JS1184" s="75"/>
      <c r="JT1184" s="75"/>
      <c r="JU1184" s="75"/>
      <c r="JV1184" s="75"/>
      <c r="JW1184" s="75"/>
      <c r="JX1184" s="75"/>
      <c r="JY1184" s="75"/>
      <c r="JZ1184" s="75"/>
      <c r="KA1184" s="75"/>
      <c r="KB1184" s="75"/>
      <c r="KC1184" s="75"/>
      <c r="KD1184" s="75"/>
      <c r="KE1184" s="75"/>
      <c r="KF1184" s="75"/>
      <c r="KG1184" s="75"/>
      <c r="KH1184" s="75"/>
      <c r="KI1184" s="75"/>
      <c r="KJ1184" s="75"/>
      <c r="KK1184" s="75"/>
      <c r="KL1184" s="75"/>
      <c r="KM1184" s="75"/>
      <c r="KN1184" s="75"/>
      <c r="KO1184" s="75"/>
      <c r="KP1184" s="75"/>
      <c r="KQ1184" s="75"/>
      <c r="KR1184" s="75"/>
      <c r="KS1184" s="75"/>
      <c r="KT1184" s="75"/>
      <c r="KU1184" s="75"/>
      <c r="KV1184" s="75"/>
      <c r="KW1184" s="75"/>
      <c r="KX1184" s="75"/>
      <c r="KY1184" s="75"/>
      <c r="KZ1184" s="75"/>
      <c r="LA1184" s="75"/>
      <c r="LB1184" s="75"/>
      <c r="LC1184" s="75"/>
      <c r="LD1184" s="75"/>
      <c r="LE1184" s="75"/>
      <c r="LF1184" s="75"/>
      <c r="LG1184" s="75"/>
      <c r="LH1184" s="75"/>
      <c r="LI1184" s="75"/>
      <c r="LJ1184" s="75"/>
      <c r="LK1184" s="75"/>
      <c r="LL1184" s="75"/>
      <c r="LM1184" s="75"/>
      <c r="LN1184" s="75"/>
      <c r="LO1184" s="75"/>
      <c r="LP1184" s="75"/>
      <c r="LQ1184" s="75"/>
      <c r="LR1184" s="75"/>
      <c r="LS1184" s="75"/>
      <c r="LT1184" s="75"/>
      <c r="LU1184" s="75"/>
      <c r="LV1184" s="75"/>
      <c r="LW1184" s="75"/>
      <c r="LX1184" s="75"/>
      <c r="LY1184" s="75"/>
      <c r="LZ1184" s="75"/>
      <c r="MA1184" s="75"/>
      <c r="MB1184" s="75"/>
      <c r="MC1184" s="75"/>
      <c r="MD1184" s="75"/>
      <c r="ME1184" s="75"/>
      <c r="MF1184" s="75"/>
      <c r="MG1184" s="75"/>
      <c r="MH1184" s="75"/>
      <c r="MI1184" s="75"/>
      <c r="MJ1184" s="75"/>
      <c r="MK1184" s="75"/>
      <c r="ML1184" s="75"/>
      <c r="MM1184" s="75"/>
      <c r="MN1184" s="75"/>
      <c r="MO1184" s="75"/>
      <c r="MP1184" s="75"/>
      <c r="MQ1184" s="75"/>
      <c r="MR1184" s="75"/>
      <c r="MS1184" s="75"/>
      <c r="MT1184" s="75"/>
      <c r="MU1184" s="75"/>
      <c r="MV1184" s="75"/>
      <c r="MW1184" s="75"/>
      <c r="MX1184" s="75"/>
      <c r="MY1184" s="75"/>
      <c r="MZ1184" s="75"/>
      <c r="NA1184" s="75"/>
      <c r="NB1184" s="75"/>
      <c r="NC1184" s="75"/>
      <c r="ND1184" s="75"/>
      <c r="NE1184" s="75"/>
      <c r="NF1184" s="75"/>
      <c r="NG1184" s="75"/>
      <c r="NH1184" s="75"/>
      <c r="NI1184" s="75"/>
      <c r="NJ1184" s="75"/>
      <c r="NK1184" s="75"/>
      <c r="NL1184" s="75"/>
      <c r="NM1184" s="75"/>
      <c r="NN1184" s="75"/>
      <c r="NO1184" s="75"/>
      <c r="NP1184" s="75"/>
      <c r="NQ1184" s="75"/>
      <c r="NR1184" s="75"/>
      <c r="NS1184" s="75"/>
      <c r="NT1184" s="75"/>
      <c r="NU1184" s="75"/>
      <c r="NV1184" s="75"/>
      <c r="NW1184" s="75"/>
      <c r="NX1184" s="75"/>
      <c r="NY1184" s="75"/>
      <c r="NZ1184" s="75"/>
      <c r="OA1184" s="75"/>
      <c r="OB1184" s="75"/>
      <c r="OC1184" s="75"/>
      <c r="OD1184" s="75"/>
      <c r="OE1184" s="75"/>
      <c r="OF1184" s="75"/>
      <c r="OG1184" s="75"/>
      <c r="OH1184" s="75"/>
      <c r="OI1184" s="75"/>
      <c r="OJ1184" s="75"/>
      <c r="OK1184" s="75"/>
      <c r="OL1184" s="75"/>
      <c r="OM1184" s="75"/>
      <c r="ON1184" s="75"/>
      <c r="OO1184" s="75"/>
      <c r="OP1184" s="75"/>
      <c r="OQ1184" s="75"/>
      <c r="OR1184" s="75"/>
      <c r="OS1184" s="75"/>
      <c r="OT1184" s="75"/>
      <c r="OU1184" s="75"/>
      <c r="OV1184" s="75"/>
      <c r="OW1184" s="75"/>
      <c r="OX1184" s="75"/>
      <c r="OY1184" s="75"/>
      <c r="OZ1184" s="75"/>
      <c r="PA1184" s="75"/>
      <c r="PB1184" s="75"/>
      <c r="PC1184" s="75"/>
      <c r="PD1184" s="75"/>
      <c r="PE1184" s="75"/>
      <c r="PF1184" s="75"/>
      <c r="PG1184" s="75"/>
      <c r="PH1184" s="75"/>
      <c r="PI1184" s="75"/>
      <c r="PJ1184" s="75"/>
      <c r="PK1184" s="75"/>
      <c r="PL1184" s="75"/>
      <c r="PM1184" s="75"/>
      <c r="PN1184" s="75"/>
      <c r="PO1184" s="75"/>
      <c r="PP1184" s="75"/>
      <c r="PQ1184" s="75"/>
      <c r="PR1184" s="75"/>
      <c r="PS1184" s="75"/>
      <c r="PT1184" s="75"/>
      <c r="PU1184" s="75"/>
      <c r="PV1184" s="75"/>
      <c r="PW1184" s="75"/>
      <c r="PX1184" s="75"/>
      <c r="PY1184" s="75"/>
      <c r="PZ1184" s="75"/>
      <c r="QA1184" s="75"/>
      <c r="QB1184" s="75"/>
      <c r="QC1184" s="75"/>
      <c r="QD1184" s="75"/>
      <c r="QE1184" s="75"/>
      <c r="QF1184" s="75"/>
      <c r="QG1184" s="75"/>
      <c r="QH1184" s="75"/>
      <c r="QI1184" s="75"/>
      <c r="QJ1184" s="75"/>
      <c r="QK1184" s="75"/>
      <c r="QL1184" s="75"/>
      <c r="QM1184" s="75"/>
      <c r="QN1184" s="75"/>
      <c r="QO1184" s="75"/>
      <c r="QP1184" s="75"/>
      <c r="QQ1184" s="75"/>
      <c r="QR1184" s="75"/>
      <c r="QS1184" s="75"/>
      <c r="QT1184" s="75"/>
      <c r="QU1184" s="75"/>
      <c r="QV1184" s="75"/>
      <c r="QW1184" s="75"/>
      <c r="QX1184" s="75"/>
      <c r="QY1184" s="75"/>
      <c r="QZ1184" s="75"/>
      <c r="RA1184" s="75"/>
      <c r="RB1184" s="75"/>
      <c r="RC1184" s="75"/>
      <c r="RD1184" s="75"/>
      <c r="RE1184" s="75"/>
      <c r="RF1184" s="75"/>
      <c r="RG1184" s="75"/>
      <c r="RH1184" s="75"/>
      <c r="RI1184" s="75"/>
      <c r="RJ1184" s="75"/>
      <c r="RK1184" s="75"/>
      <c r="RL1184" s="75"/>
      <c r="RM1184" s="75"/>
      <c r="RN1184" s="75"/>
      <c r="RO1184" s="75"/>
      <c r="RP1184" s="75"/>
      <c r="RQ1184" s="75"/>
      <c r="RR1184" s="75"/>
      <c r="RS1184" s="75"/>
      <c r="RT1184" s="75"/>
      <c r="RU1184" s="75"/>
      <c r="RV1184" s="75"/>
      <c r="RW1184" s="75"/>
      <c r="RX1184" s="75"/>
      <c r="RY1184" s="75"/>
      <c r="RZ1184" s="75"/>
      <c r="SA1184" s="75"/>
      <c r="SB1184" s="75"/>
      <c r="SC1184" s="75"/>
      <c r="SD1184" s="75"/>
      <c r="SE1184" s="75"/>
      <c r="SF1184" s="75"/>
      <c r="SG1184" s="75"/>
      <c r="SH1184" s="75"/>
      <c r="SI1184" s="75"/>
      <c r="SJ1184" s="75"/>
      <c r="SK1184" s="75"/>
      <c r="SL1184" s="75"/>
      <c r="SM1184" s="75"/>
      <c r="SN1184" s="75"/>
      <c r="SO1184" s="75"/>
      <c r="SP1184" s="75"/>
      <c r="SQ1184" s="75"/>
      <c r="SR1184" s="75"/>
      <c r="SS1184" s="75"/>
      <c r="ST1184" s="75"/>
      <c r="SU1184" s="75"/>
      <c r="SV1184" s="75"/>
      <c r="SW1184" s="75"/>
      <c r="SX1184" s="75"/>
      <c r="SY1184" s="75"/>
      <c r="SZ1184" s="75"/>
      <c r="TA1184" s="75"/>
      <c r="TB1184" s="75"/>
      <c r="TC1184" s="75"/>
      <c r="TD1184" s="75"/>
      <c r="TE1184" s="75"/>
      <c r="TF1184" s="75"/>
      <c r="TG1184" s="75"/>
      <c r="TH1184" s="75"/>
      <c r="TI1184" s="75"/>
      <c r="TJ1184" s="75"/>
      <c r="TK1184" s="75"/>
      <c r="TL1184" s="75"/>
      <c r="TM1184" s="75"/>
      <c r="TN1184" s="75"/>
      <c r="TO1184" s="75"/>
      <c r="TP1184" s="75"/>
      <c r="TQ1184" s="75"/>
      <c r="TR1184" s="75"/>
      <c r="TS1184" s="75"/>
      <c r="TT1184" s="75"/>
      <c r="TU1184" s="75"/>
      <c r="TV1184" s="75"/>
      <c r="TW1184" s="75"/>
      <c r="TX1184" s="75"/>
      <c r="TY1184" s="75"/>
      <c r="TZ1184" s="75"/>
      <c r="UA1184" s="75"/>
      <c r="UB1184" s="75"/>
      <c r="UC1184" s="75"/>
      <c r="UD1184" s="75"/>
      <c r="UE1184" s="75"/>
      <c r="UF1184" s="75"/>
      <c r="UG1184" s="75"/>
      <c r="UH1184" s="75"/>
      <c r="UI1184" s="75"/>
      <c r="UJ1184" s="75"/>
      <c r="UK1184" s="75"/>
      <c r="UL1184" s="75"/>
      <c r="UM1184" s="75"/>
      <c r="UN1184" s="75"/>
      <c r="UO1184" s="75"/>
      <c r="UP1184" s="75"/>
      <c r="UQ1184" s="75"/>
      <c r="UR1184" s="75"/>
      <c r="US1184" s="75"/>
      <c r="UT1184" s="75"/>
      <c r="UU1184" s="75"/>
      <c r="UV1184" s="75"/>
      <c r="UW1184" s="75"/>
      <c r="UX1184" s="75"/>
      <c r="UY1184" s="75"/>
      <c r="UZ1184" s="75"/>
      <c r="VA1184" s="75"/>
      <c r="VB1184" s="75"/>
      <c r="VC1184" s="75"/>
      <c r="VD1184" s="75"/>
      <c r="VE1184" s="75"/>
      <c r="VF1184" s="75"/>
      <c r="VG1184" s="75"/>
      <c r="VH1184" s="75"/>
      <c r="VI1184" s="75"/>
      <c r="VJ1184" s="75"/>
      <c r="VK1184" s="75"/>
      <c r="VL1184" s="75"/>
      <c r="VM1184" s="75"/>
      <c r="VN1184" s="75"/>
      <c r="VO1184" s="75"/>
      <c r="VP1184" s="75"/>
      <c r="VQ1184" s="75"/>
      <c r="VR1184" s="75"/>
      <c r="VS1184" s="75"/>
      <c r="VT1184" s="75"/>
      <c r="VU1184" s="75"/>
      <c r="VV1184" s="75"/>
      <c r="VW1184" s="75"/>
      <c r="VX1184" s="75"/>
      <c r="VY1184" s="75"/>
      <c r="VZ1184" s="75"/>
      <c r="WA1184" s="75"/>
      <c r="WB1184" s="75"/>
      <c r="WC1184" s="75"/>
      <c r="WD1184" s="75"/>
      <c r="WE1184" s="75"/>
      <c r="WF1184" s="75"/>
      <c r="WG1184" s="75"/>
      <c r="WH1184" s="75"/>
      <c r="WI1184" s="75"/>
      <c r="WJ1184" s="75"/>
      <c r="WK1184" s="75"/>
      <c r="WL1184" s="75"/>
      <c r="WM1184" s="75"/>
      <c r="WN1184" s="75"/>
      <c r="WO1184" s="75"/>
      <c r="WP1184" s="75"/>
      <c r="WQ1184" s="75"/>
      <c r="WR1184" s="75"/>
      <c r="WS1184" s="75"/>
      <c r="WT1184" s="75"/>
      <c r="WU1184" s="75"/>
      <c r="WV1184" s="75"/>
      <c r="WW1184" s="75"/>
      <c r="WX1184" s="75"/>
      <c r="WY1184" s="75"/>
      <c r="WZ1184" s="75"/>
      <c r="XA1184" s="75"/>
      <c r="XB1184" s="75"/>
      <c r="XC1184" s="75"/>
      <c r="XD1184" s="75"/>
      <c r="XE1184" s="75"/>
      <c r="XF1184" s="75"/>
      <c r="XG1184" s="75"/>
      <c r="XH1184" s="75"/>
      <c r="XI1184" s="75"/>
      <c r="XJ1184" s="75"/>
      <c r="XK1184" s="75"/>
      <c r="XL1184" s="75"/>
      <c r="XM1184" s="75"/>
      <c r="XN1184" s="75"/>
      <c r="XO1184" s="75"/>
      <c r="XP1184" s="75"/>
      <c r="XQ1184" s="75"/>
      <c r="XR1184" s="75"/>
      <c r="XS1184" s="75"/>
      <c r="XT1184" s="75"/>
      <c r="XU1184" s="75"/>
      <c r="XV1184" s="75"/>
      <c r="XW1184" s="75"/>
      <c r="XX1184" s="75"/>
      <c r="XY1184" s="75"/>
      <c r="XZ1184" s="75"/>
      <c r="YA1184" s="75"/>
      <c r="YB1184" s="75"/>
      <c r="YC1184" s="75"/>
      <c r="YD1184" s="75"/>
      <c r="YE1184" s="75"/>
      <c r="YF1184" s="75"/>
      <c r="YG1184" s="75"/>
      <c r="YH1184" s="75"/>
      <c r="YI1184" s="75"/>
      <c r="YJ1184" s="75"/>
      <c r="YK1184" s="75"/>
      <c r="YL1184" s="75"/>
      <c r="YM1184" s="75"/>
      <c r="YN1184" s="75"/>
      <c r="YO1184" s="75"/>
      <c r="YP1184" s="75"/>
      <c r="YQ1184" s="75"/>
      <c r="YR1184" s="75"/>
      <c r="YS1184" s="75"/>
      <c r="YT1184" s="75"/>
      <c r="YU1184" s="75"/>
      <c r="YV1184" s="75"/>
      <c r="YW1184" s="75"/>
      <c r="YX1184" s="75"/>
      <c r="YY1184" s="75"/>
      <c r="YZ1184" s="75"/>
      <c r="ZA1184" s="75"/>
      <c r="ZB1184" s="75"/>
      <c r="ZC1184" s="75"/>
      <c r="ZD1184" s="75"/>
      <c r="ZE1184" s="75"/>
      <c r="ZF1184" s="75"/>
      <c r="ZG1184" s="75"/>
      <c r="ZH1184" s="75"/>
      <c r="ZI1184" s="75"/>
      <c r="ZJ1184" s="75"/>
      <c r="ZK1184" s="75"/>
      <c r="ZL1184" s="75"/>
      <c r="ZM1184" s="75"/>
      <c r="ZN1184" s="75"/>
      <c r="ZO1184" s="75"/>
      <c r="ZP1184" s="75"/>
      <c r="ZQ1184" s="75"/>
      <c r="ZR1184" s="75"/>
      <c r="ZS1184" s="75"/>
      <c r="ZT1184" s="75"/>
      <c r="ZU1184" s="75"/>
      <c r="ZV1184" s="75"/>
      <c r="ZW1184" s="75"/>
      <c r="ZX1184" s="75"/>
      <c r="ZY1184" s="75"/>
      <c r="ZZ1184" s="75"/>
      <c r="AAA1184" s="75"/>
      <c r="AAB1184" s="75"/>
      <c r="AAC1184" s="75"/>
      <c r="AAD1184" s="75"/>
      <c r="AAE1184" s="75"/>
      <c r="AAF1184" s="75"/>
      <c r="AAG1184" s="75"/>
      <c r="AAH1184" s="75"/>
      <c r="AAI1184" s="75"/>
      <c r="AAJ1184" s="75"/>
      <c r="AAK1184" s="75"/>
      <c r="AAL1184" s="75"/>
      <c r="AAM1184" s="75"/>
      <c r="AAN1184" s="75"/>
      <c r="AAO1184" s="75"/>
      <c r="AAP1184" s="75"/>
      <c r="AAQ1184" s="75"/>
      <c r="AAR1184" s="75"/>
      <c r="AAS1184" s="75"/>
      <c r="AAT1184" s="75"/>
      <c r="AAU1184" s="75"/>
      <c r="AAV1184" s="75"/>
      <c r="AAW1184" s="75"/>
      <c r="AAX1184" s="75"/>
      <c r="AAY1184" s="75"/>
      <c r="AAZ1184" s="75"/>
      <c r="ABA1184" s="75"/>
      <c r="ABB1184" s="75"/>
      <c r="ABC1184" s="75"/>
      <c r="ABD1184" s="75"/>
      <c r="ABE1184" s="75"/>
      <c r="ABF1184" s="75"/>
      <c r="ABG1184" s="75"/>
      <c r="ABH1184" s="75"/>
      <c r="ABI1184" s="75"/>
      <c r="ABJ1184" s="75"/>
      <c r="ABK1184" s="75"/>
      <c r="ABL1184" s="75"/>
      <c r="ABM1184" s="75"/>
      <c r="ABN1184" s="75"/>
      <c r="ABO1184" s="75"/>
      <c r="ABP1184" s="75"/>
      <c r="ABQ1184" s="75"/>
      <c r="ABR1184" s="75"/>
      <c r="ABS1184" s="75"/>
      <c r="ABT1184" s="75"/>
      <c r="ABU1184" s="75"/>
      <c r="ABV1184" s="75"/>
      <c r="ABW1184" s="75"/>
      <c r="ABX1184" s="75"/>
      <c r="ABY1184" s="75"/>
      <c r="ABZ1184" s="75"/>
      <c r="ACA1184" s="75"/>
      <c r="ACB1184" s="75"/>
      <c r="ACC1184" s="75"/>
      <c r="ACD1184" s="75"/>
      <c r="ACE1184" s="75"/>
      <c r="ACF1184" s="75"/>
      <c r="ACG1184" s="75"/>
      <c r="ACH1184" s="75"/>
      <c r="ACI1184" s="75"/>
      <c r="ACJ1184" s="75"/>
      <c r="ACK1184" s="75"/>
      <c r="ACL1184" s="75"/>
      <c r="ACM1184" s="75"/>
      <c r="ACN1184" s="75"/>
      <c r="ACO1184" s="75"/>
      <c r="ACP1184" s="75"/>
      <c r="ACQ1184" s="75"/>
      <c r="ACR1184" s="75"/>
      <c r="ACS1184" s="75"/>
      <c r="ACT1184" s="75"/>
      <c r="ACU1184" s="75"/>
      <c r="ACV1184" s="75"/>
      <c r="ACW1184" s="75"/>
      <c r="ACX1184" s="75"/>
      <c r="ACY1184" s="75"/>
      <c r="ACZ1184" s="75"/>
      <c r="ADA1184" s="75"/>
      <c r="ADB1184" s="75"/>
      <c r="ADC1184" s="75"/>
      <c r="ADD1184" s="75"/>
      <c r="ADE1184" s="75"/>
      <c r="ADF1184" s="75"/>
      <c r="ADG1184" s="75"/>
      <c r="ADH1184" s="75"/>
      <c r="ADI1184" s="75"/>
      <c r="ADJ1184" s="75"/>
      <c r="ADK1184" s="75"/>
      <c r="ADL1184" s="75"/>
      <c r="ADM1184" s="75"/>
      <c r="ADN1184" s="75"/>
      <c r="ADO1184" s="75"/>
      <c r="ADP1184" s="75"/>
      <c r="ADQ1184" s="75"/>
      <c r="ADR1184" s="75"/>
      <c r="ADS1184" s="75"/>
      <c r="ADT1184" s="75"/>
      <c r="ADU1184" s="75"/>
      <c r="ADV1184" s="75"/>
      <c r="ADW1184" s="75"/>
      <c r="ADX1184" s="75"/>
      <c r="ADY1184" s="75"/>
      <c r="ADZ1184" s="75"/>
      <c r="AEA1184" s="75"/>
      <c r="AEB1184" s="75"/>
      <c r="AEC1184" s="75"/>
      <c r="AED1184" s="75"/>
      <c r="AEE1184" s="75"/>
      <c r="AEF1184" s="75"/>
      <c r="AEG1184" s="75"/>
      <c r="AEH1184" s="75"/>
      <c r="AEI1184" s="75"/>
      <c r="AEJ1184" s="75"/>
      <c r="AEK1184" s="75"/>
      <c r="AEL1184" s="75"/>
      <c r="AEM1184" s="75"/>
      <c r="AEN1184" s="75"/>
      <c r="AEO1184" s="75"/>
      <c r="AEP1184" s="75"/>
      <c r="AEQ1184" s="75"/>
      <c r="AER1184" s="75"/>
      <c r="AES1184" s="75"/>
      <c r="AET1184" s="75"/>
      <c r="AEU1184" s="75"/>
      <c r="AEV1184" s="75"/>
      <c r="AEW1184" s="75"/>
      <c r="AEX1184" s="75"/>
      <c r="AEY1184" s="75"/>
      <c r="AEZ1184" s="75"/>
      <c r="AFA1184" s="75"/>
      <c r="AFB1184" s="75"/>
      <c r="AFC1184" s="75"/>
      <c r="AFD1184" s="75"/>
      <c r="AFE1184" s="75"/>
      <c r="AFF1184" s="75"/>
      <c r="AFG1184" s="75"/>
      <c r="AFH1184" s="75"/>
      <c r="AFI1184" s="75"/>
      <c r="AFJ1184" s="75"/>
      <c r="AFK1184" s="75"/>
      <c r="AFL1184" s="75"/>
      <c r="AFM1184" s="75"/>
      <c r="AFN1184" s="75"/>
      <c r="AFO1184" s="75"/>
      <c r="AFP1184" s="75"/>
      <c r="AFQ1184" s="75"/>
      <c r="AFR1184" s="75"/>
      <c r="AFS1184" s="75"/>
      <c r="AFT1184" s="75"/>
      <c r="AFU1184" s="75"/>
      <c r="AFV1184" s="75"/>
      <c r="AFW1184" s="75"/>
      <c r="AFX1184" s="75"/>
      <c r="AFY1184" s="75"/>
      <c r="AFZ1184" s="75"/>
      <c r="AGA1184" s="75"/>
      <c r="AGB1184" s="75"/>
      <c r="AGC1184" s="75"/>
      <c r="AGD1184" s="75"/>
      <c r="AGE1184" s="75"/>
      <c r="AGF1184" s="75"/>
      <c r="AGG1184" s="75"/>
      <c r="AGH1184" s="75"/>
      <c r="AGI1184" s="75"/>
      <c r="AGJ1184" s="75"/>
      <c r="AGK1184" s="75"/>
      <c r="AGL1184" s="75"/>
      <c r="AGM1184" s="75"/>
      <c r="AGN1184" s="75"/>
      <c r="AGO1184" s="75"/>
      <c r="AGP1184" s="75"/>
      <c r="AGQ1184" s="75"/>
      <c r="AGR1184" s="75"/>
      <c r="AGS1184" s="75"/>
      <c r="AGT1184" s="75"/>
      <c r="AGU1184" s="75"/>
      <c r="AGV1184" s="75"/>
      <c r="AGW1184" s="75"/>
      <c r="AGX1184" s="75"/>
      <c r="AGY1184" s="75"/>
      <c r="AGZ1184" s="75"/>
      <c r="AHA1184" s="75"/>
      <c r="AHB1184" s="75"/>
      <c r="AHC1184" s="75"/>
      <c r="AHD1184" s="75"/>
      <c r="AHE1184" s="75"/>
      <c r="AHF1184" s="75"/>
      <c r="AHG1184" s="75"/>
      <c r="AHH1184" s="75"/>
      <c r="AHI1184" s="75"/>
      <c r="AHJ1184" s="75"/>
      <c r="AHK1184" s="75"/>
      <c r="AHL1184" s="75"/>
      <c r="AHM1184" s="75"/>
      <c r="AHN1184" s="75"/>
      <c r="AHO1184" s="75"/>
      <c r="AHP1184" s="75"/>
      <c r="AHQ1184" s="75"/>
      <c r="AHR1184" s="75"/>
      <c r="AHS1184" s="75"/>
      <c r="AHT1184" s="75"/>
      <c r="AHU1184" s="75"/>
      <c r="AHV1184" s="75"/>
      <c r="AHW1184" s="75"/>
      <c r="AHX1184" s="75"/>
      <c r="AHY1184" s="75"/>
      <c r="AHZ1184" s="75"/>
      <c r="AIA1184" s="75"/>
      <c r="AIB1184" s="75"/>
      <c r="AIC1184" s="75"/>
      <c r="AID1184" s="75"/>
      <c r="AIE1184" s="75"/>
      <c r="AIF1184" s="75"/>
      <c r="AIG1184" s="75"/>
      <c r="AIH1184" s="75"/>
      <c r="AII1184" s="75"/>
      <c r="AIJ1184" s="75"/>
      <c r="AIK1184" s="75"/>
      <c r="AIL1184" s="75"/>
      <c r="AIM1184" s="75"/>
      <c r="AIN1184" s="75"/>
      <c r="AIO1184" s="75"/>
      <c r="AIP1184" s="75"/>
      <c r="AIQ1184" s="75"/>
      <c r="AIR1184" s="75"/>
      <c r="AIS1184" s="75"/>
      <c r="AIT1184" s="75"/>
      <c r="AIU1184" s="75"/>
      <c r="AIV1184" s="75"/>
      <c r="AIW1184" s="75"/>
      <c r="AIX1184" s="75"/>
      <c r="AIY1184" s="75"/>
      <c r="AIZ1184" s="75"/>
      <c r="AJA1184" s="75"/>
      <c r="AJB1184" s="75"/>
      <c r="AJC1184" s="75"/>
      <c r="AJD1184" s="75"/>
      <c r="AJE1184" s="75"/>
      <c r="AJF1184" s="75"/>
      <c r="AJG1184" s="75"/>
      <c r="AJH1184" s="75"/>
      <c r="AJI1184" s="75"/>
      <c r="AJJ1184" s="75"/>
      <c r="AJK1184" s="75"/>
      <c r="AJL1184" s="75"/>
      <c r="AJM1184" s="75"/>
      <c r="AJN1184" s="75"/>
      <c r="AJO1184" s="75"/>
      <c r="AJP1184" s="75"/>
      <c r="AJQ1184" s="75"/>
      <c r="AJR1184" s="75"/>
      <c r="AJS1184" s="75"/>
      <c r="AJT1184" s="75"/>
      <c r="AJU1184" s="75"/>
      <c r="AJV1184" s="75"/>
      <c r="AJW1184" s="75"/>
      <c r="AJX1184" s="75"/>
      <c r="AJY1184" s="75"/>
      <c r="AJZ1184" s="75"/>
      <c r="AKA1184" s="75"/>
      <c r="AKB1184" s="75"/>
      <c r="AKC1184" s="75"/>
      <c r="AKD1184" s="75"/>
      <c r="AKE1184" s="75"/>
      <c r="AKF1184" s="75"/>
      <c r="AKG1184" s="75"/>
      <c r="AKH1184" s="75"/>
      <c r="AKI1184" s="75"/>
      <c r="AKJ1184" s="75"/>
      <c r="AKK1184" s="75"/>
      <c r="AKL1184" s="75"/>
      <c r="AKM1184" s="75"/>
      <c r="AKN1184" s="75"/>
      <c r="AKO1184" s="75"/>
      <c r="AKP1184" s="75"/>
      <c r="AKQ1184" s="75"/>
      <c r="AKR1184" s="75"/>
      <c r="AKS1184" s="75"/>
      <c r="AKT1184" s="75"/>
      <c r="AKU1184" s="75"/>
      <c r="AKV1184" s="75"/>
      <c r="AKW1184" s="75"/>
      <c r="AKX1184" s="75"/>
      <c r="AKY1184" s="75"/>
      <c r="AKZ1184" s="75"/>
      <c r="ALA1184" s="75"/>
      <c r="ALB1184" s="75"/>
      <c r="ALC1184" s="75"/>
      <c r="ALD1184" s="75"/>
      <c r="ALE1184" s="75"/>
      <c r="ALF1184" s="75"/>
      <c r="ALG1184" s="75"/>
      <c r="ALH1184" s="75"/>
      <c r="ALI1184" s="75"/>
      <c r="ALJ1184" s="75"/>
      <c r="ALK1184" s="75"/>
      <c r="ALL1184" s="75"/>
      <c r="ALM1184" s="75"/>
      <c r="ALN1184" s="75"/>
      <c r="ALO1184" s="75"/>
    </row>
    <row r="1185" spans="1:1003" s="238" customFormat="1" ht="14.55" customHeight="1" outlineLevel="1" x14ac:dyDescent="0.25">
      <c r="A1185" s="230" t="s">
        <v>1422</v>
      </c>
      <c r="B1185" s="343" t="str">
        <f>"28.0699"</f>
        <v>28.0699</v>
      </c>
      <c r="C1185" s="75" t="s">
        <v>3483</v>
      </c>
      <c r="D1185" s="127" t="s">
        <v>3484</v>
      </c>
      <c r="E1185" s="232"/>
      <c r="F1185" s="75"/>
      <c r="G1185" s="75"/>
      <c r="H1185" s="75"/>
      <c r="I1185" s="75"/>
      <c r="J1185" s="75"/>
      <c r="K1185" s="75"/>
      <c r="L1185" s="75"/>
      <c r="M1185" s="75"/>
      <c r="N1185" s="75"/>
      <c r="O1185" s="75"/>
      <c r="P1185" s="75"/>
      <c r="Q1185" s="75"/>
      <c r="R1185" s="75"/>
      <c r="S1185" s="75"/>
      <c r="T1185" s="75"/>
      <c r="U1185" s="75"/>
      <c r="V1185" s="75"/>
      <c r="W1185" s="75"/>
      <c r="X1185" s="75"/>
      <c r="Y1185" s="75"/>
      <c r="Z1185" s="75"/>
      <c r="AA1185" s="75"/>
      <c r="AB1185" s="75"/>
      <c r="AC1185" s="75"/>
      <c r="AD1185" s="75"/>
      <c r="AE1185" s="75"/>
      <c r="AF1185" s="75"/>
      <c r="AG1185" s="75"/>
      <c r="AH1185" s="75"/>
      <c r="AI1185" s="75"/>
      <c r="AJ1185" s="75"/>
      <c r="AK1185" s="75"/>
      <c r="AL1185" s="75"/>
      <c r="AM1185" s="75"/>
      <c r="AN1185" s="75"/>
      <c r="AO1185" s="75"/>
      <c r="AP1185" s="75"/>
      <c r="AQ1185" s="75"/>
      <c r="AR1185" s="75"/>
      <c r="AS1185" s="75"/>
      <c r="AT1185" s="75"/>
      <c r="AU1185" s="75"/>
      <c r="AV1185" s="75"/>
      <c r="AW1185" s="75"/>
      <c r="AX1185" s="75"/>
      <c r="AY1185" s="75"/>
      <c r="AZ1185" s="75"/>
      <c r="BA1185" s="75"/>
      <c r="BB1185" s="75"/>
      <c r="BC1185" s="75"/>
      <c r="BD1185" s="75"/>
      <c r="BE1185" s="75"/>
      <c r="BF1185" s="75"/>
      <c r="BG1185" s="75"/>
      <c r="BH1185" s="75"/>
      <c r="BI1185" s="75"/>
      <c r="BJ1185" s="75"/>
      <c r="BK1185" s="75"/>
      <c r="BL1185" s="75"/>
      <c r="BM1185" s="75"/>
      <c r="BN1185" s="75"/>
      <c r="BO1185" s="75"/>
      <c r="BP1185" s="75"/>
      <c r="BQ1185" s="75"/>
      <c r="BR1185" s="75"/>
      <c r="BS1185" s="75"/>
      <c r="BT1185" s="75"/>
      <c r="BU1185" s="75"/>
      <c r="BV1185" s="75"/>
      <c r="BW1185" s="75"/>
      <c r="BX1185" s="75"/>
      <c r="BY1185" s="75"/>
      <c r="BZ1185" s="75"/>
      <c r="CA1185" s="75"/>
      <c r="CB1185" s="75"/>
      <c r="CC1185" s="75"/>
      <c r="CD1185" s="75"/>
      <c r="CE1185" s="75"/>
      <c r="CF1185" s="75"/>
      <c r="CG1185" s="75"/>
      <c r="CH1185" s="75"/>
      <c r="CI1185" s="75"/>
      <c r="CJ1185" s="75"/>
      <c r="CK1185" s="75"/>
      <c r="CL1185" s="75"/>
      <c r="CM1185" s="75"/>
      <c r="CN1185" s="75"/>
      <c r="CO1185" s="75"/>
      <c r="CP1185" s="75"/>
      <c r="CQ1185" s="75"/>
      <c r="CR1185" s="75"/>
      <c r="CS1185" s="75"/>
      <c r="CT1185" s="75"/>
      <c r="CU1185" s="75"/>
      <c r="CV1185" s="75"/>
      <c r="CW1185" s="75"/>
      <c r="CX1185" s="75"/>
      <c r="CY1185" s="75"/>
      <c r="CZ1185" s="75"/>
      <c r="DA1185" s="75"/>
      <c r="DB1185" s="75"/>
      <c r="DC1185" s="75"/>
      <c r="DD1185" s="75"/>
      <c r="DE1185" s="75"/>
      <c r="DF1185" s="75"/>
      <c r="DG1185" s="75"/>
      <c r="DH1185" s="75"/>
      <c r="DI1185" s="75"/>
      <c r="DJ1185" s="75"/>
      <c r="DK1185" s="75"/>
      <c r="DL1185" s="75"/>
      <c r="DM1185" s="75"/>
      <c r="DN1185" s="75"/>
      <c r="DO1185" s="75"/>
      <c r="DP1185" s="75"/>
      <c r="DQ1185" s="75"/>
      <c r="DR1185" s="75"/>
      <c r="DS1185" s="75"/>
      <c r="DT1185" s="75"/>
      <c r="DU1185" s="75"/>
      <c r="DV1185" s="75"/>
      <c r="DW1185" s="75"/>
      <c r="DX1185" s="75"/>
      <c r="DY1185" s="75"/>
      <c r="DZ1185" s="75"/>
      <c r="EA1185" s="75"/>
      <c r="EB1185" s="75"/>
      <c r="EC1185" s="75"/>
      <c r="ED1185" s="75"/>
      <c r="EE1185" s="75"/>
      <c r="EF1185" s="75"/>
      <c r="EG1185" s="75"/>
      <c r="EH1185" s="75"/>
      <c r="EI1185" s="75"/>
      <c r="EJ1185" s="75"/>
      <c r="EK1185" s="75"/>
      <c r="EL1185" s="75"/>
      <c r="EM1185" s="75"/>
      <c r="EN1185" s="75"/>
      <c r="EO1185" s="75"/>
      <c r="EP1185" s="75"/>
      <c r="EQ1185" s="75"/>
      <c r="ER1185" s="75"/>
      <c r="ES1185" s="75"/>
      <c r="ET1185" s="75"/>
      <c r="EU1185" s="75"/>
      <c r="EV1185" s="75"/>
      <c r="EW1185" s="75"/>
      <c r="EX1185" s="75"/>
      <c r="EY1185" s="75"/>
      <c r="EZ1185" s="75"/>
      <c r="FA1185" s="75"/>
      <c r="FB1185" s="75"/>
      <c r="FC1185" s="75"/>
      <c r="FD1185" s="75"/>
      <c r="FE1185" s="75"/>
      <c r="FF1185" s="75"/>
      <c r="FG1185" s="75"/>
      <c r="FH1185" s="75"/>
      <c r="FI1185" s="75"/>
      <c r="FJ1185" s="75"/>
      <c r="FK1185" s="75"/>
      <c r="FL1185" s="75"/>
      <c r="FM1185" s="75"/>
      <c r="FN1185" s="75"/>
      <c r="FO1185" s="75"/>
      <c r="FP1185" s="75"/>
      <c r="FQ1185" s="75"/>
      <c r="FR1185" s="75"/>
      <c r="FS1185" s="75"/>
      <c r="FT1185" s="75"/>
      <c r="FU1185" s="75"/>
      <c r="FV1185" s="75"/>
      <c r="FW1185" s="75"/>
      <c r="FX1185" s="75"/>
      <c r="FY1185" s="75"/>
      <c r="FZ1185" s="75"/>
      <c r="GA1185" s="75"/>
      <c r="GB1185" s="75"/>
      <c r="GC1185" s="75"/>
      <c r="GD1185" s="75"/>
      <c r="GE1185" s="75"/>
      <c r="GF1185" s="75"/>
      <c r="GG1185" s="75"/>
      <c r="GH1185" s="75"/>
      <c r="GI1185" s="75"/>
      <c r="GJ1185" s="75"/>
      <c r="GK1185" s="75"/>
      <c r="GL1185" s="75"/>
      <c r="GM1185" s="75"/>
      <c r="GN1185" s="75"/>
      <c r="GO1185" s="75"/>
      <c r="GP1185" s="75"/>
      <c r="GQ1185" s="75"/>
      <c r="GR1185" s="75"/>
      <c r="GS1185" s="75"/>
      <c r="GT1185" s="75"/>
      <c r="GU1185" s="75"/>
      <c r="GV1185" s="75"/>
      <c r="GW1185" s="75"/>
      <c r="GX1185" s="75"/>
      <c r="GY1185" s="75"/>
      <c r="GZ1185" s="75"/>
      <c r="HA1185" s="75"/>
      <c r="HB1185" s="75"/>
      <c r="HC1185" s="75"/>
      <c r="HD1185" s="75"/>
      <c r="HE1185" s="75"/>
      <c r="HF1185" s="75"/>
      <c r="HG1185" s="75"/>
      <c r="HH1185" s="75"/>
      <c r="HI1185" s="75"/>
      <c r="HJ1185" s="75"/>
      <c r="HK1185" s="75"/>
      <c r="HL1185" s="75"/>
      <c r="HM1185" s="75"/>
      <c r="HN1185" s="75"/>
      <c r="HO1185" s="75"/>
      <c r="HP1185" s="75"/>
      <c r="HQ1185" s="75"/>
      <c r="HR1185" s="75"/>
      <c r="HS1185" s="75"/>
      <c r="HT1185" s="75"/>
      <c r="HU1185" s="75"/>
      <c r="HV1185" s="75"/>
      <c r="HW1185" s="75"/>
      <c r="HX1185" s="75"/>
      <c r="HY1185" s="75"/>
      <c r="HZ1185" s="75"/>
      <c r="IA1185" s="75"/>
      <c r="IB1185" s="75"/>
      <c r="IC1185" s="75"/>
      <c r="ID1185" s="75"/>
      <c r="IE1185" s="75"/>
      <c r="IF1185" s="75"/>
      <c r="IG1185" s="75"/>
      <c r="IH1185" s="75"/>
      <c r="II1185" s="75"/>
      <c r="IJ1185" s="75"/>
      <c r="IK1185" s="75"/>
      <c r="IL1185" s="75"/>
      <c r="IM1185" s="75"/>
      <c r="IN1185" s="75"/>
      <c r="IO1185" s="75"/>
      <c r="IP1185" s="75"/>
      <c r="IQ1185" s="75"/>
      <c r="IR1185" s="75"/>
      <c r="IS1185" s="75"/>
      <c r="IT1185" s="75"/>
      <c r="IU1185" s="75"/>
      <c r="IV1185" s="75"/>
      <c r="IW1185" s="75"/>
      <c r="IX1185" s="75"/>
      <c r="IY1185" s="75"/>
      <c r="IZ1185" s="75"/>
      <c r="JA1185" s="75"/>
      <c r="JB1185" s="75"/>
      <c r="JC1185" s="75"/>
      <c r="JD1185" s="75"/>
      <c r="JE1185" s="75"/>
      <c r="JF1185" s="75"/>
      <c r="JG1185" s="75"/>
      <c r="JH1185" s="75"/>
      <c r="JI1185" s="75"/>
      <c r="JJ1185" s="75"/>
      <c r="JK1185" s="75"/>
      <c r="JL1185" s="75"/>
      <c r="JM1185" s="75"/>
      <c r="JN1185" s="75"/>
      <c r="JO1185" s="75"/>
      <c r="JP1185" s="75"/>
      <c r="JQ1185" s="75"/>
      <c r="JR1185" s="75"/>
      <c r="JS1185" s="75"/>
      <c r="JT1185" s="75"/>
      <c r="JU1185" s="75"/>
      <c r="JV1185" s="75"/>
      <c r="JW1185" s="75"/>
      <c r="JX1185" s="75"/>
      <c r="JY1185" s="75"/>
      <c r="JZ1185" s="75"/>
      <c r="KA1185" s="75"/>
      <c r="KB1185" s="75"/>
      <c r="KC1185" s="75"/>
      <c r="KD1185" s="75"/>
      <c r="KE1185" s="75"/>
      <c r="KF1185" s="75"/>
      <c r="KG1185" s="75"/>
      <c r="KH1185" s="75"/>
      <c r="KI1185" s="75"/>
      <c r="KJ1185" s="75"/>
      <c r="KK1185" s="75"/>
      <c r="KL1185" s="75"/>
      <c r="KM1185" s="75"/>
      <c r="KN1185" s="75"/>
      <c r="KO1185" s="75"/>
      <c r="KP1185" s="75"/>
      <c r="KQ1185" s="75"/>
      <c r="KR1185" s="75"/>
      <c r="KS1185" s="75"/>
      <c r="KT1185" s="75"/>
      <c r="KU1185" s="75"/>
      <c r="KV1185" s="75"/>
      <c r="KW1185" s="75"/>
      <c r="KX1185" s="75"/>
      <c r="KY1185" s="75"/>
      <c r="KZ1185" s="75"/>
      <c r="LA1185" s="75"/>
      <c r="LB1185" s="75"/>
      <c r="LC1185" s="75"/>
      <c r="LD1185" s="75"/>
      <c r="LE1185" s="75"/>
      <c r="LF1185" s="75"/>
      <c r="LG1185" s="75"/>
      <c r="LH1185" s="75"/>
      <c r="LI1185" s="75"/>
      <c r="LJ1185" s="75"/>
      <c r="LK1185" s="75"/>
      <c r="LL1185" s="75"/>
      <c r="LM1185" s="75"/>
      <c r="LN1185" s="75"/>
      <c r="LO1185" s="75"/>
      <c r="LP1185" s="75"/>
      <c r="LQ1185" s="75"/>
      <c r="LR1185" s="75"/>
      <c r="LS1185" s="75"/>
      <c r="LT1185" s="75"/>
      <c r="LU1185" s="75"/>
      <c r="LV1185" s="75"/>
      <c r="LW1185" s="75"/>
      <c r="LX1185" s="75"/>
      <c r="LY1185" s="75"/>
      <c r="LZ1185" s="75"/>
      <c r="MA1185" s="75"/>
      <c r="MB1185" s="75"/>
      <c r="MC1185" s="75"/>
      <c r="MD1185" s="75"/>
      <c r="ME1185" s="75"/>
      <c r="MF1185" s="75"/>
      <c r="MG1185" s="75"/>
      <c r="MH1185" s="75"/>
      <c r="MI1185" s="75"/>
      <c r="MJ1185" s="75"/>
      <c r="MK1185" s="75"/>
      <c r="ML1185" s="75"/>
      <c r="MM1185" s="75"/>
      <c r="MN1185" s="75"/>
      <c r="MO1185" s="75"/>
      <c r="MP1185" s="75"/>
      <c r="MQ1185" s="75"/>
      <c r="MR1185" s="75"/>
      <c r="MS1185" s="75"/>
      <c r="MT1185" s="75"/>
      <c r="MU1185" s="75"/>
      <c r="MV1185" s="75"/>
      <c r="MW1185" s="75"/>
      <c r="MX1185" s="75"/>
      <c r="MY1185" s="75"/>
      <c r="MZ1185" s="75"/>
      <c r="NA1185" s="75"/>
      <c r="NB1185" s="75"/>
      <c r="NC1185" s="75"/>
      <c r="ND1185" s="75"/>
      <c r="NE1185" s="75"/>
      <c r="NF1185" s="75"/>
      <c r="NG1185" s="75"/>
      <c r="NH1185" s="75"/>
      <c r="NI1185" s="75"/>
      <c r="NJ1185" s="75"/>
      <c r="NK1185" s="75"/>
      <c r="NL1185" s="75"/>
      <c r="NM1185" s="75"/>
      <c r="NN1185" s="75"/>
      <c r="NO1185" s="75"/>
      <c r="NP1185" s="75"/>
      <c r="NQ1185" s="75"/>
      <c r="NR1185" s="75"/>
      <c r="NS1185" s="75"/>
      <c r="NT1185" s="75"/>
      <c r="NU1185" s="75"/>
      <c r="NV1185" s="75"/>
      <c r="NW1185" s="75"/>
      <c r="NX1185" s="75"/>
      <c r="NY1185" s="75"/>
      <c r="NZ1185" s="75"/>
      <c r="OA1185" s="75"/>
      <c r="OB1185" s="75"/>
      <c r="OC1185" s="75"/>
      <c r="OD1185" s="75"/>
      <c r="OE1185" s="75"/>
      <c r="OF1185" s="75"/>
      <c r="OG1185" s="75"/>
      <c r="OH1185" s="75"/>
      <c r="OI1185" s="75"/>
      <c r="OJ1185" s="75"/>
      <c r="OK1185" s="75"/>
      <c r="OL1185" s="75"/>
      <c r="OM1185" s="75"/>
      <c r="ON1185" s="75"/>
      <c r="OO1185" s="75"/>
      <c r="OP1185" s="75"/>
      <c r="OQ1185" s="75"/>
      <c r="OR1185" s="75"/>
      <c r="OS1185" s="75"/>
      <c r="OT1185" s="75"/>
      <c r="OU1185" s="75"/>
      <c r="OV1185" s="75"/>
      <c r="OW1185" s="75"/>
      <c r="OX1185" s="75"/>
      <c r="OY1185" s="75"/>
      <c r="OZ1185" s="75"/>
      <c r="PA1185" s="75"/>
      <c r="PB1185" s="75"/>
      <c r="PC1185" s="75"/>
      <c r="PD1185" s="75"/>
      <c r="PE1185" s="75"/>
      <c r="PF1185" s="75"/>
      <c r="PG1185" s="75"/>
      <c r="PH1185" s="75"/>
      <c r="PI1185" s="75"/>
      <c r="PJ1185" s="75"/>
      <c r="PK1185" s="75"/>
      <c r="PL1185" s="75"/>
      <c r="PM1185" s="75"/>
      <c r="PN1185" s="75"/>
      <c r="PO1185" s="75"/>
      <c r="PP1185" s="75"/>
      <c r="PQ1185" s="75"/>
      <c r="PR1185" s="75"/>
      <c r="PS1185" s="75"/>
      <c r="PT1185" s="75"/>
      <c r="PU1185" s="75"/>
      <c r="PV1185" s="75"/>
      <c r="PW1185" s="75"/>
      <c r="PX1185" s="75"/>
      <c r="PY1185" s="75"/>
      <c r="PZ1185" s="75"/>
      <c r="QA1185" s="75"/>
      <c r="QB1185" s="75"/>
      <c r="QC1185" s="75"/>
      <c r="QD1185" s="75"/>
      <c r="QE1185" s="75"/>
      <c r="QF1185" s="75"/>
      <c r="QG1185" s="75"/>
      <c r="QH1185" s="75"/>
      <c r="QI1185" s="75"/>
      <c r="QJ1185" s="75"/>
      <c r="QK1185" s="75"/>
      <c r="QL1185" s="75"/>
      <c r="QM1185" s="75"/>
      <c r="QN1185" s="75"/>
      <c r="QO1185" s="75"/>
      <c r="QP1185" s="75"/>
      <c r="QQ1185" s="75"/>
      <c r="QR1185" s="75"/>
      <c r="QS1185" s="75"/>
      <c r="QT1185" s="75"/>
      <c r="QU1185" s="75"/>
      <c r="QV1185" s="75"/>
      <c r="QW1185" s="75"/>
      <c r="QX1185" s="75"/>
      <c r="QY1185" s="75"/>
      <c r="QZ1185" s="75"/>
      <c r="RA1185" s="75"/>
      <c r="RB1185" s="75"/>
      <c r="RC1185" s="75"/>
      <c r="RD1185" s="75"/>
      <c r="RE1185" s="75"/>
      <c r="RF1185" s="75"/>
      <c r="RG1185" s="75"/>
      <c r="RH1185" s="75"/>
      <c r="RI1185" s="75"/>
      <c r="RJ1185" s="75"/>
      <c r="RK1185" s="75"/>
      <c r="RL1185" s="75"/>
      <c r="RM1185" s="75"/>
      <c r="RN1185" s="75"/>
      <c r="RO1185" s="75"/>
      <c r="RP1185" s="75"/>
      <c r="RQ1185" s="75"/>
      <c r="RR1185" s="75"/>
      <c r="RS1185" s="75"/>
      <c r="RT1185" s="75"/>
      <c r="RU1185" s="75"/>
      <c r="RV1185" s="75"/>
      <c r="RW1185" s="75"/>
      <c r="RX1185" s="75"/>
      <c r="RY1185" s="75"/>
      <c r="RZ1185" s="75"/>
      <c r="SA1185" s="75"/>
      <c r="SB1185" s="75"/>
      <c r="SC1185" s="75"/>
      <c r="SD1185" s="75"/>
      <c r="SE1185" s="75"/>
      <c r="SF1185" s="75"/>
      <c r="SG1185" s="75"/>
      <c r="SH1185" s="75"/>
      <c r="SI1185" s="75"/>
      <c r="SJ1185" s="75"/>
      <c r="SK1185" s="75"/>
      <c r="SL1185" s="75"/>
      <c r="SM1185" s="75"/>
      <c r="SN1185" s="75"/>
      <c r="SO1185" s="75"/>
      <c r="SP1185" s="75"/>
      <c r="SQ1185" s="75"/>
      <c r="SR1185" s="75"/>
      <c r="SS1185" s="75"/>
      <c r="ST1185" s="75"/>
      <c r="SU1185" s="75"/>
      <c r="SV1185" s="75"/>
      <c r="SW1185" s="75"/>
      <c r="SX1185" s="75"/>
      <c r="SY1185" s="75"/>
      <c r="SZ1185" s="75"/>
      <c r="TA1185" s="75"/>
      <c r="TB1185" s="75"/>
      <c r="TC1185" s="75"/>
      <c r="TD1185" s="75"/>
      <c r="TE1185" s="75"/>
      <c r="TF1185" s="75"/>
      <c r="TG1185" s="75"/>
      <c r="TH1185" s="75"/>
      <c r="TI1185" s="75"/>
      <c r="TJ1185" s="75"/>
      <c r="TK1185" s="75"/>
      <c r="TL1185" s="75"/>
      <c r="TM1185" s="75"/>
      <c r="TN1185" s="75"/>
      <c r="TO1185" s="75"/>
      <c r="TP1185" s="75"/>
      <c r="TQ1185" s="75"/>
      <c r="TR1185" s="75"/>
      <c r="TS1185" s="75"/>
      <c r="TT1185" s="75"/>
      <c r="TU1185" s="75"/>
      <c r="TV1185" s="75"/>
      <c r="TW1185" s="75"/>
      <c r="TX1185" s="75"/>
      <c r="TY1185" s="75"/>
      <c r="TZ1185" s="75"/>
      <c r="UA1185" s="75"/>
      <c r="UB1185" s="75"/>
      <c r="UC1185" s="75"/>
      <c r="UD1185" s="75"/>
      <c r="UE1185" s="75"/>
      <c r="UF1185" s="75"/>
      <c r="UG1185" s="75"/>
      <c r="UH1185" s="75"/>
      <c r="UI1185" s="75"/>
      <c r="UJ1185" s="75"/>
      <c r="UK1185" s="75"/>
      <c r="UL1185" s="75"/>
      <c r="UM1185" s="75"/>
      <c r="UN1185" s="75"/>
      <c r="UO1185" s="75"/>
      <c r="UP1185" s="75"/>
      <c r="UQ1185" s="75"/>
      <c r="UR1185" s="75"/>
      <c r="US1185" s="75"/>
      <c r="UT1185" s="75"/>
      <c r="UU1185" s="75"/>
      <c r="UV1185" s="75"/>
      <c r="UW1185" s="75"/>
      <c r="UX1185" s="75"/>
      <c r="UY1185" s="75"/>
      <c r="UZ1185" s="75"/>
      <c r="VA1185" s="75"/>
      <c r="VB1185" s="75"/>
      <c r="VC1185" s="75"/>
      <c r="VD1185" s="75"/>
      <c r="VE1185" s="75"/>
      <c r="VF1185" s="75"/>
      <c r="VG1185" s="75"/>
      <c r="VH1185" s="75"/>
      <c r="VI1185" s="75"/>
      <c r="VJ1185" s="75"/>
      <c r="VK1185" s="75"/>
      <c r="VL1185" s="75"/>
      <c r="VM1185" s="75"/>
      <c r="VN1185" s="75"/>
      <c r="VO1185" s="75"/>
      <c r="VP1185" s="75"/>
      <c r="VQ1185" s="75"/>
      <c r="VR1185" s="75"/>
      <c r="VS1185" s="75"/>
      <c r="VT1185" s="75"/>
      <c r="VU1185" s="75"/>
      <c r="VV1185" s="75"/>
      <c r="VW1185" s="75"/>
      <c r="VX1185" s="75"/>
      <c r="VY1185" s="75"/>
      <c r="VZ1185" s="75"/>
      <c r="WA1185" s="75"/>
      <c r="WB1185" s="75"/>
      <c r="WC1185" s="75"/>
      <c r="WD1185" s="75"/>
      <c r="WE1185" s="75"/>
      <c r="WF1185" s="75"/>
      <c r="WG1185" s="75"/>
      <c r="WH1185" s="75"/>
      <c r="WI1185" s="75"/>
      <c r="WJ1185" s="75"/>
      <c r="WK1185" s="75"/>
      <c r="WL1185" s="75"/>
      <c r="WM1185" s="75"/>
      <c r="WN1185" s="75"/>
      <c r="WO1185" s="75"/>
      <c r="WP1185" s="75"/>
      <c r="WQ1185" s="75"/>
      <c r="WR1185" s="75"/>
      <c r="WS1185" s="75"/>
      <c r="WT1185" s="75"/>
      <c r="WU1185" s="75"/>
      <c r="WV1185" s="75"/>
      <c r="WW1185" s="75"/>
      <c r="WX1185" s="75"/>
      <c r="WY1185" s="75"/>
      <c r="WZ1185" s="75"/>
      <c r="XA1185" s="75"/>
      <c r="XB1185" s="75"/>
      <c r="XC1185" s="75"/>
      <c r="XD1185" s="75"/>
      <c r="XE1185" s="75"/>
      <c r="XF1185" s="75"/>
      <c r="XG1185" s="75"/>
      <c r="XH1185" s="75"/>
      <c r="XI1185" s="75"/>
      <c r="XJ1185" s="75"/>
      <c r="XK1185" s="75"/>
      <c r="XL1185" s="75"/>
      <c r="XM1185" s="75"/>
      <c r="XN1185" s="75"/>
      <c r="XO1185" s="75"/>
      <c r="XP1185" s="75"/>
      <c r="XQ1185" s="75"/>
      <c r="XR1185" s="75"/>
      <c r="XS1185" s="75"/>
      <c r="XT1185" s="75"/>
      <c r="XU1185" s="75"/>
      <c r="XV1185" s="75"/>
      <c r="XW1185" s="75"/>
      <c r="XX1185" s="75"/>
      <c r="XY1185" s="75"/>
      <c r="XZ1185" s="75"/>
      <c r="YA1185" s="75"/>
      <c r="YB1185" s="75"/>
      <c r="YC1185" s="75"/>
      <c r="YD1185" s="75"/>
      <c r="YE1185" s="75"/>
      <c r="YF1185" s="75"/>
      <c r="YG1185" s="75"/>
      <c r="YH1185" s="75"/>
      <c r="YI1185" s="75"/>
      <c r="YJ1185" s="75"/>
      <c r="YK1185" s="75"/>
      <c r="YL1185" s="75"/>
      <c r="YM1185" s="75"/>
      <c r="YN1185" s="75"/>
      <c r="YO1185" s="75"/>
      <c r="YP1185" s="75"/>
      <c r="YQ1185" s="75"/>
      <c r="YR1185" s="75"/>
      <c r="YS1185" s="75"/>
      <c r="YT1185" s="75"/>
      <c r="YU1185" s="75"/>
      <c r="YV1185" s="75"/>
      <c r="YW1185" s="75"/>
      <c r="YX1185" s="75"/>
      <c r="YY1185" s="75"/>
      <c r="YZ1185" s="75"/>
      <c r="ZA1185" s="75"/>
      <c r="ZB1185" s="75"/>
      <c r="ZC1185" s="75"/>
      <c r="ZD1185" s="75"/>
      <c r="ZE1185" s="75"/>
      <c r="ZF1185" s="75"/>
      <c r="ZG1185" s="75"/>
      <c r="ZH1185" s="75"/>
      <c r="ZI1185" s="75"/>
      <c r="ZJ1185" s="75"/>
      <c r="ZK1185" s="75"/>
      <c r="ZL1185" s="75"/>
      <c r="ZM1185" s="75"/>
      <c r="ZN1185" s="75"/>
      <c r="ZO1185" s="75"/>
      <c r="ZP1185" s="75"/>
      <c r="ZQ1185" s="75"/>
      <c r="ZR1185" s="75"/>
      <c r="ZS1185" s="75"/>
      <c r="ZT1185" s="75"/>
      <c r="ZU1185" s="75"/>
      <c r="ZV1185" s="75"/>
      <c r="ZW1185" s="75"/>
      <c r="ZX1185" s="75"/>
      <c r="ZY1185" s="75"/>
      <c r="ZZ1185" s="75"/>
      <c r="AAA1185" s="75"/>
      <c r="AAB1185" s="75"/>
      <c r="AAC1185" s="75"/>
      <c r="AAD1185" s="75"/>
      <c r="AAE1185" s="75"/>
      <c r="AAF1185" s="75"/>
      <c r="AAG1185" s="75"/>
      <c r="AAH1185" s="75"/>
      <c r="AAI1185" s="75"/>
      <c r="AAJ1185" s="75"/>
      <c r="AAK1185" s="75"/>
      <c r="AAL1185" s="75"/>
      <c r="AAM1185" s="75"/>
      <c r="AAN1185" s="75"/>
      <c r="AAO1185" s="75"/>
      <c r="AAP1185" s="75"/>
      <c r="AAQ1185" s="75"/>
      <c r="AAR1185" s="75"/>
      <c r="AAS1185" s="75"/>
      <c r="AAT1185" s="75"/>
      <c r="AAU1185" s="75"/>
      <c r="AAV1185" s="75"/>
      <c r="AAW1185" s="75"/>
      <c r="AAX1185" s="75"/>
      <c r="AAY1185" s="75"/>
      <c r="AAZ1185" s="75"/>
      <c r="ABA1185" s="75"/>
      <c r="ABB1185" s="75"/>
      <c r="ABC1185" s="75"/>
      <c r="ABD1185" s="75"/>
      <c r="ABE1185" s="75"/>
      <c r="ABF1185" s="75"/>
      <c r="ABG1185" s="75"/>
      <c r="ABH1185" s="75"/>
      <c r="ABI1185" s="75"/>
      <c r="ABJ1185" s="75"/>
      <c r="ABK1185" s="75"/>
      <c r="ABL1185" s="75"/>
      <c r="ABM1185" s="75"/>
      <c r="ABN1185" s="75"/>
      <c r="ABO1185" s="75"/>
      <c r="ABP1185" s="75"/>
      <c r="ABQ1185" s="75"/>
      <c r="ABR1185" s="75"/>
      <c r="ABS1185" s="75"/>
      <c r="ABT1185" s="75"/>
      <c r="ABU1185" s="75"/>
      <c r="ABV1185" s="75"/>
      <c r="ABW1185" s="75"/>
      <c r="ABX1185" s="75"/>
      <c r="ABY1185" s="75"/>
      <c r="ABZ1185" s="75"/>
      <c r="ACA1185" s="75"/>
      <c r="ACB1185" s="75"/>
      <c r="ACC1185" s="75"/>
      <c r="ACD1185" s="75"/>
      <c r="ACE1185" s="75"/>
      <c r="ACF1185" s="75"/>
      <c r="ACG1185" s="75"/>
      <c r="ACH1185" s="75"/>
      <c r="ACI1185" s="75"/>
      <c r="ACJ1185" s="75"/>
      <c r="ACK1185" s="75"/>
      <c r="ACL1185" s="75"/>
      <c r="ACM1185" s="75"/>
      <c r="ACN1185" s="75"/>
      <c r="ACO1185" s="75"/>
      <c r="ACP1185" s="75"/>
      <c r="ACQ1185" s="75"/>
      <c r="ACR1185" s="75"/>
      <c r="ACS1185" s="75"/>
      <c r="ACT1185" s="75"/>
      <c r="ACU1185" s="75"/>
      <c r="ACV1185" s="75"/>
      <c r="ACW1185" s="75"/>
      <c r="ACX1185" s="75"/>
      <c r="ACY1185" s="75"/>
      <c r="ACZ1185" s="75"/>
      <c r="ADA1185" s="75"/>
      <c r="ADB1185" s="75"/>
      <c r="ADC1185" s="75"/>
      <c r="ADD1185" s="75"/>
      <c r="ADE1185" s="75"/>
      <c r="ADF1185" s="75"/>
      <c r="ADG1185" s="75"/>
      <c r="ADH1185" s="75"/>
      <c r="ADI1185" s="75"/>
      <c r="ADJ1185" s="75"/>
      <c r="ADK1185" s="75"/>
      <c r="ADL1185" s="75"/>
      <c r="ADM1185" s="75"/>
      <c r="ADN1185" s="75"/>
      <c r="ADO1185" s="75"/>
      <c r="ADP1185" s="75"/>
      <c r="ADQ1185" s="75"/>
      <c r="ADR1185" s="75"/>
      <c r="ADS1185" s="75"/>
      <c r="ADT1185" s="75"/>
      <c r="ADU1185" s="75"/>
      <c r="ADV1185" s="75"/>
      <c r="ADW1185" s="75"/>
      <c r="ADX1185" s="75"/>
      <c r="ADY1185" s="75"/>
      <c r="ADZ1185" s="75"/>
      <c r="AEA1185" s="75"/>
      <c r="AEB1185" s="75"/>
      <c r="AEC1185" s="75"/>
      <c r="AED1185" s="75"/>
      <c r="AEE1185" s="75"/>
      <c r="AEF1185" s="75"/>
      <c r="AEG1185" s="75"/>
      <c r="AEH1185" s="75"/>
      <c r="AEI1185" s="75"/>
      <c r="AEJ1185" s="75"/>
      <c r="AEK1185" s="75"/>
      <c r="AEL1185" s="75"/>
      <c r="AEM1185" s="75"/>
      <c r="AEN1185" s="75"/>
      <c r="AEO1185" s="75"/>
      <c r="AEP1185" s="75"/>
      <c r="AEQ1185" s="75"/>
      <c r="AER1185" s="75"/>
      <c r="AES1185" s="75"/>
      <c r="AET1185" s="75"/>
      <c r="AEU1185" s="75"/>
      <c r="AEV1185" s="75"/>
      <c r="AEW1185" s="75"/>
      <c r="AEX1185" s="75"/>
      <c r="AEY1185" s="75"/>
      <c r="AEZ1185" s="75"/>
      <c r="AFA1185" s="75"/>
      <c r="AFB1185" s="75"/>
      <c r="AFC1185" s="75"/>
      <c r="AFD1185" s="75"/>
      <c r="AFE1185" s="75"/>
      <c r="AFF1185" s="75"/>
      <c r="AFG1185" s="75"/>
      <c r="AFH1185" s="75"/>
      <c r="AFI1185" s="75"/>
      <c r="AFJ1185" s="75"/>
      <c r="AFK1185" s="75"/>
      <c r="AFL1185" s="75"/>
      <c r="AFM1185" s="75"/>
      <c r="AFN1185" s="75"/>
      <c r="AFO1185" s="75"/>
      <c r="AFP1185" s="75"/>
      <c r="AFQ1185" s="75"/>
      <c r="AFR1185" s="75"/>
      <c r="AFS1185" s="75"/>
      <c r="AFT1185" s="75"/>
      <c r="AFU1185" s="75"/>
      <c r="AFV1185" s="75"/>
      <c r="AFW1185" s="75"/>
      <c r="AFX1185" s="75"/>
      <c r="AFY1185" s="75"/>
      <c r="AFZ1185" s="75"/>
      <c r="AGA1185" s="75"/>
      <c r="AGB1185" s="75"/>
      <c r="AGC1185" s="75"/>
      <c r="AGD1185" s="75"/>
      <c r="AGE1185" s="75"/>
      <c r="AGF1185" s="75"/>
      <c r="AGG1185" s="75"/>
      <c r="AGH1185" s="75"/>
      <c r="AGI1185" s="75"/>
      <c r="AGJ1185" s="75"/>
      <c r="AGK1185" s="75"/>
      <c r="AGL1185" s="75"/>
      <c r="AGM1185" s="75"/>
      <c r="AGN1185" s="75"/>
      <c r="AGO1185" s="75"/>
      <c r="AGP1185" s="75"/>
      <c r="AGQ1185" s="75"/>
      <c r="AGR1185" s="75"/>
      <c r="AGS1185" s="75"/>
      <c r="AGT1185" s="75"/>
      <c r="AGU1185" s="75"/>
      <c r="AGV1185" s="75"/>
      <c r="AGW1185" s="75"/>
      <c r="AGX1185" s="75"/>
      <c r="AGY1185" s="75"/>
      <c r="AGZ1185" s="75"/>
      <c r="AHA1185" s="75"/>
      <c r="AHB1185" s="75"/>
      <c r="AHC1185" s="75"/>
      <c r="AHD1185" s="75"/>
      <c r="AHE1185" s="75"/>
      <c r="AHF1185" s="75"/>
      <c r="AHG1185" s="75"/>
      <c r="AHH1185" s="75"/>
      <c r="AHI1185" s="75"/>
      <c r="AHJ1185" s="75"/>
      <c r="AHK1185" s="75"/>
      <c r="AHL1185" s="75"/>
      <c r="AHM1185" s="75"/>
      <c r="AHN1185" s="75"/>
      <c r="AHO1185" s="75"/>
      <c r="AHP1185" s="75"/>
      <c r="AHQ1185" s="75"/>
      <c r="AHR1185" s="75"/>
      <c r="AHS1185" s="75"/>
      <c r="AHT1185" s="75"/>
      <c r="AHU1185" s="75"/>
      <c r="AHV1185" s="75"/>
      <c r="AHW1185" s="75"/>
      <c r="AHX1185" s="75"/>
      <c r="AHY1185" s="75"/>
      <c r="AHZ1185" s="75"/>
      <c r="AIA1185" s="75"/>
      <c r="AIB1185" s="75"/>
      <c r="AIC1185" s="75"/>
      <c r="AID1185" s="75"/>
      <c r="AIE1185" s="75"/>
      <c r="AIF1185" s="75"/>
      <c r="AIG1185" s="75"/>
      <c r="AIH1185" s="75"/>
      <c r="AII1185" s="75"/>
      <c r="AIJ1185" s="75"/>
      <c r="AIK1185" s="75"/>
      <c r="AIL1185" s="75"/>
      <c r="AIM1185" s="75"/>
      <c r="AIN1185" s="75"/>
      <c r="AIO1185" s="75"/>
      <c r="AIP1185" s="75"/>
      <c r="AIQ1185" s="75"/>
      <c r="AIR1185" s="75"/>
      <c r="AIS1185" s="75"/>
      <c r="AIT1185" s="75"/>
      <c r="AIU1185" s="75"/>
      <c r="AIV1185" s="75"/>
      <c r="AIW1185" s="75"/>
      <c r="AIX1185" s="75"/>
      <c r="AIY1185" s="75"/>
      <c r="AIZ1185" s="75"/>
      <c r="AJA1185" s="75"/>
      <c r="AJB1185" s="75"/>
      <c r="AJC1185" s="75"/>
      <c r="AJD1185" s="75"/>
      <c r="AJE1185" s="75"/>
      <c r="AJF1185" s="75"/>
      <c r="AJG1185" s="75"/>
      <c r="AJH1185" s="75"/>
      <c r="AJI1185" s="75"/>
      <c r="AJJ1185" s="75"/>
      <c r="AJK1185" s="75"/>
      <c r="AJL1185" s="75"/>
      <c r="AJM1185" s="75"/>
      <c r="AJN1185" s="75"/>
      <c r="AJO1185" s="75"/>
      <c r="AJP1185" s="75"/>
      <c r="AJQ1185" s="75"/>
      <c r="AJR1185" s="75"/>
      <c r="AJS1185" s="75"/>
      <c r="AJT1185" s="75"/>
      <c r="AJU1185" s="75"/>
      <c r="AJV1185" s="75"/>
      <c r="AJW1185" s="75"/>
      <c r="AJX1185" s="75"/>
      <c r="AJY1185" s="75"/>
      <c r="AJZ1185" s="75"/>
      <c r="AKA1185" s="75"/>
      <c r="AKB1185" s="75"/>
      <c r="AKC1185" s="75"/>
      <c r="AKD1185" s="75"/>
      <c r="AKE1185" s="75"/>
      <c r="AKF1185" s="75"/>
      <c r="AKG1185" s="75"/>
      <c r="AKH1185" s="75"/>
      <c r="AKI1185" s="75"/>
      <c r="AKJ1185" s="75"/>
      <c r="AKK1185" s="75"/>
      <c r="AKL1185" s="75"/>
      <c r="AKM1185" s="75"/>
      <c r="AKN1185" s="75"/>
      <c r="AKO1185" s="75"/>
      <c r="AKP1185" s="75"/>
      <c r="AKQ1185" s="75"/>
      <c r="AKR1185" s="75"/>
      <c r="AKS1185" s="75"/>
      <c r="AKT1185" s="75"/>
      <c r="AKU1185" s="75"/>
      <c r="AKV1185" s="75"/>
      <c r="AKW1185" s="75"/>
      <c r="AKX1185" s="75"/>
      <c r="AKY1185" s="75"/>
      <c r="AKZ1185" s="75"/>
      <c r="ALA1185" s="75"/>
      <c r="ALB1185" s="75"/>
      <c r="ALC1185" s="75"/>
      <c r="ALD1185" s="75"/>
      <c r="ALE1185" s="75"/>
      <c r="ALF1185" s="75"/>
      <c r="ALG1185" s="75"/>
      <c r="ALH1185" s="75"/>
      <c r="ALI1185" s="75"/>
      <c r="ALJ1185" s="75"/>
      <c r="ALK1185" s="75"/>
      <c r="ALL1185" s="75"/>
      <c r="ALM1185" s="75"/>
      <c r="ALN1185" s="75"/>
      <c r="ALO1185" s="75"/>
    </row>
    <row r="1186" spans="1:1003" s="238" customFormat="1" ht="14.55" customHeight="1" outlineLevel="1" x14ac:dyDescent="0.25">
      <c r="A1186" s="230" t="s">
        <v>1422</v>
      </c>
      <c r="B1186" s="343" t="str">
        <f>"28.07"</f>
        <v>28.07</v>
      </c>
      <c r="C1186" s="75" t="s">
        <v>3485</v>
      </c>
      <c r="D1186" s="127" t="s">
        <v>3486</v>
      </c>
      <c r="E1186" s="232"/>
      <c r="F1186" s="75"/>
      <c r="G1186" s="75"/>
      <c r="H1186" s="75"/>
      <c r="I1186" s="75"/>
      <c r="J1186" s="75"/>
      <c r="K1186" s="75"/>
      <c r="L1186" s="75"/>
      <c r="M1186" s="75"/>
      <c r="N1186" s="75"/>
      <c r="O1186" s="75"/>
      <c r="P1186" s="75"/>
      <c r="Q1186" s="75"/>
      <c r="R1186" s="75"/>
      <c r="S1186" s="75"/>
      <c r="T1186" s="75"/>
      <c r="U1186" s="75"/>
      <c r="V1186" s="75"/>
      <c r="W1186" s="75"/>
      <c r="X1186" s="75"/>
      <c r="Y1186" s="75"/>
      <c r="Z1186" s="75"/>
      <c r="AA1186" s="75"/>
      <c r="AB1186" s="75"/>
      <c r="AC1186" s="75"/>
      <c r="AD1186" s="75"/>
      <c r="AE1186" s="75"/>
      <c r="AF1186" s="75"/>
      <c r="AG1186" s="75"/>
      <c r="AH1186" s="75"/>
      <c r="AI1186" s="75"/>
      <c r="AJ1186" s="75"/>
      <c r="AK1186" s="75"/>
      <c r="AL1186" s="75"/>
      <c r="AM1186" s="75"/>
      <c r="AN1186" s="75"/>
      <c r="AO1186" s="75"/>
      <c r="AP1186" s="75"/>
      <c r="AQ1186" s="75"/>
      <c r="AR1186" s="75"/>
      <c r="AS1186" s="75"/>
      <c r="AT1186" s="75"/>
      <c r="AU1186" s="75"/>
      <c r="AV1186" s="75"/>
      <c r="AW1186" s="75"/>
      <c r="AX1186" s="75"/>
      <c r="AY1186" s="75"/>
      <c r="AZ1186" s="75"/>
      <c r="BA1186" s="75"/>
      <c r="BB1186" s="75"/>
      <c r="BC1186" s="75"/>
      <c r="BD1186" s="75"/>
      <c r="BE1186" s="75"/>
      <c r="BF1186" s="75"/>
      <c r="BG1186" s="75"/>
      <c r="BH1186" s="75"/>
      <c r="BI1186" s="75"/>
      <c r="BJ1186" s="75"/>
      <c r="BK1186" s="75"/>
      <c r="BL1186" s="75"/>
      <c r="BM1186" s="75"/>
      <c r="BN1186" s="75"/>
      <c r="BO1186" s="75"/>
      <c r="BP1186" s="75"/>
      <c r="BQ1186" s="75"/>
      <c r="BR1186" s="75"/>
      <c r="BS1186" s="75"/>
      <c r="BT1186" s="75"/>
      <c r="BU1186" s="75"/>
      <c r="BV1186" s="75"/>
      <c r="BW1186" s="75"/>
      <c r="BX1186" s="75"/>
      <c r="BY1186" s="75"/>
      <c r="BZ1186" s="75"/>
      <c r="CA1186" s="75"/>
      <c r="CB1186" s="75"/>
      <c r="CC1186" s="75"/>
      <c r="CD1186" s="75"/>
      <c r="CE1186" s="75"/>
      <c r="CF1186" s="75"/>
      <c r="CG1186" s="75"/>
      <c r="CH1186" s="75"/>
      <c r="CI1186" s="75"/>
      <c r="CJ1186" s="75"/>
      <c r="CK1186" s="75"/>
      <c r="CL1186" s="75"/>
      <c r="CM1186" s="75"/>
      <c r="CN1186" s="75"/>
      <c r="CO1186" s="75"/>
      <c r="CP1186" s="75"/>
      <c r="CQ1186" s="75"/>
      <c r="CR1186" s="75"/>
      <c r="CS1186" s="75"/>
      <c r="CT1186" s="75"/>
      <c r="CU1186" s="75"/>
      <c r="CV1186" s="75"/>
      <c r="CW1186" s="75"/>
      <c r="CX1186" s="75"/>
      <c r="CY1186" s="75"/>
      <c r="CZ1186" s="75"/>
      <c r="DA1186" s="75"/>
      <c r="DB1186" s="75"/>
      <c r="DC1186" s="75"/>
      <c r="DD1186" s="75"/>
      <c r="DE1186" s="75"/>
      <c r="DF1186" s="75"/>
      <c r="DG1186" s="75"/>
      <c r="DH1186" s="75"/>
      <c r="DI1186" s="75"/>
      <c r="DJ1186" s="75"/>
      <c r="DK1186" s="75"/>
      <c r="DL1186" s="75"/>
      <c r="DM1186" s="75"/>
      <c r="DN1186" s="75"/>
      <c r="DO1186" s="75"/>
      <c r="DP1186" s="75"/>
      <c r="DQ1186" s="75"/>
      <c r="DR1186" s="75"/>
      <c r="DS1186" s="75"/>
      <c r="DT1186" s="75"/>
      <c r="DU1186" s="75"/>
      <c r="DV1186" s="75"/>
      <c r="DW1186" s="75"/>
      <c r="DX1186" s="75"/>
      <c r="DY1186" s="75"/>
      <c r="DZ1186" s="75"/>
      <c r="EA1186" s="75"/>
      <c r="EB1186" s="75"/>
      <c r="EC1186" s="75"/>
      <c r="ED1186" s="75"/>
      <c r="EE1186" s="75"/>
      <c r="EF1186" s="75"/>
      <c r="EG1186" s="75"/>
      <c r="EH1186" s="75"/>
      <c r="EI1186" s="75"/>
      <c r="EJ1186" s="75"/>
      <c r="EK1186" s="75"/>
      <c r="EL1186" s="75"/>
      <c r="EM1186" s="75"/>
      <c r="EN1186" s="75"/>
      <c r="EO1186" s="75"/>
      <c r="EP1186" s="75"/>
      <c r="EQ1186" s="75"/>
      <c r="ER1186" s="75"/>
      <c r="ES1186" s="75"/>
      <c r="ET1186" s="75"/>
      <c r="EU1186" s="75"/>
      <c r="EV1186" s="75"/>
      <c r="EW1186" s="75"/>
      <c r="EX1186" s="75"/>
      <c r="EY1186" s="75"/>
      <c r="EZ1186" s="75"/>
      <c r="FA1186" s="75"/>
      <c r="FB1186" s="75"/>
      <c r="FC1186" s="75"/>
      <c r="FD1186" s="75"/>
      <c r="FE1186" s="75"/>
      <c r="FF1186" s="75"/>
      <c r="FG1186" s="75"/>
      <c r="FH1186" s="75"/>
      <c r="FI1186" s="75"/>
      <c r="FJ1186" s="75"/>
      <c r="FK1186" s="75"/>
      <c r="FL1186" s="75"/>
      <c r="FM1186" s="75"/>
      <c r="FN1186" s="75"/>
      <c r="FO1186" s="75"/>
      <c r="FP1186" s="75"/>
      <c r="FQ1186" s="75"/>
      <c r="FR1186" s="75"/>
      <c r="FS1186" s="75"/>
      <c r="FT1186" s="75"/>
      <c r="FU1186" s="75"/>
      <c r="FV1186" s="75"/>
      <c r="FW1186" s="75"/>
      <c r="FX1186" s="75"/>
      <c r="FY1186" s="75"/>
      <c r="FZ1186" s="75"/>
      <c r="GA1186" s="75"/>
      <c r="GB1186" s="75"/>
      <c r="GC1186" s="75"/>
      <c r="GD1186" s="75"/>
      <c r="GE1186" s="75"/>
      <c r="GF1186" s="75"/>
      <c r="GG1186" s="75"/>
      <c r="GH1186" s="75"/>
      <c r="GI1186" s="75"/>
      <c r="GJ1186" s="75"/>
      <c r="GK1186" s="75"/>
      <c r="GL1186" s="75"/>
      <c r="GM1186" s="75"/>
      <c r="GN1186" s="75"/>
      <c r="GO1186" s="75"/>
      <c r="GP1186" s="75"/>
      <c r="GQ1186" s="75"/>
      <c r="GR1186" s="75"/>
      <c r="GS1186" s="75"/>
      <c r="GT1186" s="75"/>
      <c r="GU1186" s="75"/>
      <c r="GV1186" s="75"/>
      <c r="GW1186" s="75"/>
      <c r="GX1186" s="75"/>
      <c r="GY1186" s="75"/>
      <c r="GZ1186" s="75"/>
      <c r="HA1186" s="75"/>
      <c r="HB1186" s="75"/>
      <c r="HC1186" s="75"/>
      <c r="HD1186" s="75"/>
      <c r="HE1186" s="75"/>
      <c r="HF1186" s="75"/>
      <c r="HG1186" s="75"/>
      <c r="HH1186" s="75"/>
      <c r="HI1186" s="75"/>
      <c r="HJ1186" s="75"/>
      <c r="HK1186" s="75"/>
      <c r="HL1186" s="75"/>
      <c r="HM1186" s="75"/>
      <c r="HN1186" s="75"/>
      <c r="HO1186" s="75"/>
      <c r="HP1186" s="75"/>
      <c r="HQ1186" s="75"/>
      <c r="HR1186" s="75"/>
      <c r="HS1186" s="75"/>
      <c r="HT1186" s="75"/>
      <c r="HU1186" s="75"/>
      <c r="HV1186" s="75"/>
      <c r="HW1186" s="75"/>
      <c r="HX1186" s="75"/>
      <c r="HY1186" s="75"/>
      <c r="HZ1186" s="75"/>
      <c r="IA1186" s="75"/>
      <c r="IB1186" s="75"/>
      <c r="IC1186" s="75"/>
      <c r="ID1186" s="75"/>
      <c r="IE1186" s="75"/>
      <c r="IF1186" s="75"/>
      <c r="IG1186" s="75"/>
      <c r="IH1186" s="75"/>
      <c r="II1186" s="75"/>
      <c r="IJ1186" s="75"/>
      <c r="IK1186" s="75"/>
      <c r="IL1186" s="75"/>
      <c r="IM1186" s="75"/>
      <c r="IN1186" s="75"/>
      <c r="IO1186" s="75"/>
      <c r="IP1186" s="75"/>
      <c r="IQ1186" s="75"/>
      <c r="IR1186" s="75"/>
      <c r="IS1186" s="75"/>
      <c r="IT1186" s="75"/>
      <c r="IU1186" s="75"/>
      <c r="IV1186" s="75"/>
      <c r="IW1186" s="75"/>
      <c r="IX1186" s="75"/>
      <c r="IY1186" s="75"/>
      <c r="IZ1186" s="75"/>
      <c r="JA1186" s="75"/>
      <c r="JB1186" s="75"/>
      <c r="JC1186" s="75"/>
      <c r="JD1186" s="75"/>
      <c r="JE1186" s="75"/>
      <c r="JF1186" s="75"/>
      <c r="JG1186" s="75"/>
      <c r="JH1186" s="75"/>
      <c r="JI1186" s="75"/>
      <c r="JJ1186" s="75"/>
      <c r="JK1186" s="75"/>
      <c r="JL1186" s="75"/>
      <c r="JM1186" s="75"/>
      <c r="JN1186" s="75"/>
      <c r="JO1186" s="75"/>
      <c r="JP1186" s="75"/>
      <c r="JQ1186" s="75"/>
      <c r="JR1186" s="75"/>
      <c r="JS1186" s="75"/>
      <c r="JT1186" s="75"/>
      <c r="JU1186" s="75"/>
      <c r="JV1186" s="75"/>
      <c r="JW1186" s="75"/>
      <c r="JX1186" s="75"/>
      <c r="JY1186" s="75"/>
      <c r="JZ1186" s="75"/>
      <c r="KA1186" s="75"/>
      <c r="KB1186" s="75"/>
      <c r="KC1186" s="75"/>
      <c r="KD1186" s="75"/>
      <c r="KE1186" s="75"/>
      <c r="KF1186" s="75"/>
      <c r="KG1186" s="75"/>
      <c r="KH1186" s="75"/>
      <c r="KI1186" s="75"/>
      <c r="KJ1186" s="75"/>
      <c r="KK1186" s="75"/>
      <c r="KL1186" s="75"/>
      <c r="KM1186" s="75"/>
      <c r="KN1186" s="75"/>
      <c r="KO1186" s="75"/>
      <c r="KP1186" s="75"/>
      <c r="KQ1186" s="75"/>
      <c r="KR1186" s="75"/>
      <c r="KS1186" s="75"/>
      <c r="KT1186" s="75"/>
      <c r="KU1186" s="75"/>
      <c r="KV1186" s="75"/>
      <c r="KW1186" s="75"/>
      <c r="KX1186" s="75"/>
      <c r="KY1186" s="75"/>
      <c r="KZ1186" s="75"/>
      <c r="LA1186" s="75"/>
      <c r="LB1186" s="75"/>
      <c r="LC1186" s="75"/>
      <c r="LD1186" s="75"/>
      <c r="LE1186" s="75"/>
      <c r="LF1186" s="75"/>
      <c r="LG1186" s="75"/>
      <c r="LH1186" s="75"/>
      <c r="LI1186" s="75"/>
      <c r="LJ1186" s="75"/>
      <c r="LK1186" s="75"/>
      <c r="LL1186" s="75"/>
      <c r="LM1186" s="75"/>
      <c r="LN1186" s="75"/>
      <c r="LO1186" s="75"/>
      <c r="LP1186" s="75"/>
      <c r="LQ1186" s="75"/>
      <c r="LR1186" s="75"/>
      <c r="LS1186" s="75"/>
      <c r="LT1186" s="75"/>
      <c r="LU1186" s="75"/>
      <c r="LV1186" s="75"/>
      <c r="LW1186" s="75"/>
      <c r="LX1186" s="75"/>
      <c r="LY1186" s="75"/>
      <c r="LZ1186" s="75"/>
      <c r="MA1186" s="75"/>
      <c r="MB1186" s="75"/>
      <c r="MC1186" s="75"/>
      <c r="MD1186" s="75"/>
      <c r="ME1186" s="75"/>
      <c r="MF1186" s="75"/>
      <c r="MG1186" s="75"/>
      <c r="MH1186" s="75"/>
      <c r="MI1186" s="75"/>
      <c r="MJ1186" s="75"/>
      <c r="MK1186" s="75"/>
      <c r="ML1186" s="75"/>
      <c r="MM1186" s="75"/>
      <c r="MN1186" s="75"/>
      <c r="MO1186" s="75"/>
      <c r="MP1186" s="75"/>
      <c r="MQ1186" s="75"/>
      <c r="MR1186" s="75"/>
      <c r="MS1186" s="75"/>
      <c r="MT1186" s="75"/>
      <c r="MU1186" s="75"/>
      <c r="MV1186" s="75"/>
      <c r="MW1186" s="75"/>
      <c r="MX1186" s="75"/>
      <c r="MY1186" s="75"/>
      <c r="MZ1186" s="75"/>
      <c r="NA1186" s="75"/>
      <c r="NB1186" s="75"/>
      <c r="NC1186" s="75"/>
      <c r="ND1186" s="75"/>
      <c r="NE1186" s="75"/>
      <c r="NF1186" s="75"/>
      <c r="NG1186" s="75"/>
      <c r="NH1186" s="75"/>
      <c r="NI1186" s="75"/>
      <c r="NJ1186" s="75"/>
      <c r="NK1186" s="75"/>
      <c r="NL1186" s="75"/>
      <c r="NM1186" s="75"/>
      <c r="NN1186" s="75"/>
      <c r="NO1186" s="75"/>
      <c r="NP1186" s="75"/>
      <c r="NQ1186" s="75"/>
      <c r="NR1186" s="75"/>
      <c r="NS1186" s="75"/>
      <c r="NT1186" s="75"/>
      <c r="NU1186" s="75"/>
      <c r="NV1186" s="75"/>
      <c r="NW1186" s="75"/>
      <c r="NX1186" s="75"/>
      <c r="NY1186" s="75"/>
      <c r="NZ1186" s="75"/>
      <c r="OA1186" s="75"/>
      <c r="OB1186" s="75"/>
      <c r="OC1186" s="75"/>
      <c r="OD1186" s="75"/>
      <c r="OE1186" s="75"/>
      <c r="OF1186" s="75"/>
      <c r="OG1186" s="75"/>
      <c r="OH1186" s="75"/>
      <c r="OI1186" s="75"/>
      <c r="OJ1186" s="75"/>
      <c r="OK1186" s="75"/>
      <c r="OL1186" s="75"/>
      <c r="OM1186" s="75"/>
      <c r="ON1186" s="75"/>
      <c r="OO1186" s="75"/>
      <c r="OP1186" s="75"/>
      <c r="OQ1186" s="75"/>
      <c r="OR1186" s="75"/>
      <c r="OS1186" s="75"/>
      <c r="OT1186" s="75"/>
      <c r="OU1186" s="75"/>
      <c r="OV1186" s="75"/>
      <c r="OW1186" s="75"/>
      <c r="OX1186" s="75"/>
      <c r="OY1186" s="75"/>
      <c r="OZ1186" s="75"/>
      <c r="PA1186" s="75"/>
      <c r="PB1186" s="75"/>
      <c r="PC1186" s="75"/>
      <c r="PD1186" s="75"/>
      <c r="PE1186" s="75"/>
      <c r="PF1186" s="75"/>
      <c r="PG1186" s="75"/>
      <c r="PH1186" s="75"/>
      <c r="PI1186" s="75"/>
      <c r="PJ1186" s="75"/>
      <c r="PK1186" s="75"/>
      <c r="PL1186" s="75"/>
      <c r="PM1186" s="75"/>
      <c r="PN1186" s="75"/>
      <c r="PO1186" s="75"/>
      <c r="PP1186" s="75"/>
      <c r="PQ1186" s="75"/>
      <c r="PR1186" s="75"/>
      <c r="PS1186" s="75"/>
      <c r="PT1186" s="75"/>
      <c r="PU1186" s="75"/>
      <c r="PV1186" s="75"/>
      <c r="PW1186" s="75"/>
      <c r="PX1186" s="75"/>
      <c r="PY1186" s="75"/>
      <c r="PZ1186" s="75"/>
      <c r="QA1186" s="75"/>
      <c r="QB1186" s="75"/>
      <c r="QC1186" s="75"/>
      <c r="QD1186" s="75"/>
      <c r="QE1186" s="75"/>
      <c r="QF1186" s="75"/>
      <c r="QG1186" s="75"/>
      <c r="QH1186" s="75"/>
      <c r="QI1186" s="75"/>
      <c r="QJ1186" s="75"/>
      <c r="QK1186" s="75"/>
      <c r="QL1186" s="75"/>
      <c r="QM1186" s="75"/>
      <c r="QN1186" s="75"/>
      <c r="QO1186" s="75"/>
      <c r="QP1186" s="75"/>
      <c r="QQ1186" s="75"/>
      <c r="QR1186" s="75"/>
      <c r="QS1186" s="75"/>
      <c r="QT1186" s="75"/>
      <c r="QU1186" s="75"/>
      <c r="QV1186" s="75"/>
      <c r="QW1186" s="75"/>
      <c r="QX1186" s="75"/>
      <c r="QY1186" s="75"/>
      <c r="QZ1186" s="75"/>
      <c r="RA1186" s="75"/>
      <c r="RB1186" s="75"/>
      <c r="RC1186" s="75"/>
      <c r="RD1186" s="75"/>
      <c r="RE1186" s="75"/>
      <c r="RF1186" s="75"/>
      <c r="RG1186" s="75"/>
      <c r="RH1186" s="75"/>
      <c r="RI1186" s="75"/>
      <c r="RJ1186" s="75"/>
      <c r="RK1186" s="75"/>
      <c r="RL1186" s="75"/>
      <c r="RM1186" s="75"/>
      <c r="RN1186" s="75"/>
      <c r="RO1186" s="75"/>
      <c r="RP1186" s="75"/>
      <c r="RQ1186" s="75"/>
      <c r="RR1186" s="75"/>
      <c r="RS1186" s="75"/>
      <c r="RT1186" s="75"/>
      <c r="RU1186" s="75"/>
      <c r="RV1186" s="75"/>
      <c r="RW1186" s="75"/>
      <c r="RX1186" s="75"/>
      <c r="RY1186" s="75"/>
      <c r="RZ1186" s="75"/>
      <c r="SA1186" s="75"/>
      <c r="SB1186" s="75"/>
      <c r="SC1186" s="75"/>
      <c r="SD1186" s="75"/>
      <c r="SE1186" s="75"/>
      <c r="SF1186" s="75"/>
      <c r="SG1186" s="75"/>
      <c r="SH1186" s="75"/>
      <c r="SI1186" s="75"/>
      <c r="SJ1186" s="75"/>
      <c r="SK1186" s="75"/>
      <c r="SL1186" s="75"/>
      <c r="SM1186" s="75"/>
      <c r="SN1186" s="75"/>
      <c r="SO1186" s="75"/>
      <c r="SP1186" s="75"/>
      <c r="SQ1186" s="75"/>
      <c r="SR1186" s="75"/>
      <c r="SS1186" s="75"/>
      <c r="ST1186" s="75"/>
      <c r="SU1186" s="75"/>
      <c r="SV1186" s="75"/>
      <c r="SW1186" s="75"/>
      <c r="SX1186" s="75"/>
      <c r="SY1186" s="75"/>
      <c r="SZ1186" s="75"/>
      <c r="TA1186" s="75"/>
      <c r="TB1186" s="75"/>
      <c r="TC1186" s="75"/>
      <c r="TD1186" s="75"/>
      <c r="TE1186" s="75"/>
      <c r="TF1186" s="75"/>
      <c r="TG1186" s="75"/>
      <c r="TH1186" s="75"/>
      <c r="TI1186" s="75"/>
      <c r="TJ1186" s="75"/>
      <c r="TK1186" s="75"/>
      <c r="TL1186" s="75"/>
      <c r="TM1186" s="75"/>
      <c r="TN1186" s="75"/>
      <c r="TO1186" s="75"/>
      <c r="TP1186" s="75"/>
      <c r="TQ1186" s="75"/>
      <c r="TR1186" s="75"/>
      <c r="TS1186" s="75"/>
      <c r="TT1186" s="75"/>
      <c r="TU1186" s="75"/>
      <c r="TV1186" s="75"/>
      <c r="TW1186" s="75"/>
      <c r="TX1186" s="75"/>
      <c r="TY1186" s="75"/>
      <c r="TZ1186" s="75"/>
      <c r="UA1186" s="75"/>
      <c r="UB1186" s="75"/>
      <c r="UC1186" s="75"/>
      <c r="UD1186" s="75"/>
      <c r="UE1186" s="75"/>
      <c r="UF1186" s="75"/>
      <c r="UG1186" s="75"/>
      <c r="UH1186" s="75"/>
      <c r="UI1186" s="75"/>
      <c r="UJ1186" s="75"/>
      <c r="UK1186" s="75"/>
      <c r="UL1186" s="75"/>
      <c r="UM1186" s="75"/>
      <c r="UN1186" s="75"/>
      <c r="UO1186" s="75"/>
      <c r="UP1186" s="75"/>
      <c r="UQ1186" s="75"/>
      <c r="UR1186" s="75"/>
      <c r="US1186" s="75"/>
      <c r="UT1186" s="75"/>
      <c r="UU1186" s="75"/>
      <c r="UV1186" s="75"/>
      <c r="UW1186" s="75"/>
      <c r="UX1186" s="75"/>
      <c r="UY1186" s="75"/>
      <c r="UZ1186" s="75"/>
      <c r="VA1186" s="75"/>
      <c r="VB1186" s="75"/>
      <c r="VC1186" s="75"/>
      <c r="VD1186" s="75"/>
      <c r="VE1186" s="75"/>
      <c r="VF1186" s="75"/>
      <c r="VG1186" s="75"/>
      <c r="VH1186" s="75"/>
      <c r="VI1186" s="75"/>
      <c r="VJ1186" s="75"/>
      <c r="VK1186" s="75"/>
      <c r="VL1186" s="75"/>
      <c r="VM1186" s="75"/>
      <c r="VN1186" s="75"/>
      <c r="VO1186" s="75"/>
      <c r="VP1186" s="75"/>
      <c r="VQ1186" s="75"/>
      <c r="VR1186" s="75"/>
      <c r="VS1186" s="75"/>
      <c r="VT1186" s="75"/>
      <c r="VU1186" s="75"/>
      <c r="VV1186" s="75"/>
      <c r="VW1186" s="75"/>
      <c r="VX1186" s="75"/>
      <c r="VY1186" s="75"/>
      <c r="VZ1186" s="75"/>
      <c r="WA1186" s="75"/>
      <c r="WB1186" s="75"/>
      <c r="WC1186" s="75"/>
      <c r="WD1186" s="75"/>
      <c r="WE1186" s="75"/>
      <c r="WF1186" s="75"/>
      <c r="WG1186" s="75"/>
      <c r="WH1186" s="75"/>
      <c r="WI1186" s="75"/>
      <c r="WJ1186" s="75"/>
      <c r="WK1186" s="75"/>
      <c r="WL1186" s="75"/>
      <c r="WM1186" s="75"/>
      <c r="WN1186" s="75"/>
      <c r="WO1186" s="75"/>
      <c r="WP1186" s="75"/>
      <c r="WQ1186" s="75"/>
      <c r="WR1186" s="75"/>
      <c r="WS1186" s="75"/>
      <c r="WT1186" s="75"/>
      <c r="WU1186" s="75"/>
      <c r="WV1186" s="75"/>
      <c r="WW1186" s="75"/>
      <c r="WX1186" s="75"/>
      <c r="WY1186" s="75"/>
      <c r="WZ1186" s="75"/>
      <c r="XA1186" s="75"/>
      <c r="XB1186" s="75"/>
      <c r="XC1186" s="75"/>
      <c r="XD1186" s="75"/>
      <c r="XE1186" s="75"/>
      <c r="XF1186" s="75"/>
      <c r="XG1186" s="75"/>
      <c r="XH1186" s="75"/>
      <c r="XI1186" s="75"/>
      <c r="XJ1186" s="75"/>
      <c r="XK1186" s="75"/>
      <c r="XL1186" s="75"/>
      <c r="XM1186" s="75"/>
      <c r="XN1186" s="75"/>
      <c r="XO1186" s="75"/>
      <c r="XP1186" s="75"/>
      <c r="XQ1186" s="75"/>
      <c r="XR1186" s="75"/>
      <c r="XS1186" s="75"/>
      <c r="XT1186" s="75"/>
      <c r="XU1186" s="75"/>
      <c r="XV1186" s="75"/>
      <c r="XW1186" s="75"/>
      <c r="XX1186" s="75"/>
      <c r="XY1186" s="75"/>
      <c r="XZ1186" s="75"/>
      <c r="YA1186" s="75"/>
      <c r="YB1186" s="75"/>
      <c r="YC1186" s="75"/>
      <c r="YD1186" s="75"/>
      <c r="YE1186" s="75"/>
      <c r="YF1186" s="75"/>
      <c r="YG1186" s="75"/>
      <c r="YH1186" s="75"/>
      <c r="YI1186" s="75"/>
      <c r="YJ1186" s="75"/>
      <c r="YK1186" s="75"/>
      <c r="YL1186" s="75"/>
      <c r="YM1186" s="75"/>
      <c r="YN1186" s="75"/>
      <c r="YO1186" s="75"/>
      <c r="YP1186" s="75"/>
      <c r="YQ1186" s="75"/>
      <c r="YR1186" s="75"/>
      <c r="YS1186" s="75"/>
      <c r="YT1186" s="75"/>
      <c r="YU1186" s="75"/>
      <c r="YV1186" s="75"/>
      <c r="YW1186" s="75"/>
      <c r="YX1186" s="75"/>
      <c r="YY1186" s="75"/>
      <c r="YZ1186" s="75"/>
      <c r="ZA1186" s="75"/>
      <c r="ZB1186" s="75"/>
      <c r="ZC1186" s="75"/>
      <c r="ZD1186" s="75"/>
      <c r="ZE1186" s="75"/>
      <c r="ZF1186" s="75"/>
      <c r="ZG1186" s="75"/>
      <c r="ZH1186" s="75"/>
      <c r="ZI1186" s="75"/>
      <c r="ZJ1186" s="75"/>
      <c r="ZK1186" s="75"/>
      <c r="ZL1186" s="75"/>
      <c r="ZM1186" s="75"/>
      <c r="ZN1186" s="75"/>
      <c r="ZO1186" s="75"/>
      <c r="ZP1186" s="75"/>
      <c r="ZQ1186" s="75"/>
      <c r="ZR1186" s="75"/>
      <c r="ZS1186" s="75"/>
      <c r="ZT1186" s="75"/>
      <c r="ZU1186" s="75"/>
      <c r="ZV1186" s="75"/>
      <c r="ZW1186" s="75"/>
      <c r="ZX1186" s="75"/>
      <c r="ZY1186" s="75"/>
      <c r="ZZ1186" s="75"/>
      <c r="AAA1186" s="75"/>
      <c r="AAB1186" s="75"/>
      <c r="AAC1186" s="75"/>
      <c r="AAD1186" s="75"/>
      <c r="AAE1186" s="75"/>
      <c r="AAF1186" s="75"/>
      <c r="AAG1186" s="75"/>
      <c r="AAH1186" s="75"/>
      <c r="AAI1186" s="75"/>
      <c r="AAJ1186" s="75"/>
      <c r="AAK1186" s="75"/>
      <c r="AAL1186" s="75"/>
      <c r="AAM1186" s="75"/>
      <c r="AAN1186" s="75"/>
      <c r="AAO1186" s="75"/>
      <c r="AAP1186" s="75"/>
      <c r="AAQ1186" s="75"/>
      <c r="AAR1186" s="75"/>
      <c r="AAS1186" s="75"/>
      <c r="AAT1186" s="75"/>
      <c r="AAU1186" s="75"/>
      <c r="AAV1186" s="75"/>
      <c r="AAW1186" s="75"/>
      <c r="AAX1186" s="75"/>
      <c r="AAY1186" s="75"/>
      <c r="AAZ1186" s="75"/>
      <c r="ABA1186" s="75"/>
      <c r="ABB1186" s="75"/>
      <c r="ABC1186" s="75"/>
      <c r="ABD1186" s="75"/>
      <c r="ABE1186" s="75"/>
      <c r="ABF1186" s="75"/>
      <c r="ABG1186" s="75"/>
      <c r="ABH1186" s="75"/>
      <c r="ABI1186" s="75"/>
      <c r="ABJ1186" s="75"/>
      <c r="ABK1186" s="75"/>
      <c r="ABL1186" s="75"/>
      <c r="ABM1186" s="75"/>
      <c r="ABN1186" s="75"/>
      <c r="ABO1186" s="75"/>
      <c r="ABP1186" s="75"/>
      <c r="ABQ1186" s="75"/>
      <c r="ABR1186" s="75"/>
      <c r="ABS1186" s="75"/>
      <c r="ABT1186" s="75"/>
      <c r="ABU1186" s="75"/>
      <c r="ABV1186" s="75"/>
      <c r="ABW1186" s="75"/>
      <c r="ABX1186" s="75"/>
      <c r="ABY1186" s="75"/>
      <c r="ABZ1186" s="75"/>
      <c r="ACA1186" s="75"/>
      <c r="ACB1186" s="75"/>
      <c r="ACC1186" s="75"/>
      <c r="ACD1186" s="75"/>
      <c r="ACE1186" s="75"/>
      <c r="ACF1186" s="75"/>
      <c r="ACG1186" s="75"/>
      <c r="ACH1186" s="75"/>
      <c r="ACI1186" s="75"/>
      <c r="ACJ1186" s="75"/>
      <c r="ACK1186" s="75"/>
      <c r="ACL1186" s="75"/>
      <c r="ACM1186" s="75"/>
      <c r="ACN1186" s="75"/>
      <c r="ACO1186" s="75"/>
      <c r="ACP1186" s="75"/>
      <c r="ACQ1186" s="75"/>
      <c r="ACR1186" s="75"/>
      <c r="ACS1186" s="75"/>
      <c r="ACT1186" s="75"/>
      <c r="ACU1186" s="75"/>
      <c r="ACV1186" s="75"/>
      <c r="ACW1186" s="75"/>
      <c r="ACX1186" s="75"/>
      <c r="ACY1186" s="75"/>
      <c r="ACZ1186" s="75"/>
      <c r="ADA1186" s="75"/>
      <c r="ADB1186" s="75"/>
      <c r="ADC1186" s="75"/>
      <c r="ADD1186" s="75"/>
      <c r="ADE1186" s="75"/>
      <c r="ADF1186" s="75"/>
      <c r="ADG1186" s="75"/>
      <c r="ADH1186" s="75"/>
      <c r="ADI1186" s="75"/>
      <c r="ADJ1186" s="75"/>
      <c r="ADK1186" s="75"/>
      <c r="ADL1186" s="75"/>
      <c r="ADM1186" s="75"/>
      <c r="ADN1186" s="75"/>
      <c r="ADO1186" s="75"/>
      <c r="ADP1186" s="75"/>
      <c r="ADQ1186" s="75"/>
      <c r="ADR1186" s="75"/>
      <c r="ADS1186" s="75"/>
      <c r="ADT1186" s="75"/>
      <c r="ADU1186" s="75"/>
      <c r="ADV1186" s="75"/>
      <c r="ADW1186" s="75"/>
      <c r="ADX1186" s="75"/>
      <c r="ADY1186" s="75"/>
      <c r="ADZ1186" s="75"/>
      <c r="AEA1186" s="75"/>
      <c r="AEB1186" s="75"/>
      <c r="AEC1186" s="75"/>
      <c r="AED1186" s="75"/>
      <c r="AEE1186" s="75"/>
      <c r="AEF1186" s="75"/>
      <c r="AEG1186" s="75"/>
      <c r="AEH1186" s="75"/>
      <c r="AEI1186" s="75"/>
      <c r="AEJ1186" s="75"/>
      <c r="AEK1186" s="75"/>
      <c r="AEL1186" s="75"/>
      <c r="AEM1186" s="75"/>
      <c r="AEN1186" s="75"/>
      <c r="AEO1186" s="75"/>
      <c r="AEP1186" s="75"/>
      <c r="AEQ1186" s="75"/>
      <c r="AER1186" s="75"/>
      <c r="AES1186" s="75"/>
      <c r="AET1186" s="75"/>
      <c r="AEU1186" s="75"/>
      <c r="AEV1186" s="75"/>
      <c r="AEW1186" s="75"/>
      <c r="AEX1186" s="75"/>
      <c r="AEY1186" s="75"/>
      <c r="AEZ1186" s="75"/>
      <c r="AFA1186" s="75"/>
      <c r="AFB1186" s="75"/>
      <c r="AFC1186" s="75"/>
      <c r="AFD1186" s="75"/>
      <c r="AFE1186" s="75"/>
      <c r="AFF1186" s="75"/>
      <c r="AFG1186" s="75"/>
      <c r="AFH1186" s="75"/>
      <c r="AFI1186" s="75"/>
      <c r="AFJ1186" s="75"/>
      <c r="AFK1186" s="75"/>
      <c r="AFL1186" s="75"/>
      <c r="AFM1186" s="75"/>
      <c r="AFN1186" s="75"/>
      <c r="AFO1186" s="75"/>
      <c r="AFP1186" s="75"/>
      <c r="AFQ1186" s="75"/>
      <c r="AFR1186" s="75"/>
      <c r="AFS1186" s="75"/>
      <c r="AFT1186" s="75"/>
      <c r="AFU1186" s="75"/>
      <c r="AFV1186" s="75"/>
      <c r="AFW1186" s="75"/>
      <c r="AFX1186" s="75"/>
      <c r="AFY1186" s="75"/>
      <c r="AFZ1186" s="75"/>
      <c r="AGA1186" s="75"/>
      <c r="AGB1186" s="75"/>
      <c r="AGC1186" s="75"/>
      <c r="AGD1186" s="75"/>
      <c r="AGE1186" s="75"/>
      <c r="AGF1186" s="75"/>
      <c r="AGG1186" s="75"/>
      <c r="AGH1186" s="75"/>
      <c r="AGI1186" s="75"/>
      <c r="AGJ1186" s="75"/>
      <c r="AGK1186" s="75"/>
      <c r="AGL1186" s="75"/>
      <c r="AGM1186" s="75"/>
      <c r="AGN1186" s="75"/>
      <c r="AGO1186" s="75"/>
      <c r="AGP1186" s="75"/>
      <c r="AGQ1186" s="75"/>
      <c r="AGR1186" s="75"/>
      <c r="AGS1186" s="75"/>
      <c r="AGT1186" s="75"/>
      <c r="AGU1186" s="75"/>
      <c r="AGV1186" s="75"/>
      <c r="AGW1186" s="75"/>
      <c r="AGX1186" s="75"/>
      <c r="AGY1186" s="75"/>
      <c r="AGZ1186" s="75"/>
      <c r="AHA1186" s="75"/>
      <c r="AHB1186" s="75"/>
      <c r="AHC1186" s="75"/>
      <c r="AHD1186" s="75"/>
      <c r="AHE1186" s="75"/>
      <c r="AHF1186" s="75"/>
      <c r="AHG1186" s="75"/>
      <c r="AHH1186" s="75"/>
      <c r="AHI1186" s="75"/>
      <c r="AHJ1186" s="75"/>
      <c r="AHK1186" s="75"/>
      <c r="AHL1186" s="75"/>
      <c r="AHM1186" s="75"/>
      <c r="AHN1186" s="75"/>
      <c r="AHO1186" s="75"/>
      <c r="AHP1186" s="75"/>
      <c r="AHQ1186" s="75"/>
      <c r="AHR1186" s="75"/>
      <c r="AHS1186" s="75"/>
      <c r="AHT1186" s="75"/>
      <c r="AHU1186" s="75"/>
      <c r="AHV1186" s="75"/>
      <c r="AHW1186" s="75"/>
      <c r="AHX1186" s="75"/>
      <c r="AHY1186" s="75"/>
      <c r="AHZ1186" s="75"/>
      <c r="AIA1186" s="75"/>
      <c r="AIB1186" s="75"/>
      <c r="AIC1186" s="75"/>
      <c r="AID1186" s="75"/>
      <c r="AIE1186" s="75"/>
      <c r="AIF1186" s="75"/>
      <c r="AIG1186" s="75"/>
      <c r="AIH1186" s="75"/>
      <c r="AII1186" s="75"/>
      <c r="AIJ1186" s="75"/>
      <c r="AIK1186" s="75"/>
      <c r="AIL1186" s="75"/>
      <c r="AIM1186" s="75"/>
      <c r="AIN1186" s="75"/>
      <c r="AIO1186" s="75"/>
      <c r="AIP1186" s="75"/>
      <c r="AIQ1186" s="75"/>
      <c r="AIR1186" s="75"/>
      <c r="AIS1186" s="75"/>
      <c r="AIT1186" s="75"/>
      <c r="AIU1186" s="75"/>
      <c r="AIV1186" s="75"/>
      <c r="AIW1186" s="75"/>
      <c r="AIX1186" s="75"/>
      <c r="AIY1186" s="75"/>
      <c r="AIZ1186" s="75"/>
      <c r="AJA1186" s="75"/>
      <c r="AJB1186" s="75"/>
      <c r="AJC1186" s="75"/>
      <c r="AJD1186" s="75"/>
      <c r="AJE1186" s="75"/>
      <c r="AJF1186" s="75"/>
      <c r="AJG1186" s="75"/>
      <c r="AJH1186" s="75"/>
      <c r="AJI1186" s="75"/>
      <c r="AJJ1186" s="75"/>
      <c r="AJK1186" s="75"/>
      <c r="AJL1186" s="75"/>
      <c r="AJM1186" s="75"/>
      <c r="AJN1186" s="75"/>
      <c r="AJO1186" s="75"/>
      <c r="AJP1186" s="75"/>
      <c r="AJQ1186" s="75"/>
      <c r="AJR1186" s="75"/>
      <c r="AJS1186" s="75"/>
      <c r="AJT1186" s="75"/>
      <c r="AJU1186" s="75"/>
      <c r="AJV1186" s="75"/>
      <c r="AJW1186" s="75"/>
      <c r="AJX1186" s="75"/>
      <c r="AJY1186" s="75"/>
      <c r="AJZ1186" s="75"/>
      <c r="AKA1186" s="75"/>
      <c r="AKB1186" s="75"/>
      <c r="AKC1186" s="75"/>
      <c r="AKD1186" s="75"/>
      <c r="AKE1186" s="75"/>
      <c r="AKF1186" s="75"/>
      <c r="AKG1186" s="75"/>
      <c r="AKH1186" s="75"/>
      <c r="AKI1186" s="75"/>
      <c r="AKJ1186" s="75"/>
      <c r="AKK1186" s="75"/>
      <c r="AKL1186" s="75"/>
      <c r="AKM1186" s="75"/>
      <c r="AKN1186" s="75"/>
      <c r="AKO1186" s="75"/>
      <c r="AKP1186" s="75"/>
      <c r="AKQ1186" s="75"/>
      <c r="AKR1186" s="75"/>
      <c r="AKS1186" s="75"/>
      <c r="AKT1186" s="75"/>
      <c r="AKU1186" s="75"/>
      <c r="AKV1186" s="75"/>
      <c r="AKW1186" s="75"/>
      <c r="AKX1186" s="75"/>
      <c r="AKY1186" s="75"/>
      <c r="AKZ1186" s="75"/>
      <c r="ALA1186" s="75"/>
      <c r="ALB1186" s="75"/>
      <c r="ALC1186" s="75"/>
      <c r="ALD1186" s="75"/>
      <c r="ALE1186" s="75"/>
      <c r="ALF1186" s="75"/>
      <c r="ALG1186" s="75"/>
      <c r="ALH1186" s="75"/>
      <c r="ALI1186" s="75"/>
      <c r="ALJ1186" s="75"/>
      <c r="ALK1186" s="75"/>
      <c r="ALL1186" s="75"/>
      <c r="ALM1186" s="75"/>
      <c r="ALN1186" s="75"/>
      <c r="ALO1186" s="75"/>
    </row>
    <row r="1187" spans="1:1003" ht="14.55" customHeight="1" outlineLevel="1" x14ac:dyDescent="0.25">
      <c r="A1187" s="230" t="s">
        <v>1422</v>
      </c>
      <c r="B1187" s="343" t="str">
        <f>"28.0701"</f>
        <v>28.0701</v>
      </c>
      <c r="C1187" s="75" t="s">
        <v>3487</v>
      </c>
      <c r="D1187" s="127" t="s">
        <v>3488</v>
      </c>
      <c r="E1187" s="232"/>
    </row>
    <row r="1188" spans="1:1003" ht="14.55" customHeight="1" outlineLevel="1" x14ac:dyDescent="0.25">
      <c r="A1188" s="230" t="s">
        <v>1422</v>
      </c>
      <c r="B1188" s="343" t="str">
        <f>"28.0702"</f>
        <v>28.0702</v>
      </c>
      <c r="C1188" s="75" t="s">
        <v>3489</v>
      </c>
      <c r="D1188" s="127" t="s">
        <v>3490</v>
      </c>
      <c r="E1188" s="232"/>
    </row>
    <row r="1189" spans="1:1003" ht="14.55" customHeight="1" outlineLevel="1" x14ac:dyDescent="0.25">
      <c r="A1189" s="230" t="s">
        <v>1422</v>
      </c>
      <c r="B1189" s="343" t="str">
        <f>"28.0703"</f>
        <v>28.0703</v>
      </c>
      <c r="C1189" s="75" t="s">
        <v>3491</v>
      </c>
      <c r="D1189" s="127" t="s">
        <v>3492</v>
      </c>
      <c r="E1189" s="232"/>
    </row>
    <row r="1190" spans="1:1003" ht="14.55" customHeight="1" outlineLevel="1" x14ac:dyDescent="0.25">
      <c r="A1190" s="230" t="s">
        <v>1422</v>
      </c>
      <c r="B1190" s="343" t="str">
        <f>"28.0799"</f>
        <v>28.0799</v>
      </c>
      <c r="C1190" s="75" t="s">
        <v>3493</v>
      </c>
      <c r="D1190" s="127" t="s">
        <v>3494</v>
      </c>
      <c r="E1190" s="232"/>
    </row>
    <row r="1191" spans="1:1003" ht="14.55" customHeight="1" outlineLevel="1" x14ac:dyDescent="0.25">
      <c r="A1191" s="230" t="s">
        <v>1422</v>
      </c>
      <c r="B1191" s="343" t="str">
        <f>"28.08"</f>
        <v>28.08</v>
      </c>
      <c r="C1191" s="75" t="s">
        <v>1479</v>
      </c>
      <c r="D1191" s="127" t="s">
        <v>3495</v>
      </c>
      <c r="E1191" s="232"/>
    </row>
    <row r="1192" spans="1:1003" ht="14.55" customHeight="1" outlineLevel="1" x14ac:dyDescent="0.25">
      <c r="A1192" s="230" t="s">
        <v>1422</v>
      </c>
      <c r="B1192" s="343" t="str">
        <f>"28.0801"</f>
        <v>28.0801</v>
      </c>
      <c r="C1192" s="75" t="s">
        <v>1479</v>
      </c>
      <c r="D1192" s="127" t="s">
        <v>1480</v>
      </c>
      <c r="E1192" s="232"/>
    </row>
    <row r="1193" spans="1:1003" ht="14.55" customHeight="1" outlineLevel="1" x14ac:dyDescent="0.25">
      <c r="A1193" s="230" t="s">
        <v>1422</v>
      </c>
      <c r="B1193" s="343" t="str">
        <f>"28.99"</f>
        <v>28.99</v>
      </c>
      <c r="C1193" s="75" t="s">
        <v>3496</v>
      </c>
      <c r="D1193" s="127" t="s">
        <v>3497</v>
      </c>
      <c r="E1193" s="232"/>
    </row>
    <row r="1194" spans="1:1003" ht="14.55" customHeight="1" outlineLevel="1" x14ac:dyDescent="0.25">
      <c r="A1194" s="230" t="s">
        <v>1422</v>
      </c>
      <c r="B1194" s="343" t="str">
        <f>"28.9999"</f>
        <v>28.9999</v>
      </c>
      <c r="C1194" s="75" t="s">
        <v>3496</v>
      </c>
      <c r="D1194" s="127" t="s">
        <v>3498</v>
      </c>
      <c r="E1194" s="232"/>
    </row>
    <row r="1195" spans="1:1003" ht="14.55" customHeight="1" outlineLevel="1" x14ac:dyDescent="0.25">
      <c r="A1195" s="230" t="s">
        <v>1422</v>
      </c>
      <c r="B1195" s="343" t="str">
        <f>"29"</f>
        <v>29</v>
      </c>
      <c r="C1195" s="75" t="s">
        <v>3499</v>
      </c>
      <c r="D1195" s="127" t="s">
        <v>3500</v>
      </c>
      <c r="E1195" s="232"/>
    </row>
    <row r="1196" spans="1:1003" ht="14.55" customHeight="1" outlineLevel="1" x14ac:dyDescent="0.25">
      <c r="A1196" s="230" t="s">
        <v>1422</v>
      </c>
      <c r="B1196" s="343" t="str">
        <f>"29.02"</f>
        <v>29.02</v>
      </c>
      <c r="C1196" s="75" t="s">
        <v>3501</v>
      </c>
      <c r="D1196" s="127" t="s">
        <v>3502</v>
      </c>
      <c r="E1196" s="232"/>
    </row>
    <row r="1197" spans="1:1003" ht="14.55" customHeight="1" outlineLevel="1" x14ac:dyDescent="0.25">
      <c r="A1197" s="230" t="s">
        <v>1422</v>
      </c>
      <c r="B1197" s="343" t="str">
        <f>"29.0201"</f>
        <v>29.0201</v>
      </c>
      <c r="C1197" s="75" t="s">
        <v>3503</v>
      </c>
      <c r="D1197" s="127" t="s">
        <v>3504</v>
      </c>
      <c r="E1197" s="232"/>
    </row>
    <row r="1198" spans="1:1003" ht="14.55" customHeight="1" outlineLevel="1" x14ac:dyDescent="0.25">
      <c r="A1198" s="230" t="s">
        <v>1422</v>
      </c>
      <c r="B1198" s="343" t="str">
        <f>"29.0202"</f>
        <v>29.0202</v>
      </c>
      <c r="C1198" s="75" t="s">
        <v>3505</v>
      </c>
      <c r="D1198" s="127" t="s">
        <v>3506</v>
      </c>
      <c r="E1198" s="232"/>
    </row>
    <row r="1199" spans="1:1003" ht="14.55" customHeight="1" outlineLevel="1" x14ac:dyDescent="0.25">
      <c r="A1199" s="230" t="s">
        <v>1422</v>
      </c>
      <c r="B1199" s="343" t="str">
        <f>"29.0203"</f>
        <v>29.0203</v>
      </c>
      <c r="C1199" s="75" t="s">
        <v>3507</v>
      </c>
      <c r="D1199" s="127" t="s">
        <v>3508</v>
      </c>
      <c r="E1199" s="232"/>
    </row>
    <row r="1200" spans="1:1003" ht="14.55" customHeight="1" outlineLevel="1" x14ac:dyDescent="0.25">
      <c r="A1200" s="230" t="s">
        <v>1422</v>
      </c>
      <c r="B1200" s="343" t="str">
        <f>"29.0204"</f>
        <v>29.0204</v>
      </c>
      <c r="C1200" s="75" t="s">
        <v>3509</v>
      </c>
      <c r="D1200" s="127" t="s">
        <v>3510</v>
      </c>
      <c r="E1200" s="232"/>
    </row>
    <row r="1201" spans="1:1003" ht="14.55" customHeight="1" outlineLevel="1" x14ac:dyDescent="0.25">
      <c r="A1201" s="230" t="s">
        <v>1422</v>
      </c>
      <c r="B1201" s="343" t="str">
        <f>"29.0205"</f>
        <v>29.0205</v>
      </c>
      <c r="C1201" s="75" t="s">
        <v>3511</v>
      </c>
      <c r="D1201" s="127" t="s">
        <v>3512</v>
      </c>
      <c r="E1201" s="232"/>
    </row>
    <row r="1202" spans="1:1003" ht="14.55" customHeight="1" outlineLevel="1" x14ac:dyDescent="0.25">
      <c r="A1202" s="230" t="s">
        <v>1422</v>
      </c>
      <c r="B1202" s="343" t="str">
        <f>"29.0206"</f>
        <v>29.0206</v>
      </c>
      <c r="C1202" s="75" t="s">
        <v>3513</v>
      </c>
      <c r="D1202" s="127" t="s">
        <v>3514</v>
      </c>
      <c r="E1202" s="232"/>
    </row>
    <row r="1203" spans="1:1003" ht="14.55" customHeight="1" outlineLevel="1" x14ac:dyDescent="0.25">
      <c r="A1203" s="230" t="s">
        <v>1422</v>
      </c>
      <c r="B1203" s="343" t="str">
        <f>"29.0207"</f>
        <v>29.0207</v>
      </c>
      <c r="C1203" s="75" t="s">
        <v>3515</v>
      </c>
      <c r="D1203" s="127" t="s">
        <v>3516</v>
      </c>
      <c r="E1203" s="232"/>
    </row>
    <row r="1204" spans="1:1003" ht="14.55" customHeight="1" outlineLevel="1" x14ac:dyDescent="0.25">
      <c r="A1204" s="230" t="s">
        <v>1422</v>
      </c>
      <c r="B1204" s="343" t="str">
        <f>"29.0299"</f>
        <v>29.0299</v>
      </c>
      <c r="C1204" s="75" t="s">
        <v>3517</v>
      </c>
      <c r="D1204" s="127" t="s">
        <v>3518</v>
      </c>
      <c r="E1204" s="232"/>
    </row>
    <row r="1205" spans="1:1003" ht="14.55" customHeight="1" outlineLevel="1" x14ac:dyDescent="0.25">
      <c r="A1205" s="230" t="s">
        <v>1422</v>
      </c>
      <c r="B1205" s="343" t="str">
        <f>"29.03"</f>
        <v>29.03</v>
      </c>
      <c r="C1205" s="75" t="s">
        <v>3519</v>
      </c>
      <c r="D1205" s="127" t="s">
        <v>3520</v>
      </c>
      <c r="E1205" s="232"/>
    </row>
    <row r="1206" spans="1:1003" ht="14.55" customHeight="1" outlineLevel="1" x14ac:dyDescent="0.25">
      <c r="A1206" s="230" t="s">
        <v>1422</v>
      </c>
      <c r="B1206" s="343" t="str">
        <f>"29.0301"</f>
        <v>29.0301</v>
      </c>
      <c r="C1206" s="75" t="s">
        <v>3521</v>
      </c>
      <c r="D1206" s="127" t="s">
        <v>3522</v>
      </c>
      <c r="E1206" s="232"/>
    </row>
    <row r="1207" spans="1:1003" ht="14.55" customHeight="1" outlineLevel="1" x14ac:dyDescent="0.25">
      <c r="A1207" s="230" t="s">
        <v>1422</v>
      </c>
      <c r="B1207" s="343" t="str">
        <f>"29.0302"</f>
        <v>29.0302</v>
      </c>
      <c r="C1207" s="75" t="s">
        <v>3523</v>
      </c>
      <c r="D1207" s="127" t="s">
        <v>3524</v>
      </c>
      <c r="E1207" s="232"/>
    </row>
    <row r="1208" spans="1:1003" s="239" customFormat="1" ht="14.55" customHeight="1" outlineLevel="1" x14ac:dyDescent="0.25">
      <c r="A1208" s="230" t="s">
        <v>1422</v>
      </c>
      <c r="B1208" s="343" t="str">
        <f>"29.0303"</f>
        <v>29.0303</v>
      </c>
      <c r="C1208" s="75" t="s">
        <v>3525</v>
      </c>
      <c r="D1208" s="127" t="s">
        <v>3526</v>
      </c>
      <c r="E1208" s="232"/>
      <c r="F1208" s="75"/>
      <c r="G1208" s="75"/>
      <c r="H1208" s="75"/>
      <c r="I1208" s="75"/>
      <c r="J1208" s="75"/>
      <c r="K1208" s="75"/>
      <c r="L1208" s="75"/>
      <c r="M1208" s="75"/>
      <c r="N1208" s="75"/>
      <c r="O1208" s="75"/>
      <c r="P1208" s="75"/>
      <c r="Q1208" s="75"/>
      <c r="R1208" s="75"/>
      <c r="S1208" s="75"/>
      <c r="T1208" s="75"/>
      <c r="U1208" s="75"/>
      <c r="V1208" s="75"/>
      <c r="W1208" s="75"/>
      <c r="X1208" s="75"/>
      <c r="Y1208" s="75"/>
      <c r="Z1208" s="75"/>
      <c r="AA1208" s="75"/>
      <c r="AB1208" s="75"/>
      <c r="AC1208" s="75"/>
      <c r="AD1208" s="75"/>
      <c r="AE1208" s="75"/>
      <c r="AF1208" s="75"/>
      <c r="AG1208" s="75"/>
      <c r="AH1208" s="75"/>
      <c r="AI1208" s="75"/>
      <c r="AJ1208" s="75"/>
      <c r="AK1208" s="75"/>
      <c r="AL1208" s="75"/>
      <c r="AM1208" s="75"/>
      <c r="AN1208" s="75"/>
      <c r="AO1208" s="75"/>
      <c r="AP1208" s="75"/>
      <c r="AQ1208" s="75"/>
      <c r="AR1208" s="75"/>
      <c r="AS1208" s="75"/>
      <c r="AT1208" s="75"/>
      <c r="AU1208" s="75"/>
      <c r="AV1208" s="75"/>
      <c r="AW1208" s="75"/>
      <c r="AX1208" s="75"/>
      <c r="AY1208" s="75"/>
      <c r="AZ1208" s="75"/>
      <c r="BA1208" s="75"/>
      <c r="BB1208" s="75"/>
      <c r="BC1208" s="75"/>
      <c r="BD1208" s="75"/>
      <c r="BE1208" s="75"/>
      <c r="BF1208" s="75"/>
      <c r="BG1208" s="75"/>
      <c r="BH1208" s="75"/>
      <c r="BI1208" s="75"/>
      <c r="BJ1208" s="75"/>
      <c r="BK1208" s="75"/>
      <c r="BL1208" s="75"/>
      <c r="BM1208" s="75"/>
      <c r="BN1208" s="75"/>
      <c r="BO1208" s="75"/>
      <c r="BP1208" s="75"/>
      <c r="BQ1208" s="75"/>
      <c r="BR1208" s="75"/>
      <c r="BS1208" s="75"/>
      <c r="BT1208" s="75"/>
      <c r="BU1208" s="75"/>
      <c r="BV1208" s="75"/>
      <c r="BW1208" s="75"/>
      <c r="BX1208" s="75"/>
      <c r="BY1208" s="75"/>
      <c r="BZ1208" s="75"/>
      <c r="CA1208" s="75"/>
      <c r="CB1208" s="75"/>
      <c r="CC1208" s="75"/>
      <c r="CD1208" s="75"/>
      <c r="CE1208" s="75"/>
      <c r="CF1208" s="75"/>
      <c r="CG1208" s="75"/>
      <c r="CH1208" s="75"/>
      <c r="CI1208" s="75"/>
      <c r="CJ1208" s="75"/>
      <c r="CK1208" s="75"/>
      <c r="CL1208" s="75"/>
      <c r="CM1208" s="75"/>
      <c r="CN1208" s="75"/>
      <c r="CO1208" s="75"/>
      <c r="CP1208" s="75"/>
      <c r="CQ1208" s="75"/>
      <c r="CR1208" s="75"/>
      <c r="CS1208" s="75"/>
      <c r="CT1208" s="75"/>
      <c r="CU1208" s="75"/>
      <c r="CV1208" s="75"/>
      <c r="CW1208" s="75"/>
      <c r="CX1208" s="75"/>
      <c r="CY1208" s="75"/>
      <c r="CZ1208" s="75"/>
      <c r="DA1208" s="75"/>
      <c r="DB1208" s="75"/>
      <c r="DC1208" s="75"/>
      <c r="DD1208" s="75"/>
      <c r="DE1208" s="75"/>
      <c r="DF1208" s="75"/>
      <c r="DG1208" s="75"/>
      <c r="DH1208" s="75"/>
      <c r="DI1208" s="75"/>
      <c r="DJ1208" s="75"/>
      <c r="DK1208" s="75"/>
      <c r="DL1208" s="75"/>
      <c r="DM1208" s="75"/>
      <c r="DN1208" s="75"/>
      <c r="DO1208" s="75"/>
      <c r="DP1208" s="75"/>
      <c r="DQ1208" s="75"/>
      <c r="DR1208" s="75"/>
      <c r="DS1208" s="75"/>
      <c r="DT1208" s="75"/>
      <c r="DU1208" s="75"/>
      <c r="DV1208" s="75"/>
      <c r="DW1208" s="75"/>
      <c r="DX1208" s="75"/>
      <c r="DY1208" s="75"/>
      <c r="DZ1208" s="75"/>
      <c r="EA1208" s="75"/>
      <c r="EB1208" s="75"/>
      <c r="EC1208" s="75"/>
      <c r="ED1208" s="75"/>
      <c r="EE1208" s="75"/>
      <c r="EF1208" s="75"/>
      <c r="EG1208" s="75"/>
      <c r="EH1208" s="75"/>
      <c r="EI1208" s="75"/>
      <c r="EJ1208" s="75"/>
      <c r="EK1208" s="75"/>
      <c r="EL1208" s="75"/>
      <c r="EM1208" s="75"/>
      <c r="EN1208" s="75"/>
      <c r="EO1208" s="75"/>
      <c r="EP1208" s="75"/>
      <c r="EQ1208" s="75"/>
      <c r="ER1208" s="75"/>
      <c r="ES1208" s="75"/>
      <c r="ET1208" s="75"/>
      <c r="EU1208" s="75"/>
      <c r="EV1208" s="75"/>
      <c r="EW1208" s="75"/>
      <c r="EX1208" s="75"/>
      <c r="EY1208" s="75"/>
      <c r="EZ1208" s="75"/>
      <c r="FA1208" s="75"/>
      <c r="FB1208" s="75"/>
      <c r="FC1208" s="75"/>
      <c r="FD1208" s="75"/>
      <c r="FE1208" s="75"/>
      <c r="FF1208" s="75"/>
      <c r="FG1208" s="75"/>
      <c r="FH1208" s="75"/>
      <c r="FI1208" s="75"/>
      <c r="FJ1208" s="75"/>
      <c r="FK1208" s="75"/>
      <c r="FL1208" s="75"/>
      <c r="FM1208" s="75"/>
      <c r="FN1208" s="75"/>
      <c r="FO1208" s="75"/>
      <c r="FP1208" s="75"/>
      <c r="FQ1208" s="75"/>
      <c r="FR1208" s="75"/>
      <c r="FS1208" s="75"/>
      <c r="FT1208" s="75"/>
      <c r="FU1208" s="75"/>
      <c r="FV1208" s="75"/>
      <c r="FW1208" s="75"/>
      <c r="FX1208" s="75"/>
      <c r="FY1208" s="75"/>
      <c r="FZ1208" s="75"/>
      <c r="GA1208" s="75"/>
      <c r="GB1208" s="75"/>
      <c r="GC1208" s="75"/>
      <c r="GD1208" s="75"/>
      <c r="GE1208" s="75"/>
      <c r="GF1208" s="75"/>
      <c r="GG1208" s="75"/>
      <c r="GH1208" s="75"/>
      <c r="GI1208" s="75"/>
      <c r="GJ1208" s="75"/>
      <c r="GK1208" s="75"/>
      <c r="GL1208" s="75"/>
      <c r="GM1208" s="75"/>
      <c r="GN1208" s="75"/>
      <c r="GO1208" s="75"/>
      <c r="GP1208" s="75"/>
      <c r="GQ1208" s="75"/>
      <c r="GR1208" s="75"/>
      <c r="GS1208" s="75"/>
      <c r="GT1208" s="75"/>
      <c r="GU1208" s="75"/>
      <c r="GV1208" s="75"/>
      <c r="GW1208" s="75"/>
      <c r="GX1208" s="75"/>
      <c r="GY1208" s="75"/>
      <c r="GZ1208" s="75"/>
      <c r="HA1208" s="75"/>
      <c r="HB1208" s="75"/>
      <c r="HC1208" s="75"/>
      <c r="HD1208" s="75"/>
      <c r="HE1208" s="75"/>
      <c r="HF1208" s="75"/>
      <c r="HG1208" s="75"/>
      <c r="HH1208" s="75"/>
      <c r="HI1208" s="75"/>
      <c r="HJ1208" s="75"/>
      <c r="HK1208" s="75"/>
      <c r="HL1208" s="75"/>
      <c r="HM1208" s="75"/>
      <c r="HN1208" s="75"/>
      <c r="HO1208" s="75"/>
      <c r="HP1208" s="75"/>
      <c r="HQ1208" s="75"/>
      <c r="HR1208" s="75"/>
      <c r="HS1208" s="75"/>
      <c r="HT1208" s="75"/>
      <c r="HU1208" s="75"/>
      <c r="HV1208" s="75"/>
      <c r="HW1208" s="75"/>
      <c r="HX1208" s="75"/>
      <c r="HY1208" s="75"/>
      <c r="HZ1208" s="75"/>
      <c r="IA1208" s="75"/>
      <c r="IB1208" s="75"/>
      <c r="IC1208" s="75"/>
      <c r="ID1208" s="75"/>
      <c r="IE1208" s="75"/>
      <c r="IF1208" s="75"/>
      <c r="IG1208" s="75"/>
      <c r="IH1208" s="75"/>
      <c r="II1208" s="75"/>
      <c r="IJ1208" s="75"/>
      <c r="IK1208" s="75"/>
      <c r="IL1208" s="75"/>
      <c r="IM1208" s="75"/>
      <c r="IN1208" s="75"/>
      <c r="IO1208" s="75"/>
      <c r="IP1208" s="75"/>
      <c r="IQ1208" s="75"/>
      <c r="IR1208" s="75"/>
      <c r="IS1208" s="75"/>
      <c r="IT1208" s="75"/>
      <c r="IU1208" s="75"/>
      <c r="IV1208" s="75"/>
      <c r="IW1208" s="75"/>
      <c r="IX1208" s="75"/>
      <c r="IY1208" s="75"/>
      <c r="IZ1208" s="75"/>
      <c r="JA1208" s="75"/>
      <c r="JB1208" s="75"/>
      <c r="JC1208" s="75"/>
      <c r="JD1208" s="75"/>
      <c r="JE1208" s="75"/>
      <c r="JF1208" s="75"/>
      <c r="JG1208" s="75"/>
      <c r="JH1208" s="75"/>
      <c r="JI1208" s="75"/>
      <c r="JJ1208" s="75"/>
      <c r="JK1208" s="75"/>
      <c r="JL1208" s="75"/>
      <c r="JM1208" s="75"/>
      <c r="JN1208" s="75"/>
      <c r="JO1208" s="75"/>
      <c r="JP1208" s="75"/>
      <c r="JQ1208" s="75"/>
      <c r="JR1208" s="75"/>
      <c r="JS1208" s="75"/>
      <c r="JT1208" s="75"/>
      <c r="JU1208" s="75"/>
      <c r="JV1208" s="75"/>
      <c r="JW1208" s="75"/>
      <c r="JX1208" s="75"/>
      <c r="JY1208" s="75"/>
      <c r="JZ1208" s="75"/>
      <c r="KA1208" s="75"/>
      <c r="KB1208" s="75"/>
      <c r="KC1208" s="75"/>
      <c r="KD1208" s="75"/>
      <c r="KE1208" s="75"/>
      <c r="KF1208" s="75"/>
      <c r="KG1208" s="75"/>
      <c r="KH1208" s="75"/>
      <c r="KI1208" s="75"/>
      <c r="KJ1208" s="75"/>
      <c r="KK1208" s="75"/>
      <c r="KL1208" s="75"/>
      <c r="KM1208" s="75"/>
      <c r="KN1208" s="75"/>
      <c r="KO1208" s="75"/>
      <c r="KP1208" s="75"/>
      <c r="KQ1208" s="75"/>
      <c r="KR1208" s="75"/>
      <c r="KS1208" s="75"/>
      <c r="KT1208" s="75"/>
      <c r="KU1208" s="75"/>
      <c r="KV1208" s="75"/>
      <c r="KW1208" s="75"/>
      <c r="KX1208" s="75"/>
      <c r="KY1208" s="75"/>
      <c r="KZ1208" s="75"/>
      <c r="LA1208" s="75"/>
      <c r="LB1208" s="75"/>
      <c r="LC1208" s="75"/>
      <c r="LD1208" s="75"/>
      <c r="LE1208" s="75"/>
      <c r="LF1208" s="75"/>
      <c r="LG1208" s="75"/>
      <c r="LH1208" s="75"/>
      <c r="LI1208" s="75"/>
      <c r="LJ1208" s="75"/>
      <c r="LK1208" s="75"/>
      <c r="LL1208" s="75"/>
      <c r="LM1208" s="75"/>
      <c r="LN1208" s="75"/>
      <c r="LO1208" s="75"/>
      <c r="LP1208" s="75"/>
      <c r="LQ1208" s="75"/>
      <c r="LR1208" s="75"/>
      <c r="LS1208" s="75"/>
      <c r="LT1208" s="75"/>
      <c r="LU1208" s="75"/>
      <c r="LV1208" s="75"/>
      <c r="LW1208" s="75"/>
      <c r="LX1208" s="75"/>
      <c r="LY1208" s="75"/>
      <c r="LZ1208" s="75"/>
      <c r="MA1208" s="75"/>
      <c r="MB1208" s="75"/>
      <c r="MC1208" s="75"/>
      <c r="MD1208" s="75"/>
      <c r="ME1208" s="75"/>
      <c r="MF1208" s="75"/>
      <c r="MG1208" s="75"/>
      <c r="MH1208" s="75"/>
      <c r="MI1208" s="75"/>
      <c r="MJ1208" s="75"/>
      <c r="MK1208" s="75"/>
      <c r="ML1208" s="75"/>
      <c r="MM1208" s="75"/>
      <c r="MN1208" s="75"/>
      <c r="MO1208" s="75"/>
      <c r="MP1208" s="75"/>
      <c r="MQ1208" s="75"/>
      <c r="MR1208" s="75"/>
      <c r="MS1208" s="75"/>
      <c r="MT1208" s="75"/>
      <c r="MU1208" s="75"/>
      <c r="MV1208" s="75"/>
      <c r="MW1208" s="75"/>
      <c r="MX1208" s="75"/>
      <c r="MY1208" s="75"/>
      <c r="MZ1208" s="75"/>
      <c r="NA1208" s="75"/>
      <c r="NB1208" s="75"/>
      <c r="NC1208" s="75"/>
      <c r="ND1208" s="75"/>
      <c r="NE1208" s="75"/>
      <c r="NF1208" s="75"/>
      <c r="NG1208" s="75"/>
      <c r="NH1208" s="75"/>
      <c r="NI1208" s="75"/>
      <c r="NJ1208" s="75"/>
      <c r="NK1208" s="75"/>
      <c r="NL1208" s="75"/>
      <c r="NM1208" s="75"/>
      <c r="NN1208" s="75"/>
      <c r="NO1208" s="75"/>
      <c r="NP1208" s="75"/>
      <c r="NQ1208" s="75"/>
      <c r="NR1208" s="75"/>
      <c r="NS1208" s="75"/>
      <c r="NT1208" s="75"/>
      <c r="NU1208" s="75"/>
      <c r="NV1208" s="75"/>
      <c r="NW1208" s="75"/>
      <c r="NX1208" s="75"/>
      <c r="NY1208" s="75"/>
      <c r="NZ1208" s="75"/>
      <c r="OA1208" s="75"/>
      <c r="OB1208" s="75"/>
      <c r="OC1208" s="75"/>
      <c r="OD1208" s="75"/>
      <c r="OE1208" s="75"/>
      <c r="OF1208" s="75"/>
      <c r="OG1208" s="75"/>
      <c r="OH1208" s="75"/>
      <c r="OI1208" s="75"/>
      <c r="OJ1208" s="75"/>
      <c r="OK1208" s="75"/>
      <c r="OL1208" s="75"/>
      <c r="OM1208" s="75"/>
      <c r="ON1208" s="75"/>
      <c r="OO1208" s="75"/>
      <c r="OP1208" s="75"/>
      <c r="OQ1208" s="75"/>
      <c r="OR1208" s="75"/>
      <c r="OS1208" s="75"/>
      <c r="OT1208" s="75"/>
      <c r="OU1208" s="75"/>
      <c r="OV1208" s="75"/>
      <c r="OW1208" s="75"/>
      <c r="OX1208" s="75"/>
      <c r="OY1208" s="75"/>
      <c r="OZ1208" s="75"/>
      <c r="PA1208" s="75"/>
      <c r="PB1208" s="75"/>
      <c r="PC1208" s="75"/>
      <c r="PD1208" s="75"/>
      <c r="PE1208" s="75"/>
      <c r="PF1208" s="75"/>
      <c r="PG1208" s="75"/>
      <c r="PH1208" s="75"/>
      <c r="PI1208" s="75"/>
      <c r="PJ1208" s="75"/>
      <c r="PK1208" s="75"/>
      <c r="PL1208" s="75"/>
      <c r="PM1208" s="75"/>
      <c r="PN1208" s="75"/>
      <c r="PO1208" s="75"/>
      <c r="PP1208" s="75"/>
      <c r="PQ1208" s="75"/>
      <c r="PR1208" s="75"/>
      <c r="PS1208" s="75"/>
      <c r="PT1208" s="75"/>
      <c r="PU1208" s="75"/>
      <c r="PV1208" s="75"/>
      <c r="PW1208" s="75"/>
      <c r="PX1208" s="75"/>
      <c r="PY1208" s="75"/>
      <c r="PZ1208" s="75"/>
      <c r="QA1208" s="75"/>
      <c r="QB1208" s="75"/>
      <c r="QC1208" s="75"/>
      <c r="QD1208" s="75"/>
      <c r="QE1208" s="75"/>
      <c r="QF1208" s="75"/>
      <c r="QG1208" s="75"/>
      <c r="QH1208" s="75"/>
      <c r="QI1208" s="75"/>
      <c r="QJ1208" s="75"/>
      <c r="QK1208" s="75"/>
      <c r="QL1208" s="75"/>
      <c r="QM1208" s="75"/>
      <c r="QN1208" s="75"/>
      <c r="QO1208" s="75"/>
      <c r="QP1208" s="75"/>
      <c r="QQ1208" s="75"/>
      <c r="QR1208" s="75"/>
      <c r="QS1208" s="75"/>
      <c r="QT1208" s="75"/>
      <c r="QU1208" s="75"/>
      <c r="QV1208" s="75"/>
      <c r="QW1208" s="75"/>
      <c r="QX1208" s="75"/>
      <c r="QY1208" s="75"/>
      <c r="QZ1208" s="75"/>
      <c r="RA1208" s="75"/>
      <c r="RB1208" s="75"/>
      <c r="RC1208" s="75"/>
      <c r="RD1208" s="75"/>
      <c r="RE1208" s="75"/>
      <c r="RF1208" s="75"/>
      <c r="RG1208" s="75"/>
      <c r="RH1208" s="75"/>
      <c r="RI1208" s="75"/>
      <c r="RJ1208" s="75"/>
      <c r="RK1208" s="75"/>
      <c r="RL1208" s="75"/>
      <c r="RM1208" s="75"/>
      <c r="RN1208" s="75"/>
      <c r="RO1208" s="75"/>
      <c r="RP1208" s="75"/>
      <c r="RQ1208" s="75"/>
      <c r="RR1208" s="75"/>
      <c r="RS1208" s="75"/>
      <c r="RT1208" s="75"/>
      <c r="RU1208" s="75"/>
      <c r="RV1208" s="75"/>
      <c r="RW1208" s="75"/>
      <c r="RX1208" s="75"/>
      <c r="RY1208" s="75"/>
      <c r="RZ1208" s="75"/>
      <c r="SA1208" s="75"/>
      <c r="SB1208" s="75"/>
      <c r="SC1208" s="75"/>
      <c r="SD1208" s="75"/>
      <c r="SE1208" s="75"/>
      <c r="SF1208" s="75"/>
      <c r="SG1208" s="75"/>
      <c r="SH1208" s="75"/>
      <c r="SI1208" s="75"/>
      <c r="SJ1208" s="75"/>
      <c r="SK1208" s="75"/>
      <c r="SL1208" s="75"/>
      <c r="SM1208" s="75"/>
      <c r="SN1208" s="75"/>
      <c r="SO1208" s="75"/>
      <c r="SP1208" s="75"/>
      <c r="SQ1208" s="75"/>
      <c r="SR1208" s="75"/>
      <c r="SS1208" s="75"/>
      <c r="ST1208" s="75"/>
      <c r="SU1208" s="75"/>
      <c r="SV1208" s="75"/>
      <c r="SW1208" s="75"/>
      <c r="SX1208" s="75"/>
      <c r="SY1208" s="75"/>
      <c r="SZ1208" s="75"/>
      <c r="TA1208" s="75"/>
      <c r="TB1208" s="75"/>
      <c r="TC1208" s="75"/>
      <c r="TD1208" s="75"/>
      <c r="TE1208" s="75"/>
      <c r="TF1208" s="75"/>
      <c r="TG1208" s="75"/>
      <c r="TH1208" s="75"/>
      <c r="TI1208" s="75"/>
      <c r="TJ1208" s="75"/>
      <c r="TK1208" s="75"/>
      <c r="TL1208" s="75"/>
      <c r="TM1208" s="75"/>
      <c r="TN1208" s="75"/>
      <c r="TO1208" s="75"/>
      <c r="TP1208" s="75"/>
      <c r="TQ1208" s="75"/>
      <c r="TR1208" s="75"/>
      <c r="TS1208" s="75"/>
      <c r="TT1208" s="75"/>
      <c r="TU1208" s="75"/>
      <c r="TV1208" s="75"/>
      <c r="TW1208" s="75"/>
      <c r="TX1208" s="75"/>
      <c r="TY1208" s="75"/>
      <c r="TZ1208" s="75"/>
      <c r="UA1208" s="75"/>
      <c r="UB1208" s="75"/>
      <c r="UC1208" s="75"/>
      <c r="UD1208" s="75"/>
      <c r="UE1208" s="75"/>
      <c r="UF1208" s="75"/>
      <c r="UG1208" s="75"/>
      <c r="UH1208" s="75"/>
      <c r="UI1208" s="75"/>
      <c r="UJ1208" s="75"/>
      <c r="UK1208" s="75"/>
      <c r="UL1208" s="75"/>
      <c r="UM1208" s="75"/>
      <c r="UN1208" s="75"/>
      <c r="UO1208" s="75"/>
      <c r="UP1208" s="75"/>
      <c r="UQ1208" s="75"/>
      <c r="UR1208" s="75"/>
      <c r="US1208" s="75"/>
      <c r="UT1208" s="75"/>
      <c r="UU1208" s="75"/>
      <c r="UV1208" s="75"/>
      <c r="UW1208" s="75"/>
      <c r="UX1208" s="75"/>
      <c r="UY1208" s="75"/>
      <c r="UZ1208" s="75"/>
      <c r="VA1208" s="75"/>
      <c r="VB1208" s="75"/>
      <c r="VC1208" s="75"/>
      <c r="VD1208" s="75"/>
      <c r="VE1208" s="75"/>
      <c r="VF1208" s="75"/>
      <c r="VG1208" s="75"/>
      <c r="VH1208" s="75"/>
      <c r="VI1208" s="75"/>
      <c r="VJ1208" s="75"/>
      <c r="VK1208" s="75"/>
      <c r="VL1208" s="75"/>
      <c r="VM1208" s="75"/>
      <c r="VN1208" s="75"/>
      <c r="VO1208" s="75"/>
      <c r="VP1208" s="75"/>
      <c r="VQ1208" s="75"/>
      <c r="VR1208" s="75"/>
      <c r="VS1208" s="75"/>
      <c r="VT1208" s="75"/>
      <c r="VU1208" s="75"/>
      <c r="VV1208" s="75"/>
      <c r="VW1208" s="75"/>
      <c r="VX1208" s="75"/>
      <c r="VY1208" s="75"/>
      <c r="VZ1208" s="75"/>
      <c r="WA1208" s="75"/>
      <c r="WB1208" s="75"/>
      <c r="WC1208" s="75"/>
      <c r="WD1208" s="75"/>
      <c r="WE1208" s="75"/>
      <c r="WF1208" s="75"/>
      <c r="WG1208" s="75"/>
      <c r="WH1208" s="75"/>
      <c r="WI1208" s="75"/>
      <c r="WJ1208" s="75"/>
      <c r="WK1208" s="75"/>
      <c r="WL1208" s="75"/>
      <c r="WM1208" s="75"/>
      <c r="WN1208" s="75"/>
      <c r="WO1208" s="75"/>
      <c r="WP1208" s="75"/>
      <c r="WQ1208" s="75"/>
      <c r="WR1208" s="75"/>
      <c r="WS1208" s="75"/>
      <c r="WT1208" s="75"/>
      <c r="WU1208" s="75"/>
      <c r="WV1208" s="75"/>
      <c r="WW1208" s="75"/>
      <c r="WX1208" s="75"/>
      <c r="WY1208" s="75"/>
      <c r="WZ1208" s="75"/>
      <c r="XA1208" s="75"/>
      <c r="XB1208" s="75"/>
      <c r="XC1208" s="75"/>
      <c r="XD1208" s="75"/>
      <c r="XE1208" s="75"/>
      <c r="XF1208" s="75"/>
      <c r="XG1208" s="75"/>
      <c r="XH1208" s="75"/>
      <c r="XI1208" s="75"/>
      <c r="XJ1208" s="75"/>
      <c r="XK1208" s="75"/>
      <c r="XL1208" s="75"/>
      <c r="XM1208" s="75"/>
      <c r="XN1208" s="75"/>
      <c r="XO1208" s="75"/>
      <c r="XP1208" s="75"/>
      <c r="XQ1208" s="75"/>
      <c r="XR1208" s="75"/>
      <c r="XS1208" s="75"/>
      <c r="XT1208" s="75"/>
      <c r="XU1208" s="75"/>
      <c r="XV1208" s="75"/>
      <c r="XW1208" s="75"/>
      <c r="XX1208" s="75"/>
      <c r="XY1208" s="75"/>
      <c r="XZ1208" s="75"/>
      <c r="YA1208" s="75"/>
      <c r="YB1208" s="75"/>
      <c r="YC1208" s="75"/>
      <c r="YD1208" s="75"/>
      <c r="YE1208" s="75"/>
      <c r="YF1208" s="75"/>
      <c r="YG1208" s="75"/>
      <c r="YH1208" s="75"/>
      <c r="YI1208" s="75"/>
      <c r="YJ1208" s="75"/>
      <c r="YK1208" s="75"/>
      <c r="YL1208" s="75"/>
      <c r="YM1208" s="75"/>
      <c r="YN1208" s="75"/>
      <c r="YO1208" s="75"/>
      <c r="YP1208" s="75"/>
      <c r="YQ1208" s="75"/>
      <c r="YR1208" s="75"/>
      <c r="YS1208" s="75"/>
      <c r="YT1208" s="75"/>
      <c r="YU1208" s="75"/>
      <c r="YV1208" s="75"/>
      <c r="YW1208" s="75"/>
      <c r="YX1208" s="75"/>
      <c r="YY1208" s="75"/>
      <c r="YZ1208" s="75"/>
      <c r="ZA1208" s="75"/>
      <c r="ZB1208" s="75"/>
      <c r="ZC1208" s="75"/>
      <c r="ZD1208" s="75"/>
      <c r="ZE1208" s="75"/>
      <c r="ZF1208" s="75"/>
      <c r="ZG1208" s="75"/>
      <c r="ZH1208" s="75"/>
      <c r="ZI1208" s="75"/>
      <c r="ZJ1208" s="75"/>
      <c r="ZK1208" s="75"/>
      <c r="ZL1208" s="75"/>
      <c r="ZM1208" s="75"/>
      <c r="ZN1208" s="75"/>
      <c r="ZO1208" s="75"/>
      <c r="ZP1208" s="75"/>
      <c r="ZQ1208" s="75"/>
      <c r="ZR1208" s="75"/>
      <c r="ZS1208" s="75"/>
      <c r="ZT1208" s="75"/>
      <c r="ZU1208" s="75"/>
      <c r="ZV1208" s="75"/>
      <c r="ZW1208" s="75"/>
      <c r="ZX1208" s="75"/>
      <c r="ZY1208" s="75"/>
      <c r="ZZ1208" s="75"/>
      <c r="AAA1208" s="75"/>
      <c r="AAB1208" s="75"/>
      <c r="AAC1208" s="75"/>
      <c r="AAD1208" s="75"/>
      <c r="AAE1208" s="75"/>
      <c r="AAF1208" s="75"/>
      <c r="AAG1208" s="75"/>
      <c r="AAH1208" s="75"/>
      <c r="AAI1208" s="75"/>
      <c r="AAJ1208" s="75"/>
      <c r="AAK1208" s="75"/>
      <c r="AAL1208" s="75"/>
      <c r="AAM1208" s="75"/>
      <c r="AAN1208" s="75"/>
      <c r="AAO1208" s="75"/>
      <c r="AAP1208" s="75"/>
      <c r="AAQ1208" s="75"/>
      <c r="AAR1208" s="75"/>
      <c r="AAS1208" s="75"/>
      <c r="AAT1208" s="75"/>
      <c r="AAU1208" s="75"/>
      <c r="AAV1208" s="75"/>
      <c r="AAW1208" s="75"/>
      <c r="AAX1208" s="75"/>
      <c r="AAY1208" s="75"/>
      <c r="AAZ1208" s="75"/>
      <c r="ABA1208" s="75"/>
      <c r="ABB1208" s="75"/>
      <c r="ABC1208" s="75"/>
      <c r="ABD1208" s="75"/>
      <c r="ABE1208" s="75"/>
      <c r="ABF1208" s="75"/>
      <c r="ABG1208" s="75"/>
      <c r="ABH1208" s="75"/>
      <c r="ABI1208" s="75"/>
      <c r="ABJ1208" s="75"/>
      <c r="ABK1208" s="75"/>
      <c r="ABL1208" s="75"/>
      <c r="ABM1208" s="75"/>
      <c r="ABN1208" s="75"/>
      <c r="ABO1208" s="75"/>
      <c r="ABP1208" s="75"/>
      <c r="ABQ1208" s="75"/>
      <c r="ABR1208" s="75"/>
      <c r="ABS1208" s="75"/>
      <c r="ABT1208" s="75"/>
      <c r="ABU1208" s="75"/>
      <c r="ABV1208" s="75"/>
      <c r="ABW1208" s="75"/>
      <c r="ABX1208" s="75"/>
      <c r="ABY1208" s="75"/>
      <c r="ABZ1208" s="75"/>
      <c r="ACA1208" s="75"/>
      <c r="ACB1208" s="75"/>
      <c r="ACC1208" s="75"/>
      <c r="ACD1208" s="75"/>
      <c r="ACE1208" s="75"/>
      <c r="ACF1208" s="75"/>
      <c r="ACG1208" s="75"/>
      <c r="ACH1208" s="75"/>
      <c r="ACI1208" s="75"/>
      <c r="ACJ1208" s="75"/>
      <c r="ACK1208" s="75"/>
      <c r="ACL1208" s="75"/>
      <c r="ACM1208" s="75"/>
      <c r="ACN1208" s="75"/>
      <c r="ACO1208" s="75"/>
      <c r="ACP1208" s="75"/>
      <c r="ACQ1208" s="75"/>
      <c r="ACR1208" s="75"/>
      <c r="ACS1208" s="75"/>
      <c r="ACT1208" s="75"/>
      <c r="ACU1208" s="75"/>
      <c r="ACV1208" s="75"/>
      <c r="ACW1208" s="75"/>
      <c r="ACX1208" s="75"/>
      <c r="ACY1208" s="75"/>
      <c r="ACZ1208" s="75"/>
      <c r="ADA1208" s="75"/>
      <c r="ADB1208" s="75"/>
      <c r="ADC1208" s="75"/>
      <c r="ADD1208" s="75"/>
      <c r="ADE1208" s="75"/>
      <c r="ADF1208" s="75"/>
      <c r="ADG1208" s="75"/>
      <c r="ADH1208" s="75"/>
      <c r="ADI1208" s="75"/>
      <c r="ADJ1208" s="75"/>
      <c r="ADK1208" s="75"/>
      <c r="ADL1208" s="75"/>
      <c r="ADM1208" s="75"/>
      <c r="ADN1208" s="75"/>
      <c r="ADO1208" s="75"/>
      <c r="ADP1208" s="75"/>
      <c r="ADQ1208" s="75"/>
      <c r="ADR1208" s="75"/>
      <c r="ADS1208" s="75"/>
      <c r="ADT1208" s="75"/>
      <c r="ADU1208" s="75"/>
      <c r="ADV1208" s="75"/>
      <c r="ADW1208" s="75"/>
      <c r="ADX1208" s="75"/>
      <c r="ADY1208" s="75"/>
      <c r="ADZ1208" s="75"/>
      <c r="AEA1208" s="75"/>
      <c r="AEB1208" s="75"/>
      <c r="AEC1208" s="75"/>
      <c r="AED1208" s="75"/>
      <c r="AEE1208" s="75"/>
      <c r="AEF1208" s="75"/>
      <c r="AEG1208" s="75"/>
      <c r="AEH1208" s="75"/>
      <c r="AEI1208" s="75"/>
      <c r="AEJ1208" s="75"/>
      <c r="AEK1208" s="75"/>
      <c r="AEL1208" s="75"/>
      <c r="AEM1208" s="75"/>
      <c r="AEN1208" s="75"/>
      <c r="AEO1208" s="75"/>
      <c r="AEP1208" s="75"/>
      <c r="AEQ1208" s="75"/>
      <c r="AER1208" s="75"/>
      <c r="AES1208" s="75"/>
      <c r="AET1208" s="75"/>
      <c r="AEU1208" s="75"/>
      <c r="AEV1208" s="75"/>
      <c r="AEW1208" s="75"/>
      <c r="AEX1208" s="75"/>
      <c r="AEY1208" s="75"/>
      <c r="AEZ1208" s="75"/>
      <c r="AFA1208" s="75"/>
      <c r="AFB1208" s="75"/>
      <c r="AFC1208" s="75"/>
      <c r="AFD1208" s="75"/>
      <c r="AFE1208" s="75"/>
      <c r="AFF1208" s="75"/>
      <c r="AFG1208" s="75"/>
      <c r="AFH1208" s="75"/>
      <c r="AFI1208" s="75"/>
      <c r="AFJ1208" s="75"/>
      <c r="AFK1208" s="75"/>
      <c r="AFL1208" s="75"/>
      <c r="AFM1208" s="75"/>
      <c r="AFN1208" s="75"/>
      <c r="AFO1208" s="75"/>
      <c r="AFP1208" s="75"/>
      <c r="AFQ1208" s="75"/>
      <c r="AFR1208" s="75"/>
      <c r="AFS1208" s="75"/>
      <c r="AFT1208" s="75"/>
      <c r="AFU1208" s="75"/>
      <c r="AFV1208" s="75"/>
      <c r="AFW1208" s="75"/>
      <c r="AFX1208" s="75"/>
      <c r="AFY1208" s="75"/>
      <c r="AFZ1208" s="75"/>
      <c r="AGA1208" s="75"/>
      <c r="AGB1208" s="75"/>
      <c r="AGC1208" s="75"/>
      <c r="AGD1208" s="75"/>
      <c r="AGE1208" s="75"/>
      <c r="AGF1208" s="75"/>
      <c r="AGG1208" s="75"/>
      <c r="AGH1208" s="75"/>
      <c r="AGI1208" s="75"/>
      <c r="AGJ1208" s="75"/>
      <c r="AGK1208" s="75"/>
      <c r="AGL1208" s="75"/>
      <c r="AGM1208" s="75"/>
      <c r="AGN1208" s="75"/>
      <c r="AGO1208" s="75"/>
      <c r="AGP1208" s="75"/>
      <c r="AGQ1208" s="75"/>
      <c r="AGR1208" s="75"/>
      <c r="AGS1208" s="75"/>
      <c r="AGT1208" s="75"/>
      <c r="AGU1208" s="75"/>
      <c r="AGV1208" s="75"/>
      <c r="AGW1208" s="75"/>
      <c r="AGX1208" s="75"/>
      <c r="AGY1208" s="75"/>
      <c r="AGZ1208" s="75"/>
      <c r="AHA1208" s="75"/>
      <c r="AHB1208" s="75"/>
      <c r="AHC1208" s="75"/>
      <c r="AHD1208" s="75"/>
      <c r="AHE1208" s="75"/>
      <c r="AHF1208" s="75"/>
      <c r="AHG1208" s="75"/>
      <c r="AHH1208" s="75"/>
      <c r="AHI1208" s="75"/>
      <c r="AHJ1208" s="75"/>
      <c r="AHK1208" s="75"/>
      <c r="AHL1208" s="75"/>
      <c r="AHM1208" s="75"/>
      <c r="AHN1208" s="75"/>
      <c r="AHO1208" s="75"/>
      <c r="AHP1208" s="75"/>
      <c r="AHQ1208" s="75"/>
      <c r="AHR1208" s="75"/>
      <c r="AHS1208" s="75"/>
      <c r="AHT1208" s="75"/>
      <c r="AHU1208" s="75"/>
      <c r="AHV1208" s="75"/>
      <c r="AHW1208" s="75"/>
      <c r="AHX1208" s="75"/>
      <c r="AHY1208" s="75"/>
      <c r="AHZ1208" s="75"/>
      <c r="AIA1208" s="75"/>
      <c r="AIB1208" s="75"/>
      <c r="AIC1208" s="75"/>
      <c r="AID1208" s="75"/>
      <c r="AIE1208" s="75"/>
      <c r="AIF1208" s="75"/>
      <c r="AIG1208" s="75"/>
      <c r="AIH1208" s="75"/>
      <c r="AII1208" s="75"/>
      <c r="AIJ1208" s="75"/>
      <c r="AIK1208" s="75"/>
      <c r="AIL1208" s="75"/>
      <c r="AIM1208" s="75"/>
      <c r="AIN1208" s="75"/>
      <c r="AIO1208" s="75"/>
      <c r="AIP1208" s="75"/>
      <c r="AIQ1208" s="75"/>
      <c r="AIR1208" s="75"/>
      <c r="AIS1208" s="75"/>
      <c r="AIT1208" s="75"/>
      <c r="AIU1208" s="75"/>
      <c r="AIV1208" s="75"/>
      <c r="AIW1208" s="75"/>
      <c r="AIX1208" s="75"/>
      <c r="AIY1208" s="75"/>
      <c r="AIZ1208" s="75"/>
      <c r="AJA1208" s="75"/>
      <c r="AJB1208" s="75"/>
      <c r="AJC1208" s="75"/>
      <c r="AJD1208" s="75"/>
      <c r="AJE1208" s="75"/>
      <c r="AJF1208" s="75"/>
      <c r="AJG1208" s="75"/>
      <c r="AJH1208" s="75"/>
      <c r="AJI1208" s="75"/>
      <c r="AJJ1208" s="75"/>
      <c r="AJK1208" s="75"/>
      <c r="AJL1208" s="75"/>
      <c r="AJM1208" s="75"/>
      <c r="AJN1208" s="75"/>
      <c r="AJO1208" s="75"/>
      <c r="AJP1208" s="75"/>
      <c r="AJQ1208" s="75"/>
      <c r="AJR1208" s="75"/>
      <c r="AJS1208" s="75"/>
      <c r="AJT1208" s="75"/>
      <c r="AJU1208" s="75"/>
      <c r="AJV1208" s="75"/>
      <c r="AJW1208" s="75"/>
      <c r="AJX1208" s="75"/>
      <c r="AJY1208" s="75"/>
      <c r="AJZ1208" s="75"/>
      <c r="AKA1208" s="75"/>
      <c r="AKB1208" s="75"/>
      <c r="AKC1208" s="75"/>
      <c r="AKD1208" s="75"/>
      <c r="AKE1208" s="75"/>
      <c r="AKF1208" s="75"/>
      <c r="AKG1208" s="75"/>
      <c r="AKH1208" s="75"/>
      <c r="AKI1208" s="75"/>
      <c r="AKJ1208" s="75"/>
      <c r="AKK1208" s="75"/>
      <c r="AKL1208" s="75"/>
      <c r="AKM1208" s="75"/>
      <c r="AKN1208" s="75"/>
      <c r="AKO1208" s="75"/>
      <c r="AKP1208" s="75"/>
      <c r="AKQ1208" s="75"/>
      <c r="AKR1208" s="75"/>
      <c r="AKS1208" s="75"/>
      <c r="AKT1208" s="75"/>
      <c r="AKU1208" s="75"/>
      <c r="AKV1208" s="75"/>
      <c r="AKW1208" s="75"/>
      <c r="AKX1208" s="75"/>
      <c r="AKY1208" s="75"/>
      <c r="AKZ1208" s="75"/>
      <c r="ALA1208" s="75"/>
      <c r="ALB1208" s="75"/>
      <c r="ALC1208" s="75"/>
      <c r="ALD1208" s="75"/>
      <c r="ALE1208" s="75"/>
      <c r="ALF1208" s="75"/>
      <c r="ALG1208" s="75"/>
      <c r="ALH1208" s="75"/>
      <c r="ALI1208" s="75"/>
      <c r="ALJ1208" s="75"/>
      <c r="ALK1208" s="75"/>
      <c r="ALL1208" s="75"/>
      <c r="ALM1208" s="75"/>
      <c r="ALN1208" s="75"/>
      <c r="ALO1208" s="75"/>
    </row>
    <row r="1209" spans="1:1003" s="239" customFormat="1" ht="14.55" customHeight="1" outlineLevel="1" x14ac:dyDescent="0.25">
      <c r="A1209" s="230" t="s">
        <v>1422</v>
      </c>
      <c r="B1209" s="343" t="str">
        <f>"29.0304"</f>
        <v>29.0304</v>
      </c>
      <c r="C1209" s="75" t="s">
        <v>3527</v>
      </c>
      <c r="D1209" s="127" t="s">
        <v>3528</v>
      </c>
      <c r="E1209" s="232"/>
      <c r="F1209" s="75"/>
      <c r="G1209" s="75"/>
      <c r="H1209" s="75"/>
      <c r="I1209" s="75"/>
      <c r="J1209" s="75"/>
      <c r="K1209" s="75"/>
      <c r="L1209" s="75"/>
      <c r="M1209" s="75"/>
      <c r="N1209" s="75"/>
      <c r="O1209" s="75"/>
      <c r="P1209" s="75"/>
      <c r="Q1209" s="75"/>
      <c r="R1209" s="75"/>
      <c r="S1209" s="75"/>
      <c r="T1209" s="75"/>
      <c r="U1209" s="75"/>
      <c r="V1209" s="75"/>
      <c r="W1209" s="75"/>
      <c r="X1209" s="75"/>
      <c r="Y1209" s="75"/>
      <c r="Z1209" s="75"/>
      <c r="AA1209" s="75"/>
      <c r="AB1209" s="75"/>
      <c r="AC1209" s="75"/>
      <c r="AD1209" s="75"/>
      <c r="AE1209" s="75"/>
      <c r="AF1209" s="75"/>
      <c r="AG1209" s="75"/>
      <c r="AH1209" s="75"/>
      <c r="AI1209" s="75"/>
      <c r="AJ1209" s="75"/>
      <c r="AK1209" s="75"/>
      <c r="AL1209" s="75"/>
      <c r="AM1209" s="75"/>
      <c r="AN1209" s="75"/>
      <c r="AO1209" s="75"/>
      <c r="AP1209" s="75"/>
      <c r="AQ1209" s="75"/>
      <c r="AR1209" s="75"/>
      <c r="AS1209" s="75"/>
      <c r="AT1209" s="75"/>
      <c r="AU1209" s="75"/>
      <c r="AV1209" s="75"/>
      <c r="AW1209" s="75"/>
      <c r="AX1209" s="75"/>
      <c r="AY1209" s="75"/>
      <c r="AZ1209" s="75"/>
      <c r="BA1209" s="75"/>
      <c r="BB1209" s="75"/>
      <c r="BC1209" s="75"/>
      <c r="BD1209" s="75"/>
      <c r="BE1209" s="75"/>
      <c r="BF1209" s="75"/>
      <c r="BG1209" s="75"/>
      <c r="BH1209" s="75"/>
      <c r="BI1209" s="75"/>
      <c r="BJ1209" s="75"/>
      <c r="BK1209" s="75"/>
      <c r="BL1209" s="75"/>
      <c r="BM1209" s="75"/>
      <c r="BN1209" s="75"/>
      <c r="BO1209" s="75"/>
      <c r="BP1209" s="75"/>
      <c r="BQ1209" s="75"/>
      <c r="BR1209" s="75"/>
      <c r="BS1209" s="75"/>
      <c r="BT1209" s="75"/>
      <c r="BU1209" s="75"/>
      <c r="BV1209" s="75"/>
      <c r="BW1209" s="75"/>
      <c r="BX1209" s="75"/>
      <c r="BY1209" s="75"/>
      <c r="BZ1209" s="75"/>
      <c r="CA1209" s="75"/>
      <c r="CB1209" s="75"/>
      <c r="CC1209" s="75"/>
      <c r="CD1209" s="75"/>
      <c r="CE1209" s="75"/>
      <c r="CF1209" s="75"/>
      <c r="CG1209" s="75"/>
      <c r="CH1209" s="75"/>
      <c r="CI1209" s="75"/>
      <c r="CJ1209" s="75"/>
      <c r="CK1209" s="75"/>
      <c r="CL1209" s="75"/>
      <c r="CM1209" s="75"/>
      <c r="CN1209" s="75"/>
      <c r="CO1209" s="75"/>
      <c r="CP1209" s="75"/>
      <c r="CQ1209" s="75"/>
      <c r="CR1209" s="75"/>
      <c r="CS1209" s="75"/>
      <c r="CT1209" s="75"/>
      <c r="CU1209" s="75"/>
      <c r="CV1209" s="75"/>
      <c r="CW1209" s="75"/>
      <c r="CX1209" s="75"/>
      <c r="CY1209" s="75"/>
      <c r="CZ1209" s="75"/>
      <c r="DA1209" s="75"/>
      <c r="DB1209" s="75"/>
      <c r="DC1209" s="75"/>
      <c r="DD1209" s="75"/>
      <c r="DE1209" s="75"/>
      <c r="DF1209" s="75"/>
      <c r="DG1209" s="75"/>
      <c r="DH1209" s="75"/>
      <c r="DI1209" s="75"/>
      <c r="DJ1209" s="75"/>
      <c r="DK1209" s="75"/>
      <c r="DL1209" s="75"/>
      <c r="DM1209" s="75"/>
      <c r="DN1209" s="75"/>
      <c r="DO1209" s="75"/>
      <c r="DP1209" s="75"/>
      <c r="DQ1209" s="75"/>
      <c r="DR1209" s="75"/>
      <c r="DS1209" s="75"/>
      <c r="DT1209" s="75"/>
      <c r="DU1209" s="75"/>
      <c r="DV1209" s="75"/>
      <c r="DW1209" s="75"/>
      <c r="DX1209" s="75"/>
      <c r="DY1209" s="75"/>
      <c r="DZ1209" s="75"/>
      <c r="EA1209" s="75"/>
      <c r="EB1209" s="75"/>
      <c r="EC1209" s="75"/>
      <c r="ED1209" s="75"/>
      <c r="EE1209" s="75"/>
      <c r="EF1209" s="75"/>
      <c r="EG1209" s="75"/>
      <c r="EH1209" s="75"/>
      <c r="EI1209" s="75"/>
      <c r="EJ1209" s="75"/>
      <c r="EK1209" s="75"/>
      <c r="EL1209" s="75"/>
      <c r="EM1209" s="75"/>
      <c r="EN1209" s="75"/>
      <c r="EO1209" s="75"/>
      <c r="EP1209" s="75"/>
      <c r="EQ1209" s="75"/>
      <c r="ER1209" s="75"/>
      <c r="ES1209" s="75"/>
      <c r="ET1209" s="75"/>
      <c r="EU1209" s="75"/>
      <c r="EV1209" s="75"/>
      <c r="EW1209" s="75"/>
      <c r="EX1209" s="75"/>
      <c r="EY1209" s="75"/>
      <c r="EZ1209" s="75"/>
      <c r="FA1209" s="75"/>
      <c r="FB1209" s="75"/>
      <c r="FC1209" s="75"/>
      <c r="FD1209" s="75"/>
      <c r="FE1209" s="75"/>
      <c r="FF1209" s="75"/>
      <c r="FG1209" s="75"/>
      <c r="FH1209" s="75"/>
      <c r="FI1209" s="75"/>
      <c r="FJ1209" s="75"/>
      <c r="FK1209" s="75"/>
      <c r="FL1209" s="75"/>
      <c r="FM1209" s="75"/>
      <c r="FN1209" s="75"/>
      <c r="FO1209" s="75"/>
      <c r="FP1209" s="75"/>
      <c r="FQ1209" s="75"/>
      <c r="FR1209" s="75"/>
      <c r="FS1209" s="75"/>
      <c r="FT1209" s="75"/>
      <c r="FU1209" s="75"/>
      <c r="FV1209" s="75"/>
      <c r="FW1209" s="75"/>
      <c r="FX1209" s="75"/>
      <c r="FY1209" s="75"/>
      <c r="FZ1209" s="75"/>
      <c r="GA1209" s="75"/>
      <c r="GB1209" s="75"/>
      <c r="GC1209" s="75"/>
      <c r="GD1209" s="75"/>
      <c r="GE1209" s="75"/>
      <c r="GF1209" s="75"/>
      <c r="GG1209" s="75"/>
      <c r="GH1209" s="75"/>
      <c r="GI1209" s="75"/>
      <c r="GJ1209" s="75"/>
      <c r="GK1209" s="75"/>
      <c r="GL1209" s="75"/>
      <c r="GM1209" s="75"/>
      <c r="GN1209" s="75"/>
      <c r="GO1209" s="75"/>
      <c r="GP1209" s="75"/>
      <c r="GQ1209" s="75"/>
      <c r="GR1209" s="75"/>
      <c r="GS1209" s="75"/>
      <c r="GT1209" s="75"/>
      <c r="GU1209" s="75"/>
      <c r="GV1209" s="75"/>
      <c r="GW1209" s="75"/>
      <c r="GX1209" s="75"/>
      <c r="GY1209" s="75"/>
      <c r="GZ1209" s="75"/>
      <c r="HA1209" s="75"/>
      <c r="HB1209" s="75"/>
      <c r="HC1209" s="75"/>
      <c r="HD1209" s="75"/>
      <c r="HE1209" s="75"/>
      <c r="HF1209" s="75"/>
      <c r="HG1209" s="75"/>
      <c r="HH1209" s="75"/>
      <c r="HI1209" s="75"/>
      <c r="HJ1209" s="75"/>
      <c r="HK1209" s="75"/>
      <c r="HL1209" s="75"/>
      <c r="HM1209" s="75"/>
      <c r="HN1209" s="75"/>
      <c r="HO1209" s="75"/>
      <c r="HP1209" s="75"/>
      <c r="HQ1209" s="75"/>
      <c r="HR1209" s="75"/>
      <c r="HS1209" s="75"/>
      <c r="HT1209" s="75"/>
      <c r="HU1209" s="75"/>
      <c r="HV1209" s="75"/>
      <c r="HW1209" s="75"/>
      <c r="HX1209" s="75"/>
      <c r="HY1209" s="75"/>
      <c r="HZ1209" s="75"/>
      <c r="IA1209" s="75"/>
      <c r="IB1209" s="75"/>
      <c r="IC1209" s="75"/>
      <c r="ID1209" s="75"/>
      <c r="IE1209" s="75"/>
      <c r="IF1209" s="75"/>
      <c r="IG1209" s="75"/>
      <c r="IH1209" s="75"/>
      <c r="II1209" s="75"/>
      <c r="IJ1209" s="75"/>
      <c r="IK1209" s="75"/>
      <c r="IL1209" s="75"/>
      <c r="IM1209" s="75"/>
      <c r="IN1209" s="75"/>
      <c r="IO1209" s="75"/>
      <c r="IP1209" s="75"/>
      <c r="IQ1209" s="75"/>
      <c r="IR1209" s="75"/>
      <c r="IS1209" s="75"/>
      <c r="IT1209" s="75"/>
      <c r="IU1209" s="75"/>
      <c r="IV1209" s="75"/>
      <c r="IW1209" s="75"/>
      <c r="IX1209" s="75"/>
      <c r="IY1209" s="75"/>
      <c r="IZ1209" s="75"/>
      <c r="JA1209" s="75"/>
      <c r="JB1209" s="75"/>
      <c r="JC1209" s="75"/>
      <c r="JD1209" s="75"/>
      <c r="JE1209" s="75"/>
      <c r="JF1209" s="75"/>
      <c r="JG1209" s="75"/>
      <c r="JH1209" s="75"/>
      <c r="JI1209" s="75"/>
      <c r="JJ1209" s="75"/>
      <c r="JK1209" s="75"/>
      <c r="JL1209" s="75"/>
      <c r="JM1209" s="75"/>
      <c r="JN1209" s="75"/>
      <c r="JO1209" s="75"/>
      <c r="JP1209" s="75"/>
      <c r="JQ1209" s="75"/>
      <c r="JR1209" s="75"/>
      <c r="JS1209" s="75"/>
      <c r="JT1209" s="75"/>
      <c r="JU1209" s="75"/>
      <c r="JV1209" s="75"/>
      <c r="JW1209" s="75"/>
      <c r="JX1209" s="75"/>
      <c r="JY1209" s="75"/>
      <c r="JZ1209" s="75"/>
      <c r="KA1209" s="75"/>
      <c r="KB1209" s="75"/>
      <c r="KC1209" s="75"/>
      <c r="KD1209" s="75"/>
      <c r="KE1209" s="75"/>
      <c r="KF1209" s="75"/>
      <c r="KG1209" s="75"/>
      <c r="KH1209" s="75"/>
      <c r="KI1209" s="75"/>
      <c r="KJ1209" s="75"/>
      <c r="KK1209" s="75"/>
      <c r="KL1209" s="75"/>
      <c r="KM1209" s="75"/>
      <c r="KN1209" s="75"/>
      <c r="KO1209" s="75"/>
      <c r="KP1209" s="75"/>
      <c r="KQ1209" s="75"/>
      <c r="KR1209" s="75"/>
      <c r="KS1209" s="75"/>
      <c r="KT1209" s="75"/>
      <c r="KU1209" s="75"/>
      <c r="KV1209" s="75"/>
      <c r="KW1209" s="75"/>
      <c r="KX1209" s="75"/>
      <c r="KY1209" s="75"/>
      <c r="KZ1209" s="75"/>
      <c r="LA1209" s="75"/>
      <c r="LB1209" s="75"/>
      <c r="LC1209" s="75"/>
      <c r="LD1209" s="75"/>
      <c r="LE1209" s="75"/>
      <c r="LF1209" s="75"/>
      <c r="LG1209" s="75"/>
      <c r="LH1209" s="75"/>
      <c r="LI1209" s="75"/>
      <c r="LJ1209" s="75"/>
      <c r="LK1209" s="75"/>
      <c r="LL1209" s="75"/>
      <c r="LM1209" s="75"/>
      <c r="LN1209" s="75"/>
      <c r="LO1209" s="75"/>
      <c r="LP1209" s="75"/>
      <c r="LQ1209" s="75"/>
      <c r="LR1209" s="75"/>
      <c r="LS1209" s="75"/>
      <c r="LT1209" s="75"/>
      <c r="LU1209" s="75"/>
      <c r="LV1209" s="75"/>
      <c r="LW1209" s="75"/>
      <c r="LX1209" s="75"/>
      <c r="LY1209" s="75"/>
      <c r="LZ1209" s="75"/>
      <c r="MA1209" s="75"/>
      <c r="MB1209" s="75"/>
      <c r="MC1209" s="75"/>
      <c r="MD1209" s="75"/>
      <c r="ME1209" s="75"/>
      <c r="MF1209" s="75"/>
      <c r="MG1209" s="75"/>
      <c r="MH1209" s="75"/>
      <c r="MI1209" s="75"/>
      <c r="MJ1209" s="75"/>
      <c r="MK1209" s="75"/>
      <c r="ML1209" s="75"/>
      <c r="MM1209" s="75"/>
      <c r="MN1209" s="75"/>
      <c r="MO1209" s="75"/>
      <c r="MP1209" s="75"/>
      <c r="MQ1209" s="75"/>
      <c r="MR1209" s="75"/>
      <c r="MS1209" s="75"/>
      <c r="MT1209" s="75"/>
      <c r="MU1209" s="75"/>
      <c r="MV1209" s="75"/>
      <c r="MW1209" s="75"/>
      <c r="MX1209" s="75"/>
      <c r="MY1209" s="75"/>
      <c r="MZ1209" s="75"/>
      <c r="NA1209" s="75"/>
      <c r="NB1209" s="75"/>
      <c r="NC1209" s="75"/>
      <c r="ND1209" s="75"/>
      <c r="NE1209" s="75"/>
      <c r="NF1209" s="75"/>
      <c r="NG1209" s="75"/>
      <c r="NH1209" s="75"/>
      <c r="NI1209" s="75"/>
      <c r="NJ1209" s="75"/>
      <c r="NK1209" s="75"/>
      <c r="NL1209" s="75"/>
      <c r="NM1209" s="75"/>
      <c r="NN1209" s="75"/>
      <c r="NO1209" s="75"/>
      <c r="NP1209" s="75"/>
      <c r="NQ1209" s="75"/>
      <c r="NR1209" s="75"/>
      <c r="NS1209" s="75"/>
      <c r="NT1209" s="75"/>
      <c r="NU1209" s="75"/>
      <c r="NV1209" s="75"/>
      <c r="NW1209" s="75"/>
      <c r="NX1209" s="75"/>
      <c r="NY1209" s="75"/>
      <c r="NZ1209" s="75"/>
      <c r="OA1209" s="75"/>
      <c r="OB1209" s="75"/>
      <c r="OC1209" s="75"/>
      <c r="OD1209" s="75"/>
      <c r="OE1209" s="75"/>
      <c r="OF1209" s="75"/>
      <c r="OG1209" s="75"/>
      <c r="OH1209" s="75"/>
      <c r="OI1209" s="75"/>
      <c r="OJ1209" s="75"/>
      <c r="OK1209" s="75"/>
      <c r="OL1209" s="75"/>
      <c r="OM1209" s="75"/>
      <c r="ON1209" s="75"/>
      <c r="OO1209" s="75"/>
      <c r="OP1209" s="75"/>
      <c r="OQ1209" s="75"/>
      <c r="OR1209" s="75"/>
      <c r="OS1209" s="75"/>
      <c r="OT1209" s="75"/>
      <c r="OU1209" s="75"/>
      <c r="OV1209" s="75"/>
      <c r="OW1209" s="75"/>
      <c r="OX1209" s="75"/>
      <c r="OY1209" s="75"/>
      <c r="OZ1209" s="75"/>
      <c r="PA1209" s="75"/>
      <c r="PB1209" s="75"/>
      <c r="PC1209" s="75"/>
      <c r="PD1209" s="75"/>
      <c r="PE1209" s="75"/>
      <c r="PF1209" s="75"/>
      <c r="PG1209" s="75"/>
      <c r="PH1209" s="75"/>
      <c r="PI1209" s="75"/>
      <c r="PJ1209" s="75"/>
      <c r="PK1209" s="75"/>
      <c r="PL1209" s="75"/>
      <c r="PM1209" s="75"/>
      <c r="PN1209" s="75"/>
      <c r="PO1209" s="75"/>
      <c r="PP1209" s="75"/>
      <c r="PQ1209" s="75"/>
      <c r="PR1209" s="75"/>
      <c r="PS1209" s="75"/>
      <c r="PT1209" s="75"/>
      <c r="PU1209" s="75"/>
      <c r="PV1209" s="75"/>
      <c r="PW1209" s="75"/>
      <c r="PX1209" s="75"/>
      <c r="PY1209" s="75"/>
      <c r="PZ1209" s="75"/>
      <c r="QA1209" s="75"/>
      <c r="QB1209" s="75"/>
      <c r="QC1209" s="75"/>
      <c r="QD1209" s="75"/>
      <c r="QE1209" s="75"/>
      <c r="QF1209" s="75"/>
      <c r="QG1209" s="75"/>
      <c r="QH1209" s="75"/>
      <c r="QI1209" s="75"/>
      <c r="QJ1209" s="75"/>
      <c r="QK1209" s="75"/>
      <c r="QL1209" s="75"/>
      <c r="QM1209" s="75"/>
      <c r="QN1209" s="75"/>
      <c r="QO1209" s="75"/>
      <c r="QP1209" s="75"/>
      <c r="QQ1209" s="75"/>
      <c r="QR1209" s="75"/>
      <c r="QS1209" s="75"/>
      <c r="QT1209" s="75"/>
      <c r="QU1209" s="75"/>
      <c r="QV1209" s="75"/>
      <c r="QW1209" s="75"/>
      <c r="QX1209" s="75"/>
      <c r="QY1209" s="75"/>
      <c r="QZ1209" s="75"/>
      <c r="RA1209" s="75"/>
      <c r="RB1209" s="75"/>
      <c r="RC1209" s="75"/>
      <c r="RD1209" s="75"/>
      <c r="RE1209" s="75"/>
      <c r="RF1209" s="75"/>
      <c r="RG1209" s="75"/>
      <c r="RH1209" s="75"/>
      <c r="RI1209" s="75"/>
      <c r="RJ1209" s="75"/>
      <c r="RK1209" s="75"/>
      <c r="RL1209" s="75"/>
      <c r="RM1209" s="75"/>
      <c r="RN1209" s="75"/>
      <c r="RO1209" s="75"/>
      <c r="RP1209" s="75"/>
      <c r="RQ1209" s="75"/>
      <c r="RR1209" s="75"/>
      <c r="RS1209" s="75"/>
      <c r="RT1209" s="75"/>
      <c r="RU1209" s="75"/>
      <c r="RV1209" s="75"/>
      <c r="RW1209" s="75"/>
      <c r="RX1209" s="75"/>
      <c r="RY1209" s="75"/>
      <c r="RZ1209" s="75"/>
      <c r="SA1209" s="75"/>
      <c r="SB1209" s="75"/>
      <c r="SC1209" s="75"/>
      <c r="SD1209" s="75"/>
      <c r="SE1209" s="75"/>
      <c r="SF1209" s="75"/>
      <c r="SG1209" s="75"/>
      <c r="SH1209" s="75"/>
      <c r="SI1209" s="75"/>
      <c r="SJ1209" s="75"/>
      <c r="SK1209" s="75"/>
      <c r="SL1209" s="75"/>
      <c r="SM1209" s="75"/>
      <c r="SN1209" s="75"/>
      <c r="SO1209" s="75"/>
      <c r="SP1209" s="75"/>
      <c r="SQ1209" s="75"/>
      <c r="SR1209" s="75"/>
      <c r="SS1209" s="75"/>
      <c r="ST1209" s="75"/>
      <c r="SU1209" s="75"/>
      <c r="SV1209" s="75"/>
      <c r="SW1209" s="75"/>
      <c r="SX1209" s="75"/>
      <c r="SY1209" s="75"/>
      <c r="SZ1209" s="75"/>
      <c r="TA1209" s="75"/>
      <c r="TB1209" s="75"/>
      <c r="TC1209" s="75"/>
      <c r="TD1209" s="75"/>
      <c r="TE1209" s="75"/>
      <c r="TF1209" s="75"/>
      <c r="TG1209" s="75"/>
      <c r="TH1209" s="75"/>
      <c r="TI1209" s="75"/>
      <c r="TJ1209" s="75"/>
      <c r="TK1209" s="75"/>
      <c r="TL1209" s="75"/>
      <c r="TM1209" s="75"/>
      <c r="TN1209" s="75"/>
      <c r="TO1209" s="75"/>
      <c r="TP1209" s="75"/>
      <c r="TQ1209" s="75"/>
      <c r="TR1209" s="75"/>
      <c r="TS1209" s="75"/>
      <c r="TT1209" s="75"/>
      <c r="TU1209" s="75"/>
      <c r="TV1209" s="75"/>
      <c r="TW1209" s="75"/>
      <c r="TX1209" s="75"/>
      <c r="TY1209" s="75"/>
      <c r="TZ1209" s="75"/>
      <c r="UA1209" s="75"/>
      <c r="UB1209" s="75"/>
      <c r="UC1209" s="75"/>
      <c r="UD1209" s="75"/>
      <c r="UE1209" s="75"/>
      <c r="UF1209" s="75"/>
      <c r="UG1209" s="75"/>
      <c r="UH1209" s="75"/>
      <c r="UI1209" s="75"/>
      <c r="UJ1209" s="75"/>
      <c r="UK1209" s="75"/>
      <c r="UL1209" s="75"/>
      <c r="UM1209" s="75"/>
      <c r="UN1209" s="75"/>
      <c r="UO1209" s="75"/>
      <c r="UP1209" s="75"/>
      <c r="UQ1209" s="75"/>
      <c r="UR1209" s="75"/>
      <c r="US1209" s="75"/>
      <c r="UT1209" s="75"/>
      <c r="UU1209" s="75"/>
      <c r="UV1209" s="75"/>
      <c r="UW1209" s="75"/>
      <c r="UX1209" s="75"/>
      <c r="UY1209" s="75"/>
      <c r="UZ1209" s="75"/>
      <c r="VA1209" s="75"/>
      <c r="VB1209" s="75"/>
      <c r="VC1209" s="75"/>
      <c r="VD1209" s="75"/>
      <c r="VE1209" s="75"/>
      <c r="VF1209" s="75"/>
      <c r="VG1209" s="75"/>
      <c r="VH1209" s="75"/>
      <c r="VI1209" s="75"/>
      <c r="VJ1209" s="75"/>
      <c r="VK1209" s="75"/>
      <c r="VL1209" s="75"/>
      <c r="VM1209" s="75"/>
      <c r="VN1209" s="75"/>
      <c r="VO1209" s="75"/>
      <c r="VP1209" s="75"/>
      <c r="VQ1209" s="75"/>
      <c r="VR1209" s="75"/>
      <c r="VS1209" s="75"/>
      <c r="VT1209" s="75"/>
      <c r="VU1209" s="75"/>
      <c r="VV1209" s="75"/>
      <c r="VW1209" s="75"/>
      <c r="VX1209" s="75"/>
      <c r="VY1209" s="75"/>
      <c r="VZ1209" s="75"/>
      <c r="WA1209" s="75"/>
      <c r="WB1209" s="75"/>
      <c r="WC1209" s="75"/>
      <c r="WD1209" s="75"/>
      <c r="WE1209" s="75"/>
      <c r="WF1209" s="75"/>
      <c r="WG1209" s="75"/>
      <c r="WH1209" s="75"/>
      <c r="WI1209" s="75"/>
      <c r="WJ1209" s="75"/>
      <c r="WK1209" s="75"/>
      <c r="WL1209" s="75"/>
      <c r="WM1209" s="75"/>
      <c r="WN1209" s="75"/>
      <c r="WO1209" s="75"/>
      <c r="WP1209" s="75"/>
      <c r="WQ1209" s="75"/>
      <c r="WR1209" s="75"/>
      <c r="WS1209" s="75"/>
      <c r="WT1209" s="75"/>
      <c r="WU1209" s="75"/>
      <c r="WV1209" s="75"/>
      <c r="WW1209" s="75"/>
      <c r="WX1209" s="75"/>
      <c r="WY1209" s="75"/>
      <c r="WZ1209" s="75"/>
      <c r="XA1209" s="75"/>
      <c r="XB1209" s="75"/>
      <c r="XC1209" s="75"/>
      <c r="XD1209" s="75"/>
      <c r="XE1209" s="75"/>
      <c r="XF1209" s="75"/>
      <c r="XG1209" s="75"/>
      <c r="XH1209" s="75"/>
      <c r="XI1209" s="75"/>
      <c r="XJ1209" s="75"/>
      <c r="XK1209" s="75"/>
      <c r="XL1209" s="75"/>
      <c r="XM1209" s="75"/>
      <c r="XN1209" s="75"/>
      <c r="XO1209" s="75"/>
      <c r="XP1209" s="75"/>
      <c r="XQ1209" s="75"/>
      <c r="XR1209" s="75"/>
      <c r="XS1209" s="75"/>
      <c r="XT1209" s="75"/>
      <c r="XU1209" s="75"/>
      <c r="XV1209" s="75"/>
      <c r="XW1209" s="75"/>
      <c r="XX1209" s="75"/>
      <c r="XY1209" s="75"/>
      <c r="XZ1209" s="75"/>
      <c r="YA1209" s="75"/>
      <c r="YB1209" s="75"/>
      <c r="YC1209" s="75"/>
      <c r="YD1209" s="75"/>
      <c r="YE1209" s="75"/>
      <c r="YF1209" s="75"/>
      <c r="YG1209" s="75"/>
      <c r="YH1209" s="75"/>
      <c r="YI1209" s="75"/>
      <c r="YJ1209" s="75"/>
      <c r="YK1209" s="75"/>
      <c r="YL1209" s="75"/>
      <c r="YM1209" s="75"/>
      <c r="YN1209" s="75"/>
      <c r="YO1209" s="75"/>
      <c r="YP1209" s="75"/>
      <c r="YQ1209" s="75"/>
      <c r="YR1209" s="75"/>
      <c r="YS1209" s="75"/>
      <c r="YT1209" s="75"/>
      <c r="YU1209" s="75"/>
      <c r="YV1209" s="75"/>
      <c r="YW1209" s="75"/>
      <c r="YX1209" s="75"/>
      <c r="YY1209" s="75"/>
      <c r="YZ1209" s="75"/>
      <c r="ZA1209" s="75"/>
      <c r="ZB1209" s="75"/>
      <c r="ZC1209" s="75"/>
      <c r="ZD1209" s="75"/>
      <c r="ZE1209" s="75"/>
      <c r="ZF1209" s="75"/>
      <c r="ZG1209" s="75"/>
      <c r="ZH1209" s="75"/>
      <c r="ZI1209" s="75"/>
      <c r="ZJ1209" s="75"/>
      <c r="ZK1209" s="75"/>
      <c r="ZL1209" s="75"/>
      <c r="ZM1209" s="75"/>
      <c r="ZN1209" s="75"/>
      <c r="ZO1209" s="75"/>
      <c r="ZP1209" s="75"/>
      <c r="ZQ1209" s="75"/>
      <c r="ZR1209" s="75"/>
      <c r="ZS1209" s="75"/>
      <c r="ZT1209" s="75"/>
      <c r="ZU1209" s="75"/>
      <c r="ZV1209" s="75"/>
      <c r="ZW1209" s="75"/>
      <c r="ZX1209" s="75"/>
      <c r="ZY1209" s="75"/>
      <c r="ZZ1209" s="75"/>
      <c r="AAA1209" s="75"/>
      <c r="AAB1209" s="75"/>
      <c r="AAC1209" s="75"/>
      <c r="AAD1209" s="75"/>
      <c r="AAE1209" s="75"/>
      <c r="AAF1209" s="75"/>
      <c r="AAG1209" s="75"/>
      <c r="AAH1209" s="75"/>
      <c r="AAI1209" s="75"/>
      <c r="AAJ1209" s="75"/>
      <c r="AAK1209" s="75"/>
      <c r="AAL1209" s="75"/>
      <c r="AAM1209" s="75"/>
      <c r="AAN1209" s="75"/>
      <c r="AAO1209" s="75"/>
      <c r="AAP1209" s="75"/>
      <c r="AAQ1209" s="75"/>
      <c r="AAR1209" s="75"/>
      <c r="AAS1209" s="75"/>
      <c r="AAT1209" s="75"/>
      <c r="AAU1209" s="75"/>
      <c r="AAV1209" s="75"/>
      <c r="AAW1209" s="75"/>
      <c r="AAX1209" s="75"/>
      <c r="AAY1209" s="75"/>
      <c r="AAZ1209" s="75"/>
      <c r="ABA1209" s="75"/>
      <c r="ABB1209" s="75"/>
      <c r="ABC1209" s="75"/>
      <c r="ABD1209" s="75"/>
      <c r="ABE1209" s="75"/>
      <c r="ABF1209" s="75"/>
      <c r="ABG1209" s="75"/>
      <c r="ABH1209" s="75"/>
      <c r="ABI1209" s="75"/>
      <c r="ABJ1209" s="75"/>
      <c r="ABK1209" s="75"/>
      <c r="ABL1209" s="75"/>
      <c r="ABM1209" s="75"/>
      <c r="ABN1209" s="75"/>
      <c r="ABO1209" s="75"/>
      <c r="ABP1209" s="75"/>
      <c r="ABQ1209" s="75"/>
      <c r="ABR1209" s="75"/>
      <c r="ABS1209" s="75"/>
      <c r="ABT1209" s="75"/>
      <c r="ABU1209" s="75"/>
      <c r="ABV1209" s="75"/>
      <c r="ABW1209" s="75"/>
      <c r="ABX1209" s="75"/>
      <c r="ABY1209" s="75"/>
      <c r="ABZ1209" s="75"/>
      <c r="ACA1209" s="75"/>
      <c r="ACB1209" s="75"/>
      <c r="ACC1209" s="75"/>
      <c r="ACD1209" s="75"/>
      <c r="ACE1209" s="75"/>
      <c r="ACF1209" s="75"/>
      <c r="ACG1209" s="75"/>
      <c r="ACH1209" s="75"/>
      <c r="ACI1209" s="75"/>
      <c r="ACJ1209" s="75"/>
      <c r="ACK1209" s="75"/>
      <c r="ACL1209" s="75"/>
      <c r="ACM1209" s="75"/>
      <c r="ACN1209" s="75"/>
      <c r="ACO1209" s="75"/>
      <c r="ACP1209" s="75"/>
      <c r="ACQ1209" s="75"/>
      <c r="ACR1209" s="75"/>
      <c r="ACS1209" s="75"/>
      <c r="ACT1209" s="75"/>
      <c r="ACU1209" s="75"/>
      <c r="ACV1209" s="75"/>
      <c r="ACW1209" s="75"/>
      <c r="ACX1209" s="75"/>
      <c r="ACY1209" s="75"/>
      <c r="ACZ1209" s="75"/>
      <c r="ADA1209" s="75"/>
      <c r="ADB1209" s="75"/>
      <c r="ADC1209" s="75"/>
      <c r="ADD1209" s="75"/>
      <c r="ADE1209" s="75"/>
      <c r="ADF1209" s="75"/>
      <c r="ADG1209" s="75"/>
      <c r="ADH1209" s="75"/>
      <c r="ADI1209" s="75"/>
      <c r="ADJ1209" s="75"/>
      <c r="ADK1209" s="75"/>
      <c r="ADL1209" s="75"/>
      <c r="ADM1209" s="75"/>
      <c r="ADN1209" s="75"/>
      <c r="ADO1209" s="75"/>
      <c r="ADP1209" s="75"/>
      <c r="ADQ1209" s="75"/>
      <c r="ADR1209" s="75"/>
      <c r="ADS1209" s="75"/>
      <c r="ADT1209" s="75"/>
      <c r="ADU1209" s="75"/>
      <c r="ADV1209" s="75"/>
      <c r="ADW1209" s="75"/>
      <c r="ADX1209" s="75"/>
      <c r="ADY1209" s="75"/>
      <c r="ADZ1209" s="75"/>
      <c r="AEA1209" s="75"/>
      <c r="AEB1209" s="75"/>
      <c r="AEC1209" s="75"/>
      <c r="AED1209" s="75"/>
      <c r="AEE1209" s="75"/>
      <c r="AEF1209" s="75"/>
      <c r="AEG1209" s="75"/>
      <c r="AEH1209" s="75"/>
      <c r="AEI1209" s="75"/>
      <c r="AEJ1209" s="75"/>
      <c r="AEK1209" s="75"/>
      <c r="AEL1209" s="75"/>
      <c r="AEM1209" s="75"/>
      <c r="AEN1209" s="75"/>
      <c r="AEO1209" s="75"/>
      <c r="AEP1209" s="75"/>
      <c r="AEQ1209" s="75"/>
      <c r="AER1209" s="75"/>
      <c r="AES1209" s="75"/>
      <c r="AET1209" s="75"/>
      <c r="AEU1209" s="75"/>
      <c r="AEV1209" s="75"/>
      <c r="AEW1209" s="75"/>
      <c r="AEX1209" s="75"/>
      <c r="AEY1209" s="75"/>
      <c r="AEZ1209" s="75"/>
      <c r="AFA1209" s="75"/>
      <c r="AFB1209" s="75"/>
      <c r="AFC1209" s="75"/>
      <c r="AFD1209" s="75"/>
      <c r="AFE1209" s="75"/>
      <c r="AFF1209" s="75"/>
      <c r="AFG1209" s="75"/>
      <c r="AFH1209" s="75"/>
      <c r="AFI1209" s="75"/>
      <c r="AFJ1209" s="75"/>
      <c r="AFK1209" s="75"/>
      <c r="AFL1209" s="75"/>
      <c r="AFM1209" s="75"/>
      <c r="AFN1209" s="75"/>
      <c r="AFO1209" s="75"/>
      <c r="AFP1209" s="75"/>
      <c r="AFQ1209" s="75"/>
      <c r="AFR1209" s="75"/>
      <c r="AFS1209" s="75"/>
      <c r="AFT1209" s="75"/>
      <c r="AFU1209" s="75"/>
      <c r="AFV1209" s="75"/>
      <c r="AFW1209" s="75"/>
      <c r="AFX1209" s="75"/>
      <c r="AFY1209" s="75"/>
      <c r="AFZ1209" s="75"/>
      <c r="AGA1209" s="75"/>
      <c r="AGB1209" s="75"/>
      <c r="AGC1209" s="75"/>
      <c r="AGD1209" s="75"/>
      <c r="AGE1209" s="75"/>
      <c r="AGF1209" s="75"/>
      <c r="AGG1209" s="75"/>
      <c r="AGH1209" s="75"/>
      <c r="AGI1209" s="75"/>
      <c r="AGJ1209" s="75"/>
      <c r="AGK1209" s="75"/>
      <c r="AGL1209" s="75"/>
      <c r="AGM1209" s="75"/>
      <c r="AGN1209" s="75"/>
      <c r="AGO1209" s="75"/>
      <c r="AGP1209" s="75"/>
      <c r="AGQ1209" s="75"/>
      <c r="AGR1209" s="75"/>
      <c r="AGS1209" s="75"/>
      <c r="AGT1209" s="75"/>
      <c r="AGU1209" s="75"/>
      <c r="AGV1209" s="75"/>
      <c r="AGW1209" s="75"/>
      <c r="AGX1209" s="75"/>
      <c r="AGY1209" s="75"/>
      <c r="AGZ1209" s="75"/>
      <c r="AHA1209" s="75"/>
      <c r="AHB1209" s="75"/>
      <c r="AHC1209" s="75"/>
      <c r="AHD1209" s="75"/>
      <c r="AHE1209" s="75"/>
      <c r="AHF1209" s="75"/>
      <c r="AHG1209" s="75"/>
      <c r="AHH1209" s="75"/>
      <c r="AHI1209" s="75"/>
      <c r="AHJ1209" s="75"/>
      <c r="AHK1209" s="75"/>
      <c r="AHL1209" s="75"/>
      <c r="AHM1209" s="75"/>
      <c r="AHN1209" s="75"/>
      <c r="AHO1209" s="75"/>
      <c r="AHP1209" s="75"/>
      <c r="AHQ1209" s="75"/>
      <c r="AHR1209" s="75"/>
      <c r="AHS1209" s="75"/>
      <c r="AHT1209" s="75"/>
      <c r="AHU1209" s="75"/>
      <c r="AHV1209" s="75"/>
      <c r="AHW1209" s="75"/>
      <c r="AHX1209" s="75"/>
      <c r="AHY1209" s="75"/>
      <c r="AHZ1209" s="75"/>
      <c r="AIA1209" s="75"/>
      <c r="AIB1209" s="75"/>
      <c r="AIC1209" s="75"/>
      <c r="AID1209" s="75"/>
      <c r="AIE1209" s="75"/>
      <c r="AIF1209" s="75"/>
      <c r="AIG1209" s="75"/>
      <c r="AIH1209" s="75"/>
      <c r="AII1209" s="75"/>
      <c r="AIJ1209" s="75"/>
      <c r="AIK1209" s="75"/>
      <c r="AIL1209" s="75"/>
      <c r="AIM1209" s="75"/>
      <c r="AIN1209" s="75"/>
      <c r="AIO1209" s="75"/>
      <c r="AIP1209" s="75"/>
      <c r="AIQ1209" s="75"/>
      <c r="AIR1209" s="75"/>
      <c r="AIS1209" s="75"/>
      <c r="AIT1209" s="75"/>
      <c r="AIU1209" s="75"/>
      <c r="AIV1209" s="75"/>
      <c r="AIW1209" s="75"/>
      <c r="AIX1209" s="75"/>
      <c r="AIY1209" s="75"/>
      <c r="AIZ1209" s="75"/>
      <c r="AJA1209" s="75"/>
      <c r="AJB1209" s="75"/>
      <c r="AJC1209" s="75"/>
      <c r="AJD1209" s="75"/>
      <c r="AJE1209" s="75"/>
      <c r="AJF1209" s="75"/>
      <c r="AJG1209" s="75"/>
      <c r="AJH1209" s="75"/>
      <c r="AJI1209" s="75"/>
      <c r="AJJ1209" s="75"/>
      <c r="AJK1209" s="75"/>
      <c r="AJL1209" s="75"/>
      <c r="AJM1209" s="75"/>
      <c r="AJN1209" s="75"/>
      <c r="AJO1209" s="75"/>
      <c r="AJP1209" s="75"/>
      <c r="AJQ1209" s="75"/>
      <c r="AJR1209" s="75"/>
      <c r="AJS1209" s="75"/>
      <c r="AJT1209" s="75"/>
      <c r="AJU1209" s="75"/>
      <c r="AJV1209" s="75"/>
      <c r="AJW1209" s="75"/>
      <c r="AJX1209" s="75"/>
      <c r="AJY1209" s="75"/>
      <c r="AJZ1209" s="75"/>
      <c r="AKA1209" s="75"/>
      <c r="AKB1209" s="75"/>
      <c r="AKC1209" s="75"/>
      <c r="AKD1209" s="75"/>
      <c r="AKE1209" s="75"/>
      <c r="AKF1209" s="75"/>
      <c r="AKG1209" s="75"/>
      <c r="AKH1209" s="75"/>
      <c r="AKI1209" s="75"/>
      <c r="AKJ1209" s="75"/>
      <c r="AKK1209" s="75"/>
      <c r="AKL1209" s="75"/>
      <c r="AKM1209" s="75"/>
      <c r="AKN1209" s="75"/>
      <c r="AKO1209" s="75"/>
      <c r="AKP1209" s="75"/>
      <c r="AKQ1209" s="75"/>
      <c r="AKR1209" s="75"/>
      <c r="AKS1209" s="75"/>
      <c r="AKT1209" s="75"/>
      <c r="AKU1209" s="75"/>
      <c r="AKV1209" s="75"/>
      <c r="AKW1209" s="75"/>
      <c r="AKX1209" s="75"/>
      <c r="AKY1209" s="75"/>
      <c r="AKZ1209" s="75"/>
      <c r="ALA1209" s="75"/>
      <c r="ALB1209" s="75"/>
      <c r="ALC1209" s="75"/>
      <c r="ALD1209" s="75"/>
      <c r="ALE1209" s="75"/>
      <c r="ALF1209" s="75"/>
      <c r="ALG1209" s="75"/>
      <c r="ALH1209" s="75"/>
      <c r="ALI1209" s="75"/>
      <c r="ALJ1209" s="75"/>
      <c r="ALK1209" s="75"/>
      <c r="ALL1209" s="75"/>
      <c r="ALM1209" s="75"/>
      <c r="ALN1209" s="75"/>
      <c r="ALO1209" s="75"/>
    </row>
    <row r="1210" spans="1:1003" ht="14.55" customHeight="1" outlineLevel="1" x14ac:dyDescent="0.25">
      <c r="A1210" s="230" t="s">
        <v>1422</v>
      </c>
      <c r="B1210" s="343" t="str">
        <f>"29.0305"</f>
        <v>29.0305</v>
      </c>
      <c r="C1210" s="75" t="s">
        <v>3529</v>
      </c>
      <c r="D1210" s="127" t="s">
        <v>3530</v>
      </c>
      <c r="E1210" s="232"/>
    </row>
    <row r="1211" spans="1:1003" ht="14.55" customHeight="1" outlineLevel="1" x14ac:dyDescent="0.25">
      <c r="A1211" s="230" t="s">
        <v>1422</v>
      </c>
      <c r="B1211" s="343" t="str">
        <f>"29.0306"</f>
        <v>29.0306</v>
      </c>
      <c r="C1211" s="75" t="s">
        <v>3531</v>
      </c>
      <c r="D1211" s="127" t="s">
        <v>3532</v>
      </c>
      <c r="E1211" s="232"/>
    </row>
    <row r="1212" spans="1:1003" ht="14.55" customHeight="1" outlineLevel="1" x14ac:dyDescent="0.25">
      <c r="A1212" s="230" t="s">
        <v>1422</v>
      </c>
      <c r="B1212" s="343" t="str">
        <f>"29.0307"</f>
        <v>29.0307</v>
      </c>
      <c r="C1212" s="75" t="s">
        <v>3533</v>
      </c>
      <c r="D1212" s="127" t="s">
        <v>3534</v>
      </c>
      <c r="E1212" s="232"/>
    </row>
    <row r="1213" spans="1:1003" ht="14.55" customHeight="1" outlineLevel="1" x14ac:dyDescent="0.25">
      <c r="A1213" s="230" t="s">
        <v>1422</v>
      </c>
      <c r="B1213" s="343" t="str">
        <f>"29.0399"</f>
        <v>29.0399</v>
      </c>
      <c r="C1213" s="75" t="s">
        <v>3535</v>
      </c>
      <c r="D1213" s="127" t="s">
        <v>3536</v>
      </c>
      <c r="E1213" s="232"/>
    </row>
    <row r="1214" spans="1:1003" ht="14.55" customHeight="1" outlineLevel="1" x14ac:dyDescent="0.25">
      <c r="A1214" s="230" t="s">
        <v>1422</v>
      </c>
      <c r="B1214" s="343" t="str">
        <f>"29.04"</f>
        <v>29.04</v>
      </c>
      <c r="C1214" s="75" t="s">
        <v>3537</v>
      </c>
      <c r="D1214" s="127" t="s">
        <v>3538</v>
      </c>
      <c r="E1214" s="232"/>
    </row>
    <row r="1215" spans="1:1003" ht="14.55" customHeight="1" outlineLevel="1" x14ac:dyDescent="0.25">
      <c r="A1215" s="230" t="s">
        <v>1422</v>
      </c>
      <c r="B1215" s="343" t="str">
        <f>"29.0401"</f>
        <v>29.0401</v>
      </c>
      <c r="C1215" s="75" t="s">
        <v>3539</v>
      </c>
      <c r="D1215" s="127" t="s">
        <v>3540</v>
      </c>
      <c r="E1215" s="232"/>
    </row>
    <row r="1216" spans="1:1003" ht="14.55" customHeight="1" outlineLevel="1" x14ac:dyDescent="0.25">
      <c r="A1216" s="230" t="s">
        <v>1422</v>
      </c>
      <c r="B1216" s="343" t="str">
        <f>"29.0402"</f>
        <v>29.0402</v>
      </c>
      <c r="C1216" s="75" t="s">
        <v>3541</v>
      </c>
      <c r="D1216" s="127" t="s">
        <v>3542</v>
      </c>
      <c r="E1216" s="232"/>
    </row>
    <row r="1217" spans="1:5" ht="14.55" customHeight="1" outlineLevel="1" x14ac:dyDescent="0.25">
      <c r="A1217" s="230" t="s">
        <v>1422</v>
      </c>
      <c r="B1217" s="343" t="str">
        <f>"29.0403"</f>
        <v>29.0403</v>
      </c>
      <c r="C1217" s="75" t="s">
        <v>3543</v>
      </c>
      <c r="D1217" s="127" t="s">
        <v>3544</v>
      </c>
      <c r="E1217" s="232"/>
    </row>
    <row r="1218" spans="1:5" ht="14.55" customHeight="1" outlineLevel="1" x14ac:dyDescent="0.25">
      <c r="A1218" s="230" t="s">
        <v>1422</v>
      </c>
      <c r="B1218" s="343" t="str">
        <f>"29.0404"</f>
        <v>29.0404</v>
      </c>
      <c r="C1218" s="75" t="s">
        <v>3545</v>
      </c>
      <c r="D1218" s="127" t="s">
        <v>3546</v>
      </c>
      <c r="E1218" s="232"/>
    </row>
    <row r="1219" spans="1:5" ht="14.55" customHeight="1" outlineLevel="1" x14ac:dyDescent="0.25">
      <c r="A1219" s="230" t="s">
        <v>1422</v>
      </c>
      <c r="B1219" s="343" t="str">
        <f>"29.0405"</f>
        <v>29.0405</v>
      </c>
      <c r="C1219" s="75" t="s">
        <v>3547</v>
      </c>
      <c r="D1219" s="127" t="s">
        <v>3548</v>
      </c>
      <c r="E1219" s="232"/>
    </row>
    <row r="1220" spans="1:5" ht="14.55" customHeight="1" outlineLevel="1" x14ac:dyDescent="0.25">
      <c r="A1220" s="230" t="s">
        <v>1422</v>
      </c>
      <c r="B1220" s="343" t="str">
        <f>"29.0406"</f>
        <v>29.0406</v>
      </c>
      <c r="C1220" s="75" t="s">
        <v>3549</v>
      </c>
      <c r="D1220" s="127" t="s">
        <v>3550</v>
      </c>
      <c r="E1220" s="232"/>
    </row>
    <row r="1221" spans="1:5" ht="14.55" customHeight="1" outlineLevel="1" x14ac:dyDescent="0.25">
      <c r="A1221" s="230" t="s">
        <v>1422</v>
      </c>
      <c r="B1221" s="343" t="str">
        <f>"29.0407"</f>
        <v>29.0407</v>
      </c>
      <c r="C1221" s="75" t="s">
        <v>3551</v>
      </c>
      <c r="D1221" s="127" t="s">
        <v>3552</v>
      </c>
      <c r="E1221" s="232"/>
    </row>
    <row r="1222" spans="1:5" ht="14.55" customHeight="1" outlineLevel="1" x14ac:dyDescent="0.25">
      <c r="A1222" s="230" t="s">
        <v>1422</v>
      </c>
      <c r="B1222" s="343" t="str">
        <f>"29.0408"</f>
        <v>29.0408</v>
      </c>
      <c r="C1222" s="75" t="s">
        <v>3553</v>
      </c>
      <c r="D1222" s="127" t="s">
        <v>3554</v>
      </c>
      <c r="E1222" s="232"/>
    </row>
    <row r="1223" spans="1:5" ht="14.55" customHeight="1" outlineLevel="1" x14ac:dyDescent="0.25">
      <c r="A1223" s="230" t="s">
        <v>1422</v>
      </c>
      <c r="B1223" s="343" t="str">
        <f>"29.0409"</f>
        <v>29.0409</v>
      </c>
      <c r="C1223" s="75" t="s">
        <v>3555</v>
      </c>
      <c r="D1223" s="127" t="s">
        <v>3556</v>
      </c>
      <c r="E1223" s="232"/>
    </row>
    <row r="1224" spans="1:5" ht="14.55" customHeight="1" outlineLevel="1" x14ac:dyDescent="0.25">
      <c r="A1224" s="230" t="s">
        <v>1422</v>
      </c>
      <c r="B1224" s="343" t="str">
        <f>"29.0499"</f>
        <v>29.0499</v>
      </c>
      <c r="C1224" s="75" t="s">
        <v>3557</v>
      </c>
      <c r="D1224" s="127" t="s">
        <v>3558</v>
      </c>
      <c r="E1224" s="232"/>
    </row>
    <row r="1225" spans="1:5" ht="14.55" customHeight="1" outlineLevel="1" x14ac:dyDescent="0.25">
      <c r="A1225" s="230" t="s">
        <v>1422</v>
      </c>
      <c r="B1225" s="343" t="str">
        <f>"29.05"</f>
        <v>29.05</v>
      </c>
      <c r="C1225" s="75" t="s">
        <v>1479</v>
      </c>
      <c r="D1225" s="127" t="s">
        <v>3559</v>
      </c>
      <c r="E1225" s="232"/>
    </row>
    <row r="1226" spans="1:5" ht="14.55" customHeight="1" outlineLevel="1" x14ac:dyDescent="0.25">
      <c r="A1226" s="230" t="s">
        <v>1422</v>
      </c>
      <c r="B1226" s="343" t="str">
        <f>"29.0501"</f>
        <v>29.0501</v>
      </c>
      <c r="C1226" s="75" t="s">
        <v>1479</v>
      </c>
      <c r="D1226" s="127" t="s">
        <v>1480</v>
      </c>
      <c r="E1226" s="232"/>
    </row>
    <row r="1227" spans="1:5" ht="14.55" customHeight="1" outlineLevel="1" x14ac:dyDescent="0.25">
      <c r="A1227" s="230" t="s">
        <v>1422</v>
      </c>
      <c r="B1227" s="343" t="str">
        <f>"29.06"</f>
        <v>29.06</v>
      </c>
      <c r="C1227" s="75" t="s">
        <v>3560</v>
      </c>
      <c r="D1227" s="127" t="s">
        <v>3561</v>
      </c>
      <c r="E1227" s="232"/>
    </row>
    <row r="1228" spans="1:5" ht="14.55" customHeight="1" outlineLevel="1" x14ac:dyDescent="0.25">
      <c r="A1228" s="230" t="s">
        <v>1422</v>
      </c>
      <c r="B1228" s="343" t="str">
        <f>"29.0601"</f>
        <v>29.0601</v>
      </c>
      <c r="C1228" s="75" t="s">
        <v>3560</v>
      </c>
      <c r="D1228" s="127" t="s">
        <v>3562</v>
      </c>
      <c r="E1228" s="232"/>
    </row>
    <row r="1229" spans="1:5" ht="14.55" customHeight="1" outlineLevel="1" x14ac:dyDescent="0.25">
      <c r="A1229" s="230" t="s">
        <v>1422</v>
      </c>
      <c r="B1229" s="343" t="str">
        <f>"29.99"</f>
        <v>29.99</v>
      </c>
      <c r="C1229" s="75" t="s">
        <v>3563</v>
      </c>
      <c r="D1229" s="127" t="s">
        <v>3564</v>
      </c>
      <c r="E1229" s="232"/>
    </row>
    <row r="1230" spans="1:5" ht="14.55" customHeight="1" outlineLevel="1" x14ac:dyDescent="0.25">
      <c r="A1230" s="230" t="s">
        <v>1422</v>
      </c>
      <c r="B1230" s="343" t="str">
        <f>"29.9999"</f>
        <v>29.9999</v>
      </c>
      <c r="C1230" s="75" t="s">
        <v>3563</v>
      </c>
      <c r="D1230" s="127" t="s">
        <v>3565</v>
      </c>
      <c r="E1230" s="232"/>
    </row>
    <row r="1231" spans="1:5" ht="14.55" customHeight="1" outlineLevel="1" x14ac:dyDescent="0.25">
      <c r="A1231" s="230" t="s">
        <v>1422</v>
      </c>
      <c r="B1231" s="343" t="str">
        <f>"30"</f>
        <v>30</v>
      </c>
      <c r="C1231" s="75" t="s">
        <v>3566</v>
      </c>
      <c r="D1231" s="127" t="s">
        <v>3567</v>
      </c>
      <c r="E1231" s="232"/>
    </row>
    <row r="1232" spans="1:5" ht="14.55" customHeight="1" outlineLevel="1" x14ac:dyDescent="0.25">
      <c r="A1232" s="230" t="s">
        <v>1422</v>
      </c>
      <c r="B1232" s="343" t="str">
        <f>"30.00"</f>
        <v>30.00</v>
      </c>
      <c r="C1232" s="75" t="s">
        <v>3568</v>
      </c>
      <c r="D1232" s="127" t="s">
        <v>3569</v>
      </c>
      <c r="E1232" s="232"/>
    </row>
    <row r="1233" spans="1:5" ht="14.55" customHeight="1" outlineLevel="1" x14ac:dyDescent="0.25">
      <c r="A1233" s="230" t="s">
        <v>1422</v>
      </c>
      <c r="B1233" s="343" t="str">
        <f>"30.0000"</f>
        <v>30.0000</v>
      </c>
      <c r="C1233" s="75" t="s">
        <v>3568</v>
      </c>
      <c r="D1233" s="127" t="s">
        <v>3570</v>
      </c>
      <c r="E1233" s="232"/>
    </row>
    <row r="1234" spans="1:5" ht="14.55" customHeight="1" outlineLevel="1" x14ac:dyDescent="0.25">
      <c r="A1234" s="230" t="s">
        <v>1422</v>
      </c>
      <c r="B1234" s="343" t="str">
        <f>"30.0001"</f>
        <v>30.0001</v>
      </c>
      <c r="C1234" s="75" t="s">
        <v>3571</v>
      </c>
      <c r="D1234" s="127" t="s">
        <v>3572</v>
      </c>
      <c r="E1234" s="232"/>
    </row>
    <row r="1235" spans="1:5" ht="14.55" customHeight="1" outlineLevel="1" x14ac:dyDescent="0.25">
      <c r="A1235" s="230" t="s">
        <v>1422</v>
      </c>
      <c r="B1235" s="343" t="str">
        <f>"30.01"</f>
        <v>30.01</v>
      </c>
      <c r="C1235" s="75" t="s">
        <v>3573</v>
      </c>
      <c r="D1235" s="127" t="s">
        <v>3574</v>
      </c>
      <c r="E1235" s="232"/>
    </row>
    <row r="1236" spans="1:5" ht="14.55" customHeight="1" outlineLevel="1" x14ac:dyDescent="0.25">
      <c r="A1236" s="230" t="s">
        <v>1422</v>
      </c>
      <c r="B1236" s="343" t="str">
        <f>"30.0101"</f>
        <v>30.0101</v>
      </c>
      <c r="C1236" s="75" t="s">
        <v>3573</v>
      </c>
      <c r="D1236" s="127" t="s">
        <v>3575</v>
      </c>
      <c r="E1236" s="232"/>
    </row>
    <row r="1237" spans="1:5" ht="14.55" customHeight="1" outlineLevel="1" x14ac:dyDescent="0.25">
      <c r="A1237" s="230" t="s">
        <v>1422</v>
      </c>
      <c r="B1237" s="343" t="str">
        <f>"30.05"</f>
        <v>30.05</v>
      </c>
      <c r="C1237" s="75" t="s">
        <v>3576</v>
      </c>
      <c r="D1237" s="127" t="s">
        <v>3577</v>
      </c>
      <c r="E1237" s="232"/>
    </row>
    <row r="1238" spans="1:5" ht="14.55" customHeight="1" outlineLevel="1" x14ac:dyDescent="0.25">
      <c r="A1238" s="230" t="s">
        <v>1422</v>
      </c>
      <c r="B1238" s="343" t="str">
        <f>"30.0501"</f>
        <v>30.0501</v>
      </c>
      <c r="C1238" s="75" t="s">
        <v>3576</v>
      </c>
      <c r="D1238" s="127" t="s">
        <v>3578</v>
      </c>
      <c r="E1238" s="232"/>
    </row>
    <row r="1239" spans="1:5" ht="14.55" customHeight="1" outlineLevel="1" x14ac:dyDescent="0.25">
      <c r="A1239" s="230" t="s">
        <v>1422</v>
      </c>
      <c r="B1239" s="343" t="str">
        <f>"30.06"</f>
        <v>30.06</v>
      </c>
      <c r="C1239" s="75" t="s">
        <v>3579</v>
      </c>
      <c r="D1239" s="127" t="s">
        <v>3580</v>
      </c>
      <c r="E1239" s="232"/>
    </row>
    <row r="1240" spans="1:5" ht="14.55" customHeight="1" outlineLevel="1" x14ac:dyDescent="0.25">
      <c r="A1240" s="230" t="s">
        <v>1422</v>
      </c>
      <c r="B1240" s="343" t="str">
        <f>"30.0601"</f>
        <v>30.0601</v>
      </c>
      <c r="C1240" s="75" t="s">
        <v>3579</v>
      </c>
      <c r="D1240" s="127" t="s">
        <v>3581</v>
      </c>
      <c r="E1240" s="232"/>
    </row>
    <row r="1241" spans="1:5" ht="14.55" customHeight="1" outlineLevel="1" x14ac:dyDescent="0.25">
      <c r="A1241" s="230" t="s">
        <v>1422</v>
      </c>
      <c r="B1241" s="343" t="str">
        <f>"30.08"</f>
        <v>30.08</v>
      </c>
      <c r="C1241" s="75" t="s">
        <v>3582</v>
      </c>
      <c r="D1241" s="127" t="s">
        <v>3583</v>
      </c>
      <c r="E1241" s="232"/>
    </row>
    <row r="1242" spans="1:5" ht="14.55" customHeight="1" outlineLevel="1" x14ac:dyDescent="0.25">
      <c r="A1242" s="230" t="s">
        <v>1422</v>
      </c>
      <c r="B1242" s="343" t="str">
        <f>"30.0801"</f>
        <v>30.0801</v>
      </c>
      <c r="C1242" s="75" t="s">
        <v>3582</v>
      </c>
      <c r="D1242" s="127" t="s">
        <v>3584</v>
      </c>
      <c r="E1242" s="232"/>
    </row>
    <row r="1243" spans="1:5" ht="14.55" customHeight="1" outlineLevel="1" x14ac:dyDescent="0.25">
      <c r="A1243" s="230" t="s">
        <v>1422</v>
      </c>
      <c r="B1243" s="343" t="str">
        <f>"30.10"</f>
        <v>30.10</v>
      </c>
      <c r="C1243" s="75" t="s">
        <v>3585</v>
      </c>
      <c r="D1243" s="127" t="s">
        <v>3586</v>
      </c>
      <c r="E1243" s="232"/>
    </row>
    <row r="1244" spans="1:5" ht="14.55" customHeight="1" outlineLevel="1" x14ac:dyDescent="0.25">
      <c r="A1244" s="230" t="s">
        <v>1422</v>
      </c>
      <c r="B1244" s="343" t="str">
        <f>"30.1001"</f>
        <v>30.1001</v>
      </c>
      <c r="C1244" s="75" t="s">
        <v>3585</v>
      </c>
      <c r="D1244" s="127" t="s">
        <v>3587</v>
      </c>
      <c r="E1244" s="232"/>
    </row>
    <row r="1245" spans="1:5" ht="14.55" customHeight="1" outlineLevel="1" x14ac:dyDescent="0.25">
      <c r="A1245" s="230" t="s">
        <v>1422</v>
      </c>
      <c r="B1245" s="343" t="str">
        <f>"30.11"</f>
        <v>30.11</v>
      </c>
      <c r="C1245" s="75" t="s">
        <v>3588</v>
      </c>
      <c r="D1245" s="127" t="s">
        <v>3589</v>
      </c>
      <c r="E1245" s="232"/>
    </row>
    <row r="1246" spans="1:5" ht="14.55" customHeight="1" outlineLevel="1" x14ac:dyDescent="0.25">
      <c r="A1246" s="230" t="s">
        <v>1422</v>
      </c>
      <c r="B1246" s="343" t="str">
        <f>"30.1101"</f>
        <v>30.1101</v>
      </c>
      <c r="C1246" s="75" t="s">
        <v>3588</v>
      </c>
      <c r="D1246" s="127" t="s">
        <v>3590</v>
      </c>
      <c r="E1246" s="232"/>
    </row>
    <row r="1247" spans="1:5" ht="14.55" customHeight="1" outlineLevel="1" x14ac:dyDescent="0.25">
      <c r="A1247" s="230" t="s">
        <v>1422</v>
      </c>
      <c r="B1247" s="343" t="str">
        <f>"30.12"</f>
        <v>30.12</v>
      </c>
      <c r="C1247" s="75" t="s">
        <v>3591</v>
      </c>
      <c r="D1247" s="127" t="s">
        <v>3592</v>
      </c>
      <c r="E1247" s="232"/>
    </row>
    <row r="1248" spans="1:5" ht="14.55" customHeight="1" outlineLevel="1" x14ac:dyDescent="0.25">
      <c r="A1248" s="230" t="s">
        <v>1422</v>
      </c>
      <c r="B1248" s="343" t="str">
        <f>"30.1201"</f>
        <v>30.1201</v>
      </c>
      <c r="C1248" s="75" t="s">
        <v>3593</v>
      </c>
      <c r="D1248" s="127" t="s">
        <v>3594</v>
      </c>
      <c r="E1248" s="232"/>
    </row>
    <row r="1249" spans="1:5" ht="14.55" customHeight="1" outlineLevel="1" x14ac:dyDescent="0.25">
      <c r="A1249" s="230" t="s">
        <v>1422</v>
      </c>
      <c r="B1249" s="343" t="str">
        <f>"30.1202"</f>
        <v>30.1202</v>
      </c>
      <c r="C1249" s="75" t="s">
        <v>3595</v>
      </c>
      <c r="D1249" s="127" t="s">
        <v>3596</v>
      </c>
      <c r="E1249" s="232"/>
    </row>
    <row r="1250" spans="1:5" ht="14.55" customHeight="1" outlineLevel="1" x14ac:dyDescent="0.25">
      <c r="A1250" s="230" t="s">
        <v>1422</v>
      </c>
      <c r="B1250" s="343" t="str">
        <f>"30.1299"</f>
        <v>30.1299</v>
      </c>
      <c r="C1250" s="75" t="s">
        <v>3597</v>
      </c>
      <c r="D1250" s="127" t="s">
        <v>3598</v>
      </c>
      <c r="E1250" s="232"/>
    </row>
    <row r="1251" spans="1:5" ht="14.55" customHeight="1" outlineLevel="1" x14ac:dyDescent="0.25">
      <c r="A1251" s="230" t="s">
        <v>1422</v>
      </c>
      <c r="B1251" s="343" t="str">
        <f>"30.13"</f>
        <v>30.13</v>
      </c>
      <c r="C1251" s="75" t="s">
        <v>3599</v>
      </c>
      <c r="D1251" s="127" t="s">
        <v>3600</v>
      </c>
      <c r="E1251" s="232"/>
    </row>
    <row r="1252" spans="1:5" ht="14.55" customHeight="1" outlineLevel="1" x14ac:dyDescent="0.25">
      <c r="A1252" s="230" t="s">
        <v>1422</v>
      </c>
      <c r="B1252" s="343" t="str">
        <f>"30.1301"</f>
        <v>30.1301</v>
      </c>
      <c r="C1252" s="75" t="s">
        <v>3599</v>
      </c>
      <c r="D1252" s="127" t="s">
        <v>3601</v>
      </c>
      <c r="E1252" s="232"/>
    </row>
    <row r="1253" spans="1:5" ht="14.55" customHeight="1" outlineLevel="1" x14ac:dyDescent="0.25">
      <c r="A1253" s="230" t="s">
        <v>1422</v>
      </c>
      <c r="B1253" s="343" t="str">
        <f>"30.14"</f>
        <v>30.14</v>
      </c>
      <c r="C1253" s="75" t="s">
        <v>3602</v>
      </c>
      <c r="D1253" s="127" t="s">
        <v>3603</v>
      </c>
      <c r="E1253" s="232"/>
    </row>
    <row r="1254" spans="1:5" ht="14.55" customHeight="1" outlineLevel="1" x14ac:dyDescent="0.25">
      <c r="A1254" s="230" t="s">
        <v>1422</v>
      </c>
      <c r="B1254" s="343" t="str">
        <f>"30.1401"</f>
        <v>30.1401</v>
      </c>
      <c r="C1254" s="75" t="s">
        <v>3602</v>
      </c>
      <c r="D1254" s="127" t="s">
        <v>3604</v>
      </c>
      <c r="E1254" s="232"/>
    </row>
    <row r="1255" spans="1:5" ht="14.55" customHeight="1" outlineLevel="1" x14ac:dyDescent="0.25">
      <c r="A1255" s="230" t="s">
        <v>1422</v>
      </c>
      <c r="B1255" s="343" t="str">
        <f>"30.15"</f>
        <v>30.15</v>
      </c>
      <c r="C1255" s="75" t="s">
        <v>3605</v>
      </c>
      <c r="D1255" s="127" t="s">
        <v>3606</v>
      </c>
      <c r="E1255" s="232"/>
    </row>
    <row r="1256" spans="1:5" ht="14.55" customHeight="1" outlineLevel="1" x14ac:dyDescent="0.25">
      <c r="A1256" s="230" t="s">
        <v>1422</v>
      </c>
      <c r="B1256" s="343" t="str">
        <f>"30.1501"</f>
        <v>30.1501</v>
      </c>
      <c r="C1256" s="75" t="s">
        <v>3605</v>
      </c>
      <c r="D1256" s="127" t="s">
        <v>3607</v>
      </c>
      <c r="E1256" s="232"/>
    </row>
    <row r="1257" spans="1:5" ht="14.55" customHeight="1" outlineLevel="1" x14ac:dyDescent="0.25">
      <c r="A1257" s="230" t="s">
        <v>1422</v>
      </c>
      <c r="B1257" s="343" t="str">
        <f>"30.16"</f>
        <v>30.16</v>
      </c>
      <c r="C1257" s="75" t="s">
        <v>3608</v>
      </c>
      <c r="D1257" s="127" t="s">
        <v>3609</v>
      </c>
      <c r="E1257" s="232"/>
    </row>
    <row r="1258" spans="1:5" ht="14.55" customHeight="1" outlineLevel="1" x14ac:dyDescent="0.25">
      <c r="A1258" s="230" t="s">
        <v>1422</v>
      </c>
      <c r="B1258" s="343" t="str">
        <f>"30.1601"</f>
        <v>30.1601</v>
      </c>
      <c r="C1258" s="75" t="s">
        <v>3608</v>
      </c>
      <c r="D1258" s="127" t="s">
        <v>3610</v>
      </c>
      <c r="E1258" s="232"/>
    </row>
    <row r="1259" spans="1:5" ht="14.55" customHeight="1" outlineLevel="1" x14ac:dyDescent="0.25">
      <c r="A1259" s="230" t="s">
        <v>1422</v>
      </c>
      <c r="B1259" s="343" t="str">
        <f>"30.17"</f>
        <v>30.17</v>
      </c>
      <c r="C1259" s="75" t="s">
        <v>3611</v>
      </c>
      <c r="D1259" s="127" t="s">
        <v>3612</v>
      </c>
      <c r="E1259" s="232"/>
    </row>
    <row r="1260" spans="1:5" ht="14.55" customHeight="1" outlineLevel="1" x14ac:dyDescent="0.25">
      <c r="A1260" s="230" t="s">
        <v>1422</v>
      </c>
      <c r="B1260" s="343" t="str">
        <f>"30.1701"</f>
        <v>30.1701</v>
      </c>
      <c r="C1260" s="75" t="s">
        <v>3611</v>
      </c>
      <c r="D1260" s="127" t="s">
        <v>3613</v>
      </c>
      <c r="E1260" s="232"/>
    </row>
    <row r="1261" spans="1:5" ht="14.55" customHeight="1" outlineLevel="1" x14ac:dyDescent="0.25">
      <c r="A1261" s="230" t="s">
        <v>1422</v>
      </c>
      <c r="B1261" s="343" t="str">
        <f>"30.18"</f>
        <v>30.18</v>
      </c>
      <c r="C1261" s="75" t="s">
        <v>3614</v>
      </c>
      <c r="D1261" s="127" t="s">
        <v>3615</v>
      </c>
      <c r="E1261" s="232"/>
    </row>
    <row r="1262" spans="1:5" ht="14.55" customHeight="1" outlineLevel="1" x14ac:dyDescent="0.25">
      <c r="A1262" s="230" t="s">
        <v>1422</v>
      </c>
      <c r="B1262" s="343" t="str">
        <f>"30.1801"</f>
        <v>30.1801</v>
      </c>
      <c r="C1262" s="75" t="s">
        <v>3614</v>
      </c>
      <c r="D1262" s="127" t="s">
        <v>3616</v>
      </c>
      <c r="E1262" s="232"/>
    </row>
    <row r="1263" spans="1:5" ht="14.55" customHeight="1" outlineLevel="1" x14ac:dyDescent="0.25">
      <c r="A1263" s="230" t="s">
        <v>1422</v>
      </c>
      <c r="B1263" s="343" t="str">
        <f>"30.19"</f>
        <v>30.19</v>
      </c>
      <c r="C1263" s="75" t="s">
        <v>3617</v>
      </c>
      <c r="D1263" s="127" t="s">
        <v>3618</v>
      </c>
      <c r="E1263" s="232"/>
    </row>
    <row r="1264" spans="1:5" ht="14.55" customHeight="1" outlineLevel="1" x14ac:dyDescent="0.25">
      <c r="A1264" s="230" t="s">
        <v>1422</v>
      </c>
      <c r="B1264" s="343" t="str">
        <f>"30.1901"</f>
        <v>30.1901</v>
      </c>
      <c r="C1264" s="75" t="s">
        <v>3617</v>
      </c>
      <c r="D1264" s="127" t="s">
        <v>3619</v>
      </c>
      <c r="E1264" s="232"/>
    </row>
    <row r="1265" spans="1:5" ht="14.55" customHeight="1" outlineLevel="1" x14ac:dyDescent="0.25">
      <c r="A1265" s="230" t="s">
        <v>1422</v>
      </c>
      <c r="B1265" s="343" t="str">
        <f>"30.20"</f>
        <v>30.20</v>
      </c>
      <c r="C1265" s="75" t="s">
        <v>3620</v>
      </c>
      <c r="D1265" s="127" t="s">
        <v>3621</v>
      </c>
      <c r="E1265" s="232"/>
    </row>
    <row r="1266" spans="1:5" ht="14.55" customHeight="1" outlineLevel="1" x14ac:dyDescent="0.25">
      <c r="A1266" s="230" t="s">
        <v>1422</v>
      </c>
      <c r="B1266" s="343" t="str">
        <f>"30.2001"</f>
        <v>30.2001</v>
      </c>
      <c r="C1266" s="75" t="s">
        <v>3620</v>
      </c>
      <c r="D1266" s="127" t="s">
        <v>3622</v>
      </c>
      <c r="E1266" s="232"/>
    </row>
    <row r="1267" spans="1:5" ht="14.55" customHeight="1" outlineLevel="1" x14ac:dyDescent="0.25">
      <c r="A1267" s="230" t="s">
        <v>1422</v>
      </c>
      <c r="B1267" s="343" t="str">
        <f>"30.21"</f>
        <v>30.21</v>
      </c>
      <c r="C1267" s="75" t="s">
        <v>3623</v>
      </c>
      <c r="D1267" s="127" t="s">
        <v>3624</v>
      </c>
      <c r="E1267" s="232"/>
    </row>
    <row r="1268" spans="1:5" ht="14.55" customHeight="1" outlineLevel="1" x14ac:dyDescent="0.25">
      <c r="A1268" s="230" t="s">
        <v>1422</v>
      </c>
      <c r="B1268" s="343" t="str">
        <f>"30.2101"</f>
        <v>30.2101</v>
      </c>
      <c r="C1268" s="75" t="s">
        <v>3623</v>
      </c>
      <c r="D1268" s="127" t="s">
        <v>3625</v>
      </c>
      <c r="E1268" s="232"/>
    </row>
    <row r="1269" spans="1:5" ht="14.55" customHeight="1" outlineLevel="1" x14ac:dyDescent="0.25">
      <c r="A1269" s="230" t="s">
        <v>1422</v>
      </c>
      <c r="B1269" s="343" t="str">
        <f>"30.22"</f>
        <v>30.22</v>
      </c>
      <c r="C1269" s="75" t="s">
        <v>3626</v>
      </c>
      <c r="D1269" s="127" t="s">
        <v>3627</v>
      </c>
      <c r="E1269" s="232"/>
    </row>
    <row r="1270" spans="1:5" ht="14.55" customHeight="1" outlineLevel="1" x14ac:dyDescent="0.25">
      <c r="A1270" s="230" t="s">
        <v>1422</v>
      </c>
      <c r="B1270" s="343" t="str">
        <f>"30.2201"</f>
        <v>30.2201</v>
      </c>
      <c r="C1270" s="75" t="s">
        <v>3628</v>
      </c>
      <c r="D1270" s="127" t="s">
        <v>3629</v>
      </c>
      <c r="E1270" s="232"/>
    </row>
    <row r="1271" spans="1:5" ht="14.55" customHeight="1" outlineLevel="1" x14ac:dyDescent="0.25">
      <c r="A1271" s="230" t="s">
        <v>1422</v>
      </c>
      <c r="B1271" s="343" t="str">
        <f>"30.2202"</f>
        <v>30.2202</v>
      </c>
      <c r="C1271" s="75" t="s">
        <v>3630</v>
      </c>
      <c r="D1271" s="127" t="s">
        <v>3631</v>
      </c>
      <c r="E1271" s="232"/>
    </row>
    <row r="1272" spans="1:5" ht="14.55" customHeight="1" outlineLevel="1" x14ac:dyDescent="0.25">
      <c r="A1272" s="230" t="s">
        <v>1422</v>
      </c>
      <c r="B1272" s="343" t="str">
        <f>"30.2299"</f>
        <v>30.2299</v>
      </c>
      <c r="C1272" s="75" t="s">
        <v>3632</v>
      </c>
      <c r="D1272" s="127" t="s">
        <v>3633</v>
      </c>
      <c r="E1272" s="232"/>
    </row>
    <row r="1273" spans="1:5" ht="14.55" customHeight="1" outlineLevel="1" x14ac:dyDescent="0.25">
      <c r="A1273" s="230" t="s">
        <v>1422</v>
      </c>
      <c r="B1273" s="343" t="str">
        <f>"30.23"</f>
        <v>30.23</v>
      </c>
      <c r="C1273" s="75" t="s">
        <v>3634</v>
      </c>
      <c r="D1273" s="127" t="s">
        <v>3635</v>
      </c>
      <c r="E1273" s="232"/>
    </row>
    <row r="1274" spans="1:5" ht="14.55" customHeight="1" outlineLevel="1" x14ac:dyDescent="0.25">
      <c r="A1274" s="230" t="s">
        <v>1422</v>
      </c>
      <c r="B1274" s="343" t="str">
        <f>"30.2301"</f>
        <v>30.2301</v>
      </c>
      <c r="C1274" s="75" t="s">
        <v>3634</v>
      </c>
      <c r="D1274" s="127" t="s">
        <v>3636</v>
      </c>
      <c r="E1274" s="232"/>
    </row>
    <row r="1275" spans="1:5" ht="14.55" customHeight="1" outlineLevel="1" x14ac:dyDescent="0.25">
      <c r="A1275" s="230" t="s">
        <v>1422</v>
      </c>
      <c r="B1275" s="343" t="str">
        <f>"30.25"</f>
        <v>30.25</v>
      </c>
      <c r="C1275" s="75" t="s">
        <v>3637</v>
      </c>
      <c r="D1275" s="127" t="s">
        <v>3638</v>
      </c>
      <c r="E1275" s="232"/>
    </row>
    <row r="1276" spans="1:5" ht="14.55" customHeight="1" outlineLevel="1" x14ac:dyDescent="0.25">
      <c r="A1276" s="230" t="s">
        <v>1422</v>
      </c>
      <c r="B1276" s="343" t="str">
        <f>"30.2501"</f>
        <v>30.2501</v>
      </c>
      <c r="C1276" s="75" t="s">
        <v>3639</v>
      </c>
      <c r="D1276" s="127" t="s">
        <v>3640</v>
      </c>
      <c r="E1276" s="232"/>
    </row>
    <row r="1277" spans="1:5" ht="14.55" customHeight="1" outlineLevel="1" x14ac:dyDescent="0.25">
      <c r="A1277" s="230" t="s">
        <v>1422</v>
      </c>
      <c r="B1277" s="343" t="str">
        <f>"30.2502"</f>
        <v>30.2502</v>
      </c>
      <c r="C1277" s="75" t="s">
        <v>3641</v>
      </c>
      <c r="D1277" s="127" t="s">
        <v>3642</v>
      </c>
      <c r="E1277" s="232"/>
    </row>
    <row r="1278" spans="1:5" ht="14.55" customHeight="1" outlineLevel="1" x14ac:dyDescent="0.25">
      <c r="A1278" s="230" t="s">
        <v>1422</v>
      </c>
      <c r="B1278" s="343" t="str">
        <f>"30.2599"</f>
        <v>30.2599</v>
      </c>
      <c r="C1278" s="75" t="s">
        <v>3643</v>
      </c>
      <c r="D1278" s="127" t="s">
        <v>3644</v>
      </c>
      <c r="E1278" s="232"/>
    </row>
    <row r="1279" spans="1:5" ht="14.55" customHeight="1" outlineLevel="1" x14ac:dyDescent="0.25">
      <c r="A1279" s="230" t="s">
        <v>1422</v>
      </c>
      <c r="B1279" s="343" t="str">
        <f>"30.26"</f>
        <v>30.26</v>
      </c>
      <c r="C1279" s="75" t="s">
        <v>3645</v>
      </c>
      <c r="D1279" s="127" t="s">
        <v>3646</v>
      </c>
      <c r="E1279" s="232"/>
    </row>
    <row r="1280" spans="1:5" ht="14.55" customHeight="1" outlineLevel="1" x14ac:dyDescent="0.25">
      <c r="A1280" s="230" t="s">
        <v>1422</v>
      </c>
      <c r="B1280" s="343" t="str">
        <f>"30.2601"</f>
        <v>30.2601</v>
      </c>
      <c r="C1280" s="75" t="s">
        <v>3645</v>
      </c>
      <c r="D1280" s="127" t="s">
        <v>3647</v>
      </c>
      <c r="E1280" s="232"/>
    </row>
    <row r="1281" spans="1:5" ht="14.55" customHeight="1" outlineLevel="1" x14ac:dyDescent="0.25">
      <c r="A1281" s="230" t="s">
        <v>1422</v>
      </c>
      <c r="B1281" s="343" t="str">
        <f>"30.27"</f>
        <v>30.27</v>
      </c>
      <c r="C1281" s="75" t="s">
        <v>3648</v>
      </c>
      <c r="D1281" s="127" t="s">
        <v>3649</v>
      </c>
      <c r="E1281" s="232"/>
    </row>
    <row r="1282" spans="1:5" ht="14.55" customHeight="1" outlineLevel="1" x14ac:dyDescent="0.25">
      <c r="A1282" s="230" t="s">
        <v>1422</v>
      </c>
      <c r="B1282" s="343" t="str">
        <f>"30.2701"</f>
        <v>30.2701</v>
      </c>
      <c r="C1282" s="75" t="s">
        <v>3648</v>
      </c>
      <c r="D1282" s="127" t="s">
        <v>3650</v>
      </c>
      <c r="E1282" s="232"/>
    </row>
    <row r="1283" spans="1:5" ht="14.55" customHeight="1" outlineLevel="1" x14ac:dyDescent="0.25">
      <c r="A1283" s="230" t="s">
        <v>1422</v>
      </c>
      <c r="B1283" s="343" t="str">
        <f>"30.28"</f>
        <v>30.28</v>
      </c>
      <c r="C1283" s="75" t="s">
        <v>3651</v>
      </c>
      <c r="D1283" s="127" t="s">
        <v>3652</v>
      </c>
      <c r="E1283" s="232"/>
    </row>
    <row r="1284" spans="1:5" ht="14.55" customHeight="1" outlineLevel="1" x14ac:dyDescent="0.25">
      <c r="A1284" s="230" t="s">
        <v>1422</v>
      </c>
      <c r="B1284" s="343" t="str">
        <f>"30.2801"</f>
        <v>30.2801</v>
      </c>
      <c r="C1284" s="75" t="s">
        <v>3651</v>
      </c>
      <c r="D1284" s="127" t="s">
        <v>3653</v>
      </c>
      <c r="E1284" s="232"/>
    </row>
    <row r="1285" spans="1:5" ht="14.55" customHeight="1" outlineLevel="1" x14ac:dyDescent="0.25">
      <c r="A1285" s="230" t="s">
        <v>1422</v>
      </c>
      <c r="B1285" s="343" t="str">
        <f>"30.29"</f>
        <v>30.29</v>
      </c>
      <c r="C1285" s="75" t="s">
        <v>3654</v>
      </c>
      <c r="D1285" s="127" t="s">
        <v>3655</v>
      </c>
      <c r="E1285" s="232"/>
    </row>
    <row r="1286" spans="1:5" ht="14.55" customHeight="1" outlineLevel="1" x14ac:dyDescent="0.25">
      <c r="A1286" s="230" t="s">
        <v>1422</v>
      </c>
      <c r="B1286" s="343" t="str">
        <f>"30.2901"</f>
        <v>30.2901</v>
      </c>
      <c r="C1286" s="75" t="s">
        <v>3654</v>
      </c>
      <c r="D1286" s="127" t="s">
        <v>3656</v>
      </c>
      <c r="E1286" s="232"/>
    </row>
    <row r="1287" spans="1:5" ht="14.55" customHeight="1" outlineLevel="1" x14ac:dyDescent="0.25">
      <c r="A1287" s="230" t="s">
        <v>1422</v>
      </c>
      <c r="B1287" s="343" t="str">
        <f>"30.30"</f>
        <v>30.30</v>
      </c>
      <c r="C1287" s="75" t="s">
        <v>3657</v>
      </c>
      <c r="D1287" s="127" t="s">
        <v>3658</v>
      </c>
      <c r="E1287" s="232"/>
    </row>
    <row r="1288" spans="1:5" ht="14.55" customHeight="1" outlineLevel="1" x14ac:dyDescent="0.25">
      <c r="A1288" s="230" t="s">
        <v>1422</v>
      </c>
      <c r="B1288" s="343" t="str">
        <f>"30.3001"</f>
        <v>30.3001</v>
      </c>
      <c r="C1288" s="75" t="s">
        <v>3657</v>
      </c>
      <c r="D1288" s="127" t="s">
        <v>3659</v>
      </c>
      <c r="E1288" s="232"/>
    </row>
    <row r="1289" spans="1:5" ht="14.55" customHeight="1" outlineLevel="1" x14ac:dyDescent="0.25">
      <c r="A1289" s="230" t="s">
        <v>1422</v>
      </c>
      <c r="B1289" s="343" t="str">
        <f>"30.31"</f>
        <v>30.31</v>
      </c>
      <c r="C1289" s="75" t="s">
        <v>3660</v>
      </c>
      <c r="D1289" s="127" t="s">
        <v>3661</v>
      </c>
      <c r="E1289" s="232"/>
    </row>
    <row r="1290" spans="1:5" ht="14.55" customHeight="1" outlineLevel="1" x14ac:dyDescent="0.25">
      <c r="A1290" s="230" t="s">
        <v>1422</v>
      </c>
      <c r="B1290" s="343" t="str">
        <f>"30.3101"</f>
        <v>30.3101</v>
      </c>
      <c r="C1290" s="75" t="s">
        <v>3660</v>
      </c>
      <c r="D1290" s="127" t="s">
        <v>3662</v>
      </c>
      <c r="E1290" s="232"/>
    </row>
    <row r="1291" spans="1:5" ht="14.55" customHeight="1" outlineLevel="1" x14ac:dyDescent="0.25">
      <c r="A1291" s="230" t="s">
        <v>1422</v>
      </c>
      <c r="B1291" s="343" t="str">
        <f>"30.32"</f>
        <v>30.32</v>
      </c>
      <c r="C1291" s="75" t="s">
        <v>3663</v>
      </c>
      <c r="D1291" s="127" t="s">
        <v>3664</v>
      </c>
      <c r="E1291" s="232"/>
    </row>
    <row r="1292" spans="1:5" ht="14.55" customHeight="1" outlineLevel="1" x14ac:dyDescent="0.25">
      <c r="A1292" s="230" t="s">
        <v>1422</v>
      </c>
      <c r="B1292" s="343" t="str">
        <f>"30.3201"</f>
        <v>30.3201</v>
      </c>
      <c r="C1292" s="75" t="s">
        <v>3663</v>
      </c>
      <c r="D1292" s="127" t="s">
        <v>3665</v>
      </c>
      <c r="E1292" s="232"/>
    </row>
    <row r="1293" spans="1:5" ht="14.55" customHeight="1" outlineLevel="1" x14ac:dyDescent="0.25">
      <c r="A1293" s="230" t="s">
        <v>1422</v>
      </c>
      <c r="B1293" s="343" t="str">
        <f>"30.33"</f>
        <v>30.33</v>
      </c>
      <c r="C1293" s="75" t="s">
        <v>3666</v>
      </c>
      <c r="D1293" s="127" t="s">
        <v>3667</v>
      </c>
      <c r="E1293" s="232"/>
    </row>
    <row r="1294" spans="1:5" ht="14.55" customHeight="1" outlineLevel="1" x14ac:dyDescent="0.25">
      <c r="A1294" s="230" t="s">
        <v>1422</v>
      </c>
      <c r="B1294" s="343" t="str">
        <f>"30.3301"</f>
        <v>30.3301</v>
      </c>
      <c r="C1294" s="75" t="s">
        <v>3666</v>
      </c>
      <c r="D1294" s="127" t="s">
        <v>3668</v>
      </c>
      <c r="E1294" s="232"/>
    </row>
    <row r="1295" spans="1:5" ht="14.55" customHeight="1" outlineLevel="1" x14ac:dyDescent="0.25">
      <c r="A1295" s="230" t="s">
        <v>1422</v>
      </c>
      <c r="B1295" s="343" t="str">
        <f>"30.34"</f>
        <v>30.34</v>
      </c>
      <c r="C1295" s="75" t="s">
        <v>3669</v>
      </c>
      <c r="D1295" s="127" t="s">
        <v>3670</v>
      </c>
      <c r="E1295" s="232"/>
    </row>
    <row r="1296" spans="1:5" ht="14.55" customHeight="1" outlineLevel="1" x14ac:dyDescent="0.25">
      <c r="A1296" s="230" t="s">
        <v>1422</v>
      </c>
      <c r="B1296" s="343" t="str">
        <f>"30.3401"</f>
        <v>30.3401</v>
      </c>
      <c r="C1296" s="75" t="s">
        <v>3669</v>
      </c>
      <c r="D1296" s="127" t="s">
        <v>3671</v>
      </c>
      <c r="E1296" s="232"/>
    </row>
    <row r="1297" spans="1:5" ht="14.55" customHeight="1" outlineLevel="1" x14ac:dyDescent="0.25">
      <c r="A1297" s="230" t="s">
        <v>1422</v>
      </c>
      <c r="B1297" s="343" t="str">
        <f>"30.35"</f>
        <v>30.35</v>
      </c>
      <c r="C1297" s="75" t="s">
        <v>3672</v>
      </c>
      <c r="D1297" s="127" t="s">
        <v>3673</v>
      </c>
      <c r="E1297" s="232"/>
    </row>
    <row r="1298" spans="1:5" ht="14.55" customHeight="1" outlineLevel="1" x14ac:dyDescent="0.25">
      <c r="A1298" s="230" t="s">
        <v>1422</v>
      </c>
      <c r="B1298" s="343" t="str">
        <f>"30.3501"</f>
        <v>30.3501</v>
      </c>
      <c r="C1298" s="75" t="s">
        <v>3672</v>
      </c>
      <c r="D1298" s="127" t="s">
        <v>3674</v>
      </c>
      <c r="E1298" s="232"/>
    </row>
    <row r="1299" spans="1:5" ht="14.55" customHeight="1" outlineLevel="1" x14ac:dyDescent="0.25">
      <c r="A1299" s="230" t="s">
        <v>1422</v>
      </c>
      <c r="B1299" s="343" t="str">
        <f>"30.36"</f>
        <v>30.36</v>
      </c>
      <c r="C1299" s="75" t="s">
        <v>3675</v>
      </c>
      <c r="D1299" s="127" t="s">
        <v>3676</v>
      </c>
      <c r="E1299" s="232"/>
    </row>
    <row r="1300" spans="1:5" ht="14.55" customHeight="1" outlineLevel="1" x14ac:dyDescent="0.25">
      <c r="A1300" s="230" t="s">
        <v>1422</v>
      </c>
      <c r="B1300" s="343" t="str">
        <f>"30.3601"</f>
        <v>30.3601</v>
      </c>
      <c r="C1300" s="75" t="s">
        <v>3675</v>
      </c>
      <c r="D1300" s="127" t="s">
        <v>3677</v>
      </c>
      <c r="E1300" s="232"/>
    </row>
    <row r="1301" spans="1:5" ht="14.55" customHeight="1" outlineLevel="1" x14ac:dyDescent="0.25">
      <c r="A1301" s="230" t="s">
        <v>1422</v>
      </c>
      <c r="B1301" s="343" t="str">
        <f>"30.37"</f>
        <v>30.37</v>
      </c>
      <c r="C1301" s="75" t="s">
        <v>3678</v>
      </c>
      <c r="D1301" s="127" t="s">
        <v>3679</v>
      </c>
      <c r="E1301" s="232"/>
    </row>
    <row r="1302" spans="1:5" ht="14.55" customHeight="1" outlineLevel="1" x14ac:dyDescent="0.25">
      <c r="A1302" s="230" t="s">
        <v>1422</v>
      </c>
      <c r="B1302" s="343" t="str">
        <f>"30.3701"</f>
        <v>30.3701</v>
      </c>
      <c r="C1302" s="75" t="s">
        <v>3678</v>
      </c>
      <c r="D1302" s="127" t="s">
        <v>3680</v>
      </c>
      <c r="E1302" s="232"/>
    </row>
    <row r="1303" spans="1:5" ht="14.55" customHeight="1" outlineLevel="1" x14ac:dyDescent="0.25">
      <c r="A1303" s="230" t="s">
        <v>1422</v>
      </c>
      <c r="B1303" s="343" t="str">
        <f>"30.38"</f>
        <v>30.38</v>
      </c>
      <c r="C1303" s="75" t="s">
        <v>3681</v>
      </c>
      <c r="D1303" s="127" t="s">
        <v>3682</v>
      </c>
      <c r="E1303" s="232"/>
    </row>
    <row r="1304" spans="1:5" ht="14.55" customHeight="1" outlineLevel="1" x14ac:dyDescent="0.25">
      <c r="A1304" s="230" t="s">
        <v>1422</v>
      </c>
      <c r="B1304" s="343" t="str">
        <f>"30.3801"</f>
        <v>30.3801</v>
      </c>
      <c r="C1304" s="75" t="s">
        <v>3681</v>
      </c>
      <c r="D1304" s="127" t="s">
        <v>3683</v>
      </c>
      <c r="E1304" s="232"/>
    </row>
    <row r="1305" spans="1:5" ht="14.55" customHeight="1" outlineLevel="1" x14ac:dyDescent="0.25">
      <c r="A1305" s="230" t="s">
        <v>1422</v>
      </c>
      <c r="B1305" s="343" t="str">
        <f>"30.39"</f>
        <v>30.39</v>
      </c>
      <c r="C1305" s="75" t="s">
        <v>3684</v>
      </c>
      <c r="D1305" s="127" t="s">
        <v>3685</v>
      </c>
      <c r="E1305" s="232"/>
    </row>
    <row r="1306" spans="1:5" ht="14.55" customHeight="1" outlineLevel="1" x14ac:dyDescent="0.25">
      <c r="A1306" s="230" t="s">
        <v>1422</v>
      </c>
      <c r="B1306" s="343" t="str">
        <f>"30.3901"</f>
        <v>30.3901</v>
      </c>
      <c r="C1306" s="75" t="s">
        <v>3684</v>
      </c>
      <c r="D1306" s="127" t="s">
        <v>3686</v>
      </c>
      <c r="E1306" s="232"/>
    </row>
    <row r="1307" spans="1:5" ht="14.55" customHeight="1" outlineLevel="1" x14ac:dyDescent="0.25">
      <c r="A1307" s="230" t="s">
        <v>1422</v>
      </c>
      <c r="B1307" s="343" t="str">
        <f>"30.40"</f>
        <v>30.40</v>
      </c>
      <c r="C1307" s="75" t="s">
        <v>3687</v>
      </c>
      <c r="D1307" s="127" t="s">
        <v>3688</v>
      </c>
      <c r="E1307" s="232"/>
    </row>
    <row r="1308" spans="1:5" ht="14.55" customHeight="1" outlineLevel="1" x14ac:dyDescent="0.25">
      <c r="A1308" s="230" t="s">
        <v>1422</v>
      </c>
      <c r="B1308" s="343" t="str">
        <f>"30.4001"</f>
        <v>30.4001</v>
      </c>
      <c r="C1308" s="75" t="s">
        <v>3687</v>
      </c>
      <c r="D1308" s="127" t="s">
        <v>3689</v>
      </c>
      <c r="E1308" s="232"/>
    </row>
    <row r="1309" spans="1:5" ht="14.55" customHeight="1" outlineLevel="1" x14ac:dyDescent="0.25">
      <c r="A1309" s="230" t="s">
        <v>1422</v>
      </c>
      <c r="B1309" s="343" t="str">
        <f>"30.41"</f>
        <v>30.41</v>
      </c>
      <c r="C1309" s="75" t="s">
        <v>3690</v>
      </c>
      <c r="D1309" s="127" t="s">
        <v>3691</v>
      </c>
      <c r="E1309" s="232"/>
    </row>
    <row r="1310" spans="1:5" ht="14.55" customHeight="1" outlineLevel="1" x14ac:dyDescent="0.25">
      <c r="A1310" s="230" t="s">
        <v>1422</v>
      </c>
      <c r="B1310" s="343" t="str">
        <f>"30.4101"</f>
        <v>30.4101</v>
      </c>
      <c r="C1310" s="75" t="s">
        <v>3690</v>
      </c>
      <c r="D1310" s="127" t="s">
        <v>3692</v>
      </c>
      <c r="E1310" s="232"/>
    </row>
    <row r="1311" spans="1:5" ht="14.55" customHeight="1" outlineLevel="1" x14ac:dyDescent="0.25">
      <c r="A1311" s="230" t="s">
        <v>1422</v>
      </c>
      <c r="B1311" s="343" t="str">
        <f>"30.42"</f>
        <v>30.42</v>
      </c>
      <c r="C1311" s="75" t="s">
        <v>3693</v>
      </c>
      <c r="D1311" s="127" t="s">
        <v>3694</v>
      </c>
      <c r="E1311" s="232"/>
    </row>
    <row r="1312" spans="1:5" ht="14.55" customHeight="1" outlineLevel="1" x14ac:dyDescent="0.25">
      <c r="A1312" s="230" t="s">
        <v>1422</v>
      </c>
      <c r="B1312" s="343" t="str">
        <f>"30.4201"</f>
        <v>30.4201</v>
      </c>
      <c r="C1312" s="75" t="s">
        <v>3693</v>
      </c>
      <c r="D1312" s="127" t="s">
        <v>3695</v>
      </c>
      <c r="E1312" s="232"/>
    </row>
    <row r="1313" spans="1:5" ht="14.55" customHeight="1" outlineLevel="1" x14ac:dyDescent="0.25">
      <c r="A1313" s="230" t="s">
        <v>1422</v>
      </c>
      <c r="B1313" s="343" t="str">
        <f>"30.43"</f>
        <v>30.43</v>
      </c>
      <c r="C1313" s="75" t="s">
        <v>3696</v>
      </c>
      <c r="D1313" s="127" t="s">
        <v>3697</v>
      </c>
      <c r="E1313" s="232"/>
    </row>
    <row r="1314" spans="1:5" ht="14.55" customHeight="1" outlineLevel="1" x14ac:dyDescent="0.25">
      <c r="A1314" s="230" t="s">
        <v>1422</v>
      </c>
      <c r="B1314" s="343" t="str">
        <f>"30.4301"</f>
        <v>30.4301</v>
      </c>
      <c r="C1314" s="75" t="s">
        <v>3696</v>
      </c>
      <c r="D1314" s="127" t="s">
        <v>3698</v>
      </c>
      <c r="E1314" s="232"/>
    </row>
    <row r="1315" spans="1:5" ht="14.55" customHeight="1" outlineLevel="1" x14ac:dyDescent="0.25">
      <c r="A1315" s="230" t="s">
        <v>1422</v>
      </c>
      <c r="B1315" s="343" t="str">
        <f>"30.44"</f>
        <v>30.44</v>
      </c>
      <c r="C1315" s="75" t="s">
        <v>3699</v>
      </c>
      <c r="D1315" s="127" t="s">
        <v>3700</v>
      </c>
      <c r="E1315" s="232"/>
    </row>
    <row r="1316" spans="1:5" ht="14.55" customHeight="1" outlineLevel="1" x14ac:dyDescent="0.25">
      <c r="A1316" s="230" t="s">
        <v>1422</v>
      </c>
      <c r="B1316" s="343" t="str">
        <f>"30.4401"</f>
        <v>30.4401</v>
      </c>
      <c r="C1316" s="75" t="s">
        <v>3699</v>
      </c>
      <c r="D1316" s="127" t="s">
        <v>3701</v>
      </c>
      <c r="E1316" s="232"/>
    </row>
    <row r="1317" spans="1:5" ht="14.55" customHeight="1" outlineLevel="1" x14ac:dyDescent="0.25">
      <c r="A1317" s="230" t="s">
        <v>1422</v>
      </c>
      <c r="B1317" s="343" t="str">
        <f>"30.45"</f>
        <v>30.45</v>
      </c>
      <c r="C1317" s="75" t="s">
        <v>3702</v>
      </c>
      <c r="D1317" s="127" t="s">
        <v>3703</v>
      </c>
      <c r="E1317" s="232"/>
    </row>
    <row r="1318" spans="1:5" ht="14.55" customHeight="1" outlineLevel="1" x14ac:dyDescent="0.25">
      <c r="A1318" s="230" t="s">
        <v>1422</v>
      </c>
      <c r="B1318" s="343" t="str">
        <f>"30.4501"</f>
        <v>30.4501</v>
      </c>
      <c r="C1318" s="75" t="s">
        <v>3702</v>
      </c>
      <c r="D1318" s="127" t="s">
        <v>3704</v>
      </c>
      <c r="E1318" s="232"/>
    </row>
    <row r="1319" spans="1:5" ht="14.55" customHeight="1" outlineLevel="1" x14ac:dyDescent="0.25">
      <c r="A1319" s="230" t="s">
        <v>1422</v>
      </c>
      <c r="B1319" s="343" t="str">
        <f>"30.46"</f>
        <v>30.46</v>
      </c>
      <c r="C1319" s="75" t="s">
        <v>3705</v>
      </c>
      <c r="D1319" s="127" t="s">
        <v>3706</v>
      </c>
      <c r="E1319" s="232"/>
    </row>
    <row r="1320" spans="1:5" ht="14.55" customHeight="1" outlineLevel="1" x14ac:dyDescent="0.25">
      <c r="A1320" s="230" t="s">
        <v>1422</v>
      </c>
      <c r="B1320" s="343" t="str">
        <f>"30.4601"</f>
        <v>30.4601</v>
      </c>
      <c r="C1320" s="75" t="s">
        <v>3705</v>
      </c>
      <c r="D1320" s="127" t="s">
        <v>3707</v>
      </c>
      <c r="E1320" s="232"/>
    </row>
    <row r="1321" spans="1:5" ht="14.55" customHeight="1" outlineLevel="1" x14ac:dyDescent="0.25">
      <c r="A1321" s="230" t="s">
        <v>1422</v>
      </c>
      <c r="B1321" s="343" t="str">
        <f>"30.47"</f>
        <v>30.47</v>
      </c>
      <c r="C1321" s="75" t="s">
        <v>3708</v>
      </c>
      <c r="D1321" s="127" t="s">
        <v>3709</v>
      </c>
      <c r="E1321" s="232"/>
    </row>
    <row r="1322" spans="1:5" ht="14.55" customHeight="1" outlineLevel="1" x14ac:dyDescent="0.25">
      <c r="A1322" s="230" t="s">
        <v>1422</v>
      </c>
      <c r="B1322" s="343" t="str">
        <f>"30.4701"</f>
        <v>30.4701</v>
      </c>
      <c r="C1322" s="75" t="s">
        <v>3708</v>
      </c>
      <c r="D1322" s="127" t="s">
        <v>3710</v>
      </c>
      <c r="E1322" s="232"/>
    </row>
    <row r="1323" spans="1:5" ht="14.55" customHeight="1" outlineLevel="1" x14ac:dyDescent="0.25">
      <c r="A1323" s="230" t="s">
        <v>1422</v>
      </c>
      <c r="B1323" s="343" t="str">
        <f>"30.48"</f>
        <v>30.48</v>
      </c>
      <c r="C1323" s="75" t="s">
        <v>3711</v>
      </c>
      <c r="D1323" s="127" t="s">
        <v>3712</v>
      </c>
      <c r="E1323" s="232"/>
    </row>
    <row r="1324" spans="1:5" ht="14.55" customHeight="1" outlineLevel="1" x14ac:dyDescent="0.25">
      <c r="A1324" s="230" t="s">
        <v>1422</v>
      </c>
      <c r="B1324" s="343" t="str">
        <f>"30.4801"</f>
        <v>30.4801</v>
      </c>
      <c r="C1324" s="75" t="s">
        <v>3711</v>
      </c>
      <c r="D1324" s="127" t="s">
        <v>3713</v>
      </c>
      <c r="E1324" s="232"/>
    </row>
    <row r="1325" spans="1:5" ht="14.55" customHeight="1" outlineLevel="1" x14ac:dyDescent="0.25">
      <c r="A1325" s="230" t="s">
        <v>1422</v>
      </c>
      <c r="B1325" s="343" t="str">
        <f>"30.49"</f>
        <v>30.49</v>
      </c>
      <c r="C1325" s="75" t="s">
        <v>3714</v>
      </c>
      <c r="D1325" s="127" t="s">
        <v>3715</v>
      </c>
      <c r="E1325" s="232"/>
    </row>
    <row r="1326" spans="1:5" ht="14.55" customHeight="1" outlineLevel="1" x14ac:dyDescent="0.25">
      <c r="A1326" s="230" t="s">
        <v>1422</v>
      </c>
      <c r="B1326" s="343" t="str">
        <f>"30.4901"</f>
        <v>30.4901</v>
      </c>
      <c r="C1326" s="75" t="s">
        <v>3714</v>
      </c>
      <c r="D1326" s="127" t="s">
        <v>3716</v>
      </c>
      <c r="E1326" s="232"/>
    </row>
    <row r="1327" spans="1:5" ht="14.55" customHeight="1" outlineLevel="1" x14ac:dyDescent="0.25">
      <c r="A1327" s="230" t="s">
        <v>1422</v>
      </c>
      <c r="B1327" s="343" t="str">
        <f>"30.50"</f>
        <v>30.50</v>
      </c>
      <c r="C1327" s="75" t="s">
        <v>3717</v>
      </c>
      <c r="D1327" s="127" t="s">
        <v>3718</v>
      </c>
      <c r="E1327" s="232"/>
    </row>
    <row r="1328" spans="1:5" ht="14.55" customHeight="1" outlineLevel="1" x14ac:dyDescent="0.25">
      <c r="A1328" s="230" t="s">
        <v>1422</v>
      </c>
      <c r="B1328" s="343" t="str">
        <f>"30.5001"</f>
        <v>30.5001</v>
      </c>
      <c r="C1328" s="75" t="s">
        <v>3717</v>
      </c>
      <c r="D1328" s="127" t="s">
        <v>3719</v>
      </c>
      <c r="E1328" s="232"/>
    </row>
    <row r="1329" spans="1:5" ht="14.55" customHeight="1" outlineLevel="1" x14ac:dyDescent="0.25">
      <c r="A1329" s="230" t="s">
        <v>1422</v>
      </c>
      <c r="B1329" s="343" t="str">
        <f>"30.51"</f>
        <v>30.51</v>
      </c>
      <c r="C1329" s="75" t="s">
        <v>3720</v>
      </c>
      <c r="D1329" s="127" t="s">
        <v>3721</v>
      </c>
      <c r="E1329" s="232"/>
    </row>
    <row r="1330" spans="1:5" ht="14.55" customHeight="1" outlineLevel="1" x14ac:dyDescent="0.25">
      <c r="A1330" s="230" t="s">
        <v>1422</v>
      </c>
      <c r="B1330" s="343" t="str">
        <f>"30.5101"</f>
        <v>30.5101</v>
      </c>
      <c r="C1330" s="75" t="s">
        <v>3720</v>
      </c>
      <c r="D1330" s="127" t="s">
        <v>3722</v>
      </c>
      <c r="E1330" s="232"/>
    </row>
    <row r="1331" spans="1:5" ht="14.55" customHeight="1" outlineLevel="1" x14ac:dyDescent="0.25">
      <c r="A1331" s="230" t="s">
        <v>1422</v>
      </c>
      <c r="B1331" s="343" t="str">
        <f>"30.52"</f>
        <v>30.52</v>
      </c>
      <c r="C1331" s="75" t="s">
        <v>3723</v>
      </c>
      <c r="D1331" s="127" t="s">
        <v>3724</v>
      </c>
      <c r="E1331" s="232"/>
    </row>
    <row r="1332" spans="1:5" ht="14.55" customHeight="1" outlineLevel="1" x14ac:dyDescent="0.25">
      <c r="A1332" s="230" t="s">
        <v>1422</v>
      </c>
      <c r="B1332" s="343" t="str">
        <f>"30.5201"</f>
        <v>30.5201</v>
      </c>
      <c r="C1332" s="75" t="s">
        <v>3725</v>
      </c>
      <c r="D1332" s="127" t="s">
        <v>3726</v>
      </c>
      <c r="E1332" s="232"/>
    </row>
    <row r="1333" spans="1:5" ht="14.55" customHeight="1" outlineLevel="1" x14ac:dyDescent="0.25">
      <c r="A1333" s="230" t="s">
        <v>1422</v>
      </c>
      <c r="B1333" s="343" t="str">
        <f>"30.5202"</f>
        <v>30.5202</v>
      </c>
      <c r="C1333" s="75" t="s">
        <v>3727</v>
      </c>
      <c r="D1333" s="127" t="s">
        <v>3728</v>
      </c>
      <c r="E1333" s="232"/>
    </row>
    <row r="1334" spans="1:5" ht="14.55" customHeight="1" outlineLevel="1" x14ac:dyDescent="0.25">
      <c r="A1334" s="230" t="s">
        <v>1422</v>
      </c>
      <c r="B1334" s="343" t="str">
        <f>"30.5203"</f>
        <v>30.5203</v>
      </c>
      <c r="C1334" s="75" t="s">
        <v>3729</v>
      </c>
      <c r="D1334" s="127" t="s">
        <v>3730</v>
      </c>
      <c r="E1334" s="232"/>
    </row>
    <row r="1335" spans="1:5" ht="14.55" customHeight="1" outlineLevel="1" x14ac:dyDescent="0.25">
      <c r="A1335" s="230" t="s">
        <v>1422</v>
      </c>
      <c r="B1335" s="343" t="str">
        <f>"30.5299"</f>
        <v>30.5299</v>
      </c>
      <c r="C1335" s="75" t="s">
        <v>3731</v>
      </c>
      <c r="D1335" s="127" t="s">
        <v>3732</v>
      </c>
      <c r="E1335" s="232"/>
    </row>
    <row r="1336" spans="1:5" ht="14.55" customHeight="1" outlineLevel="1" x14ac:dyDescent="0.25">
      <c r="A1336" s="230" t="s">
        <v>1422</v>
      </c>
      <c r="B1336" s="343" t="str">
        <f>"30.53"</f>
        <v>30.53</v>
      </c>
      <c r="C1336" s="75" t="s">
        <v>3733</v>
      </c>
      <c r="D1336" s="127" t="s">
        <v>3734</v>
      </c>
      <c r="E1336" s="232"/>
    </row>
    <row r="1337" spans="1:5" ht="14.55" customHeight="1" outlineLevel="1" x14ac:dyDescent="0.25">
      <c r="A1337" s="230" t="s">
        <v>1422</v>
      </c>
      <c r="B1337" s="343" t="str">
        <f>"30.5301"</f>
        <v>30.5301</v>
      </c>
      <c r="C1337" s="75" t="s">
        <v>3733</v>
      </c>
      <c r="D1337" s="127" t="s">
        <v>3735</v>
      </c>
      <c r="E1337" s="232"/>
    </row>
    <row r="1338" spans="1:5" ht="14.55" customHeight="1" outlineLevel="1" x14ac:dyDescent="0.25">
      <c r="A1338" s="230" t="s">
        <v>1422</v>
      </c>
      <c r="B1338" s="343" t="str">
        <f>"30.70"</f>
        <v>30.70</v>
      </c>
      <c r="C1338" s="75" t="s">
        <v>3736</v>
      </c>
      <c r="D1338" s="127" t="s">
        <v>3737</v>
      </c>
      <c r="E1338" s="232"/>
    </row>
    <row r="1339" spans="1:5" ht="14.55" customHeight="1" outlineLevel="1" x14ac:dyDescent="0.25">
      <c r="A1339" s="230" t="s">
        <v>1422</v>
      </c>
      <c r="B1339" s="343" t="str">
        <f>"30.7001"</f>
        <v>30.7001</v>
      </c>
      <c r="C1339" s="75" t="s">
        <v>3738</v>
      </c>
      <c r="D1339" s="127" t="s">
        <v>3739</v>
      </c>
      <c r="E1339" s="232"/>
    </row>
    <row r="1340" spans="1:5" ht="14.55" customHeight="1" outlineLevel="1" x14ac:dyDescent="0.25">
      <c r="A1340" s="230" t="s">
        <v>1422</v>
      </c>
      <c r="B1340" s="343" t="str">
        <f>"30.7099"</f>
        <v>30.7099</v>
      </c>
      <c r="C1340" s="75" t="s">
        <v>3740</v>
      </c>
      <c r="D1340" s="127" t="s">
        <v>3741</v>
      </c>
      <c r="E1340" s="232"/>
    </row>
    <row r="1341" spans="1:5" ht="14.55" customHeight="1" outlineLevel="1" x14ac:dyDescent="0.25">
      <c r="A1341" s="230" t="s">
        <v>1422</v>
      </c>
      <c r="B1341" s="343" t="str">
        <f>"30.71"</f>
        <v>30.71</v>
      </c>
      <c r="C1341" s="75" t="s">
        <v>3742</v>
      </c>
      <c r="D1341" s="127" t="s">
        <v>3743</v>
      </c>
      <c r="E1341" s="232"/>
    </row>
    <row r="1342" spans="1:5" ht="14.55" customHeight="1" outlineLevel="1" x14ac:dyDescent="0.25">
      <c r="A1342" s="230" t="s">
        <v>1422</v>
      </c>
      <c r="B1342" s="343" t="str">
        <f>"30.7101"</f>
        <v>30.7101</v>
      </c>
      <c r="C1342" s="75" t="s">
        <v>3744</v>
      </c>
      <c r="D1342" s="127" t="s">
        <v>3745</v>
      </c>
      <c r="E1342" s="232"/>
    </row>
    <row r="1343" spans="1:5" ht="14.55" customHeight="1" outlineLevel="1" x14ac:dyDescent="0.25">
      <c r="A1343" s="230" t="s">
        <v>1422</v>
      </c>
      <c r="B1343" s="343" t="str">
        <f>"30.7102"</f>
        <v>30.7102</v>
      </c>
      <c r="C1343" s="75" t="s">
        <v>3746</v>
      </c>
      <c r="D1343" s="127" t="s">
        <v>3747</v>
      </c>
      <c r="E1343" s="232"/>
    </row>
    <row r="1344" spans="1:5" ht="14.55" customHeight="1" outlineLevel="1" x14ac:dyDescent="0.25">
      <c r="A1344" s="230" t="s">
        <v>1422</v>
      </c>
      <c r="B1344" s="343" t="str">
        <f>"30.7103"</f>
        <v>30.7103</v>
      </c>
      <c r="C1344" s="75" t="s">
        <v>3748</v>
      </c>
      <c r="D1344" s="127" t="s">
        <v>3749</v>
      </c>
      <c r="E1344" s="232"/>
    </row>
    <row r="1345" spans="1:5" ht="14.55" customHeight="1" outlineLevel="1" x14ac:dyDescent="0.25">
      <c r="A1345" s="230" t="s">
        <v>1422</v>
      </c>
      <c r="B1345" s="343" t="str">
        <f>"30.7104"</f>
        <v>30.7104</v>
      </c>
      <c r="C1345" s="75" t="s">
        <v>3750</v>
      </c>
      <c r="D1345" s="127" t="s">
        <v>3751</v>
      </c>
      <c r="E1345" s="232"/>
    </row>
    <row r="1346" spans="1:5" ht="14.55" customHeight="1" outlineLevel="1" x14ac:dyDescent="0.25">
      <c r="A1346" s="230" t="s">
        <v>1422</v>
      </c>
      <c r="B1346" s="343" t="str">
        <f>"30.7199"</f>
        <v>30.7199</v>
      </c>
      <c r="C1346" s="75" t="s">
        <v>3752</v>
      </c>
      <c r="D1346" s="127" t="s">
        <v>3753</v>
      </c>
      <c r="E1346" s="232"/>
    </row>
    <row r="1347" spans="1:5" ht="14.55" customHeight="1" outlineLevel="1" x14ac:dyDescent="0.25">
      <c r="A1347" s="230" t="s">
        <v>1422</v>
      </c>
      <c r="B1347" s="343" t="str">
        <f>"30.99"</f>
        <v>30.99</v>
      </c>
      <c r="C1347" s="75" t="s">
        <v>3754</v>
      </c>
      <c r="D1347" s="127" t="s">
        <v>3755</v>
      </c>
      <c r="E1347" s="232"/>
    </row>
    <row r="1348" spans="1:5" ht="14.55" customHeight="1" outlineLevel="1" x14ac:dyDescent="0.25">
      <c r="A1348" s="230" t="s">
        <v>1422</v>
      </c>
      <c r="B1348" s="343" t="str">
        <f>"30.9999"</f>
        <v>30.9999</v>
      </c>
      <c r="C1348" s="75" t="s">
        <v>3756</v>
      </c>
      <c r="D1348" s="127" t="s">
        <v>3757</v>
      </c>
      <c r="E1348" s="232"/>
    </row>
    <row r="1349" spans="1:5" ht="14.55" customHeight="1" outlineLevel="1" x14ac:dyDescent="0.25">
      <c r="A1349" s="230" t="s">
        <v>1422</v>
      </c>
      <c r="B1349" s="343" t="str">
        <f>"31"</f>
        <v>31</v>
      </c>
      <c r="C1349" s="75" t="s">
        <v>3758</v>
      </c>
      <c r="D1349" s="127" t="s">
        <v>3759</v>
      </c>
      <c r="E1349" s="232"/>
    </row>
    <row r="1350" spans="1:5" ht="14.55" customHeight="1" outlineLevel="1" x14ac:dyDescent="0.25">
      <c r="A1350" s="230" t="s">
        <v>1422</v>
      </c>
      <c r="B1350" s="343" t="str">
        <f>"31.01"</f>
        <v>31.01</v>
      </c>
      <c r="C1350" s="75" t="s">
        <v>3760</v>
      </c>
      <c r="D1350" s="127" t="s">
        <v>3761</v>
      </c>
      <c r="E1350" s="232"/>
    </row>
    <row r="1351" spans="1:5" ht="14.55" customHeight="1" outlineLevel="1" x14ac:dyDescent="0.25">
      <c r="A1351" s="230" t="s">
        <v>1422</v>
      </c>
      <c r="B1351" s="343" t="str">
        <f>"31.0101"</f>
        <v>31.0101</v>
      </c>
      <c r="C1351" s="75" t="s">
        <v>3760</v>
      </c>
      <c r="D1351" s="127" t="s">
        <v>3762</v>
      </c>
      <c r="E1351" s="232"/>
    </row>
    <row r="1352" spans="1:5" ht="14.55" customHeight="1" outlineLevel="1" x14ac:dyDescent="0.25">
      <c r="A1352" s="230" t="s">
        <v>1422</v>
      </c>
      <c r="B1352" s="343" t="str">
        <f>"31.03"</f>
        <v>31.03</v>
      </c>
      <c r="C1352" s="75" t="s">
        <v>3763</v>
      </c>
      <c r="D1352" s="127" t="s">
        <v>3764</v>
      </c>
      <c r="E1352" s="232"/>
    </row>
    <row r="1353" spans="1:5" ht="14.55" customHeight="1" outlineLevel="1" x14ac:dyDescent="0.25">
      <c r="A1353" s="230" t="s">
        <v>1422</v>
      </c>
      <c r="B1353" s="343" t="str">
        <f>"31.0301"</f>
        <v>31.0301</v>
      </c>
      <c r="C1353" s="75" t="s">
        <v>3765</v>
      </c>
      <c r="D1353" s="127" t="s">
        <v>3766</v>
      </c>
      <c r="E1353" s="232"/>
    </row>
    <row r="1354" spans="1:5" ht="14.55" customHeight="1" outlineLevel="1" x14ac:dyDescent="0.25">
      <c r="A1354" s="230" t="s">
        <v>1422</v>
      </c>
      <c r="B1354" s="343" t="str">
        <f>"31.0302"</f>
        <v>31.0302</v>
      </c>
      <c r="C1354" s="75" t="s">
        <v>3767</v>
      </c>
      <c r="D1354" s="127" t="s">
        <v>3768</v>
      </c>
      <c r="E1354" s="232"/>
    </row>
    <row r="1355" spans="1:5" ht="14.55" customHeight="1" outlineLevel="1" x14ac:dyDescent="0.25">
      <c r="A1355" s="230" t="s">
        <v>1422</v>
      </c>
      <c r="B1355" s="343" t="str">
        <f>"31.0399"</f>
        <v>31.0399</v>
      </c>
      <c r="C1355" s="75" t="s">
        <v>3769</v>
      </c>
      <c r="D1355" s="127" t="s">
        <v>3770</v>
      </c>
      <c r="E1355" s="232"/>
    </row>
    <row r="1356" spans="1:5" ht="14.55" customHeight="1" outlineLevel="1" x14ac:dyDescent="0.25">
      <c r="A1356" s="230" t="s">
        <v>1422</v>
      </c>
      <c r="B1356" s="343" t="str">
        <f>"31.05"</f>
        <v>31.05</v>
      </c>
      <c r="C1356" s="75" t="s">
        <v>3771</v>
      </c>
      <c r="D1356" s="127" t="s">
        <v>3772</v>
      </c>
      <c r="E1356" s="232"/>
    </row>
    <row r="1357" spans="1:5" ht="14.55" customHeight="1" outlineLevel="1" x14ac:dyDescent="0.25">
      <c r="A1357" s="230" t="s">
        <v>1422</v>
      </c>
      <c r="B1357" s="343" t="str">
        <f>"31.0501"</f>
        <v>31.0501</v>
      </c>
      <c r="C1357" s="75" t="s">
        <v>3773</v>
      </c>
      <c r="D1357" s="127" t="s">
        <v>3774</v>
      </c>
      <c r="E1357" s="232"/>
    </row>
    <row r="1358" spans="1:5" ht="14.55" customHeight="1" outlineLevel="1" x14ac:dyDescent="0.25">
      <c r="A1358" s="230" t="s">
        <v>1422</v>
      </c>
      <c r="B1358" s="343" t="str">
        <f>"31.0504"</f>
        <v>31.0504</v>
      </c>
      <c r="C1358" s="75" t="s">
        <v>3775</v>
      </c>
      <c r="D1358" s="127" t="s">
        <v>3776</v>
      </c>
      <c r="E1358" s="232"/>
    </row>
    <row r="1359" spans="1:5" ht="14.55" customHeight="1" outlineLevel="1" x14ac:dyDescent="0.25">
      <c r="A1359" s="230" t="s">
        <v>1422</v>
      </c>
      <c r="B1359" s="343" t="str">
        <f>"31.0505"</f>
        <v>31.0505</v>
      </c>
      <c r="C1359" s="75" t="s">
        <v>3777</v>
      </c>
      <c r="D1359" s="127" t="s">
        <v>3778</v>
      </c>
      <c r="E1359" s="232"/>
    </row>
    <row r="1360" spans="1:5" ht="14.55" customHeight="1" outlineLevel="1" x14ac:dyDescent="0.25">
      <c r="A1360" s="230" t="s">
        <v>1422</v>
      </c>
      <c r="B1360" s="343" t="str">
        <f>"31.0507"</f>
        <v>31.0507</v>
      </c>
      <c r="C1360" s="75" t="s">
        <v>3779</v>
      </c>
      <c r="D1360" s="127" t="s">
        <v>3780</v>
      </c>
      <c r="E1360" s="232"/>
    </row>
    <row r="1361" spans="1:5" ht="14.55" customHeight="1" outlineLevel="1" x14ac:dyDescent="0.25">
      <c r="A1361" s="230" t="s">
        <v>1422</v>
      </c>
      <c r="B1361" s="343" t="str">
        <f>"31.0508"</f>
        <v>31.0508</v>
      </c>
      <c r="C1361" s="75" t="s">
        <v>3781</v>
      </c>
      <c r="D1361" s="127" t="s">
        <v>3782</v>
      </c>
      <c r="E1361" s="232"/>
    </row>
    <row r="1362" spans="1:5" ht="14.55" customHeight="1" outlineLevel="1" x14ac:dyDescent="0.25">
      <c r="A1362" s="230" t="s">
        <v>1422</v>
      </c>
      <c r="B1362" s="343" t="str">
        <f>"31.0599"</f>
        <v>31.0599</v>
      </c>
      <c r="C1362" s="75" t="s">
        <v>3783</v>
      </c>
      <c r="D1362" s="127" t="s">
        <v>3784</v>
      </c>
      <c r="E1362" s="232"/>
    </row>
    <row r="1363" spans="1:5" ht="14.55" customHeight="1" outlineLevel="1" x14ac:dyDescent="0.25">
      <c r="A1363" s="230" t="s">
        <v>1422</v>
      </c>
      <c r="B1363" s="343" t="str">
        <f>"31.06"</f>
        <v>31.06</v>
      </c>
      <c r="C1363" s="75" t="s">
        <v>3785</v>
      </c>
      <c r="D1363" s="127" t="s">
        <v>3786</v>
      </c>
      <c r="E1363" s="232"/>
    </row>
    <row r="1364" spans="1:5" ht="14.55" customHeight="1" outlineLevel="1" x14ac:dyDescent="0.25">
      <c r="A1364" s="230" t="s">
        <v>1422</v>
      </c>
      <c r="B1364" s="343" t="str">
        <f>"31.0601"</f>
        <v>31.0601</v>
      </c>
      <c r="C1364" s="75" t="s">
        <v>3785</v>
      </c>
      <c r="D1364" s="127" t="s">
        <v>3787</v>
      </c>
      <c r="E1364" s="232"/>
    </row>
    <row r="1365" spans="1:5" ht="14.55" customHeight="1" outlineLevel="1" x14ac:dyDescent="0.25">
      <c r="A1365" s="230" t="s">
        <v>1422</v>
      </c>
      <c r="B1365" s="343" t="str">
        <f>"31.99"</f>
        <v>31.99</v>
      </c>
      <c r="C1365" s="75" t="s">
        <v>3788</v>
      </c>
      <c r="D1365" s="127" t="s">
        <v>3789</v>
      </c>
      <c r="E1365" s="232"/>
    </row>
    <row r="1366" spans="1:5" ht="14.55" customHeight="1" outlineLevel="1" x14ac:dyDescent="0.25">
      <c r="A1366" s="230" t="s">
        <v>1422</v>
      </c>
      <c r="B1366" s="343" t="str">
        <f>"31.9999"</f>
        <v>31.9999</v>
      </c>
      <c r="C1366" s="75" t="s">
        <v>3788</v>
      </c>
      <c r="D1366" s="127" t="s">
        <v>3790</v>
      </c>
      <c r="E1366" s="232"/>
    </row>
    <row r="1367" spans="1:5" ht="14.55" customHeight="1" outlineLevel="1" x14ac:dyDescent="0.25">
      <c r="A1367" s="230" t="s">
        <v>1422</v>
      </c>
      <c r="B1367" s="343" t="str">
        <f>"32"</f>
        <v>32</v>
      </c>
      <c r="C1367" s="75" t="s">
        <v>3791</v>
      </c>
      <c r="D1367" s="127" t="s">
        <v>3792</v>
      </c>
      <c r="E1367" s="232"/>
    </row>
    <row r="1368" spans="1:5" ht="14.55" customHeight="1" outlineLevel="1" x14ac:dyDescent="0.25">
      <c r="A1368" s="230" t="s">
        <v>1422</v>
      </c>
      <c r="B1368" s="343" t="str">
        <f>"32.01"</f>
        <v>32.01</v>
      </c>
      <c r="C1368" s="75" t="s">
        <v>3793</v>
      </c>
      <c r="D1368" s="127" t="s">
        <v>3794</v>
      </c>
      <c r="E1368" s="232"/>
    </row>
    <row r="1369" spans="1:5" ht="14.55" customHeight="1" outlineLevel="1" x14ac:dyDescent="0.25">
      <c r="A1369" s="230" t="s">
        <v>1422</v>
      </c>
      <c r="B1369" s="343" t="str">
        <f>"32.0101"</f>
        <v>32.0101</v>
      </c>
      <c r="C1369" s="75" t="s">
        <v>3795</v>
      </c>
      <c r="D1369" s="127" t="s">
        <v>3796</v>
      </c>
      <c r="E1369" s="232"/>
    </row>
    <row r="1370" spans="1:5" ht="14.55" customHeight="1" outlineLevel="1" x14ac:dyDescent="0.25">
      <c r="A1370" s="230" t="s">
        <v>1422</v>
      </c>
      <c r="B1370" s="343" t="str">
        <f>"32.0104"</f>
        <v>32.0104</v>
      </c>
      <c r="C1370" s="75" t="s">
        <v>3797</v>
      </c>
      <c r="D1370" s="127" t="s">
        <v>3798</v>
      </c>
      <c r="E1370" s="232"/>
    </row>
    <row r="1371" spans="1:5" ht="14.55" customHeight="1" outlineLevel="1" x14ac:dyDescent="0.25">
      <c r="A1371" s="230" t="s">
        <v>1422</v>
      </c>
      <c r="B1371" s="343" t="str">
        <f>"32.0105"</f>
        <v>32.0105</v>
      </c>
      <c r="C1371" s="75" t="s">
        <v>3799</v>
      </c>
      <c r="D1371" s="127" t="s">
        <v>3800</v>
      </c>
      <c r="E1371" s="232"/>
    </row>
    <row r="1372" spans="1:5" ht="14.55" customHeight="1" outlineLevel="1" x14ac:dyDescent="0.25">
      <c r="A1372" s="230" t="s">
        <v>1422</v>
      </c>
      <c r="B1372" s="343" t="str">
        <f>"32.0107"</f>
        <v>32.0107</v>
      </c>
      <c r="C1372" s="75" t="s">
        <v>3801</v>
      </c>
      <c r="D1372" s="127" t="s">
        <v>3802</v>
      </c>
      <c r="E1372" s="232"/>
    </row>
    <row r="1373" spans="1:5" ht="14.55" customHeight="1" outlineLevel="1" x14ac:dyDescent="0.25">
      <c r="A1373" s="230" t="s">
        <v>1422</v>
      </c>
      <c r="B1373" s="343" t="str">
        <f>"32.0108"</f>
        <v>32.0108</v>
      </c>
      <c r="C1373" s="75" t="s">
        <v>3803</v>
      </c>
      <c r="D1373" s="127" t="s">
        <v>3804</v>
      </c>
      <c r="E1373" s="232"/>
    </row>
    <row r="1374" spans="1:5" ht="14.55" customHeight="1" outlineLevel="1" x14ac:dyDescent="0.25">
      <c r="A1374" s="230" t="s">
        <v>1422</v>
      </c>
      <c r="B1374" s="343" t="str">
        <f>"32.0109"</f>
        <v>32.0109</v>
      </c>
      <c r="C1374" s="75" t="s">
        <v>2930</v>
      </c>
      <c r="D1374" s="127" t="s">
        <v>3805</v>
      </c>
      <c r="E1374" s="232"/>
    </row>
    <row r="1375" spans="1:5" ht="14.55" customHeight="1" outlineLevel="1" x14ac:dyDescent="0.25">
      <c r="A1375" s="230" t="s">
        <v>1422</v>
      </c>
      <c r="B1375" s="343" t="str">
        <f>"32.0110"</f>
        <v>32.0110</v>
      </c>
      <c r="C1375" s="75" t="s">
        <v>3806</v>
      </c>
      <c r="D1375" s="127" t="s">
        <v>3807</v>
      </c>
      <c r="E1375" s="232"/>
    </row>
    <row r="1376" spans="1:5" ht="14.55" customHeight="1" outlineLevel="1" x14ac:dyDescent="0.25">
      <c r="A1376" s="230" t="s">
        <v>1422</v>
      </c>
      <c r="B1376" s="343" t="str">
        <f>"32.0111"</f>
        <v>32.0111</v>
      </c>
      <c r="C1376" s="75" t="s">
        <v>3808</v>
      </c>
      <c r="D1376" s="127" t="s">
        <v>3809</v>
      </c>
      <c r="E1376" s="232"/>
    </row>
    <row r="1377" spans="1:5" ht="14.55" customHeight="1" outlineLevel="1" x14ac:dyDescent="0.25">
      <c r="A1377" s="230" t="s">
        <v>1422</v>
      </c>
      <c r="B1377" s="343" t="str">
        <f>"32.0112"</f>
        <v>32.0112</v>
      </c>
      <c r="C1377" s="75" t="s">
        <v>3810</v>
      </c>
      <c r="D1377" s="127" t="s">
        <v>3811</v>
      </c>
      <c r="E1377" s="232"/>
    </row>
    <row r="1378" spans="1:5" ht="14.55" customHeight="1" outlineLevel="1" x14ac:dyDescent="0.25">
      <c r="A1378" s="230" t="s">
        <v>1422</v>
      </c>
      <c r="B1378" s="343" t="str">
        <f>"32.0199"</f>
        <v>32.0199</v>
      </c>
      <c r="C1378" s="75" t="s">
        <v>3812</v>
      </c>
      <c r="D1378" s="127" t="s">
        <v>3813</v>
      </c>
      <c r="E1378" s="232"/>
    </row>
    <row r="1379" spans="1:5" ht="14.55" customHeight="1" outlineLevel="1" x14ac:dyDescent="0.25">
      <c r="A1379" s="230" t="s">
        <v>1422</v>
      </c>
      <c r="B1379" s="343" t="str">
        <f>"32.02"</f>
        <v>32.02</v>
      </c>
      <c r="C1379" s="75" t="s">
        <v>3814</v>
      </c>
      <c r="D1379" s="127" t="s">
        <v>3815</v>
      </c>
      <c r="E1379" s="232"/>
    </row>
    <row r="1380" spans="1:5" ht="14.55" customHeight="1" outlineLevel="1" x14ac:dyDescent="0.25">
      <c r="A1380" s="230" t="s">
        <v>1422</v>
      </c>
      <c r="B1380" s="343" t="str">
        <f>"32.0201"</f>
        <v>32.0201</v>
      </c>
      <c r="C1380" s="75" t="s">
        <v>3816</v>
      </c>
      <c r="D1380" s="127" t="s">
        <v>3817</v>
      </c>
      <c r="E1380" s="232"/>
    </row>
    <row r="1381" spans="1:5" ht="14.55" customHeight="1" outlineLevel="1" x14ac:dyDescent="0.25">
      <c r="A1381" s="230" t="s">
        <v>1422</v>
      </c>
      <c r="B1381" s="343" t="str">
        <f>"32.0202"</f>
        <v>32.0202</v>
      </c>
      <c r="C1381" s="75" t="s">
        <v>3818</v>
      </c>
      <c r="D1381" s="127" t="s">
        <v>3819</v>
      </c>
      <c r="E1381" s="232"/>
    </row>
    <row r="1382" spans="1:5" ht="14.55" customHeight="1" outlineLevel="1" x14ac:dyDescent="0.25">
      <c r="A1382" s="230" t="s">
        <v>1422</v>
      </c>
      <c r="B1382" s="343" t="str">
        <f>"32.0203"</f>
        <v>32.0203</v>
      </c>
      <c r="C1382" s="75" t="s">
        <v>3820</v>
      </c>
      <c r="D1382" s="127" t="s">
        <v>3821</v>
      </c>
      <c r="E1382" s="232"/>
    </row>
    <row r="1383" spans="1:5" ht="14.55" customHeight="1" outlineLevel="1" x14ac:dyDescent="0.25">
      <c r="A1383" s="230" t="s">
        <v>1422</v>
      </c>
      <c r="B1383" s="343" t="str">
        <f>"32.0204"</f>
        <v>32.0204</v>
      </c>
      <c r="C1383" s="75" t="s">
        <v>3822</v>
      </c>
      <c r="D1383" s="127" t="s">
        <v>3823</v>
      </c>
      <c r="E1383" s="232"/>
    </row>
    <row r="1384" spans="1:5" ht="14.55" customHeight="1" outlineLevel="1" x14ac:dyDescent="0.25">
      <c r="A1384" s="230" t="s">
        <v>1422</v>
      </c>
      <c r="B1384" s="343" t="str">
        <f>"32.0205"</f>
        <v>32.0205</v>
      </c>
      <c r="C1384" s="75" t="s">
        <v>3824</v>
      </c>
      <c r="D1384" s="127" t="s">
        <v>3825</v>
      </c>
      <c r="E1384" s="232"/>
    </row>
    <row r="1385" spans="1:5" ht="14.55" customHeight="1" outlineLevel="1" x14ac:dyDescent="0.25">
      <c r="A1385" s="230" t="s">
        <v>1422</v>
      </c>
      <c r="B1385" s="343" t="str">
        <f>"32.0299"</f>
        <v>32.0299</v>
      </c>
      <c r="C1385" s="75" t="s">
        <v>3826</v>
      </c>
      <c r="D1385" s="127" t="s">
        <v>3827</v>
      </c>
      <c r="E1385" s="232"/>
    </row>
    <row r="1386" spans="1:5" ht="14.55" customHeight="1" outlineLevel="1" x14ac:dyDescent="0.25">
      <c r="A1386" s="230" t="s">
        <v>1422</v>
      </c>
      <c r="B1386" s="343" t="str">
        <f>"33"</f>
        <v>33</v>
      </c>
      <c r="C1386" s="75" t="s">
        <v>3828</v>
      </c>
      <c r="D1386" s="127" t="s">
        <v>3829</v>
      </c>
      <c r="E1386" s="232"/>
    </row>
    <row r="1387" spans="1:5" ht="14.55" customHeight="1" outlineLevel="1" x14ac:dyDescent="0.25">
      <c r="A1387" s="230" t="s">
        <v>1422</v>
      </c>
      <c r="B1387" s="343" t="str">
        <f>"33.01"</f>
        <v>33.01</v>
      </c>
      <c r="C1387" s="75" t="s">
        <v>3830</v>
      </c>
      <c r="D1387" s="127" t="s">
        <v>3831</v>
      </c>
      <c r="E1387" s="232"/>
    </row>
    <row r="1388" spans="1:5" ht="14.55" customHeight="1" outlineLevel="1" x14ac:dyDescent="0.25">
      <c r="A1388" s="230" t="s">
        <v>1422</v>
      </c>
      <c r="B1388" s="343" t="str">
        <f>"33.0101"</f>
        <v>33.0101</v>
      </c>
      <c r="C1388" s="75" t="s">
        <v>3832</v>
      </c>
      <c r="D1388" s="127" t="s">
        <v>3833</v>
      </c>
      <c r="E1388" s="232"/>
    </row>
    <row r="1389" spans="1:5" ht="14.55" customHeight="1" outlineLevel="1" x14ac:dyDescent="0.25">
      <c r="A1389" s="230" t="s">
        <v>1422</v>
      </c>
      <c r="B1389" s="343" t="str">
        <f>"33.0102"</f>
        <v>33.0102</v>
      </c>
      <c r="C1389" s="75" t="s">
        <v>3834</v>
      </c>
      <c r="D1389" s="127" t="s">
        <v>3835</v>
      </c>
      <c r="E1389" s="232"/>
    </row>
    <row r="1390" spans="1:5" ht="14.55" customHeight="1" outlineLevel="1" x14ac:dyDescent="0.25">
      <c r="A1390" s="230" t="s">
        <v>1422</v>
      </c>
      <c r="B1390" s="343" t="str">
        <f>"33.0103"</f>
        <v>33.0103</v>
      </c>
      <c r="C1390" s="75" t="s">
        <v>3836</v>
      </c>
      <c r="D1390" s="127" t="s">
        <v>3837</v>
      </c>
      <c r="E1390" s="232"/>
    </row>
    <row r="1391" spans="1:5" ht="14.55" customHeight="1" outlineLevel="1" x14ac:dyDescent="0.25">
      <c r="A1391" s="230" t="s">
        <v>1422</v>
      </c>
      <c r="B1391" s="343" t="str">
        <f>"33.0104"</f>
        <v>33.0104</v>
      </c>
      <c r="C1391" s="75" t="s">
        <v>3838</v>
      </c>
      <c r="D1391" s="127" t="s">
        <v>3839</v>
      </c>
      <c r="E1391" s="232"/>
    </row>
    <row r="1392" spans="1:5" ht="14.55" customHeight="1" outlineLevel="1" x14ac:dyDescent="0.25">
      <c r="A1392" s="230" t="s">
        <v>1422</v>
      </c>
      <c r="B1392" s="343" t="str">
        <f>"33.0105"</f>
        <v>33.0105</v>
      </c>
      <c r="C1392" s="75" t="s">
        <v>3840</v>
      </c>
      <c r="D1392" s="127" t="s">
        <v>3841</v>
      </c>
      <c r="E1392" s="232"/>
    </row>
    <row r="1393" spans="1:5" ht="14.55" customHeight="1" outlineLevel="1" x14ac:dyDescent="0.25">
      <c r="A1393" s="230" t="s">
        <v>1422</v>
      </c>
      <c r="B1393" s="343" t="str">
        <f>"33.0106"</f>
        <v>33.0106</v>
      </c>
      <c r="C1393" s="75" t="s">
        <v>3842</v>
      </c>
      <c r="D1393" s="127" t="s">
        <v>3843</v>
      </c>
      <c r="E1393" s="232"/>
    </row>
    <row r="1394" spans="1:5" ht="14.55" customHeight="1" outlineLevel="1" x14ac:dyDescent="0.25">
      <c r="A1394" s="230" t="s">
        <v>1422</v>
      </c>
      <c r="B1394" s="343" t="str">
        <f>"33.0199"</f>
        <v>33.0199</v>
      </c>
      <c r="C1394" s="75" t="s">
        <v>3844</v>
      </c>
      <c r="D1394" s="127" t="s">
        <v>3845</v>
      </c>
      <c r="E1394" s="232"/>
    </row>
    <row r="1395" spans="1:5" ht="14.55" customHeight="1" outlineLevel="1" x14ac:dyDescent="0.25">
      <c r="A1395" s="230" t="s">
        <v>1422</v>
      </c>
      <c r="B1395" s="343" t="str">
        <f>"34"</f>
        <v>34</v>
      </c>
      <c r="C1395" s="75" t="s">
        <v>3846</v>
      </c>
      <c r="D1395" s="127" t="s">
        <v>3847</v>
      </c>
      <c r="E1395" s="232"/>
    </row>
    <row r="1396" spans="1:5" ht="14.55" customHeight="1" outlineLevel="1" x14ac:dyDescent="0.25">
      <c r="A1396" s="230" t="s">
        <v>1422</v>
      </c>
      <c r="B1396" s="343" t="str">
        <f>"34.01"</f>
        <v>34.01</v>
      </c>
      <c r="C1396" s="75" t="s">
        <v>3848</v>
      </c>
      <c r="D1396" s="127" t="s">
        <v>3849</v>
      </c>
      <c r="E1396" s="232"/>
    </row>
    <row r="1397" spans="1:5" ht="14.55" customHeight="1" outlineLevel="1" x14ac:dyDescent="0.25">
      <c r="A1397" s="230" t="s">
        <v>1422</v>
      </c>
      <c r="B1397" s="343" t="str">
        <f>"34.0102"</f>
        <v>34.0102</v>
      </c>
      <c r="C1397" s="75" t="s">
        <v>3850</v>
      </c>
      <c r="D1397" s="127" t="s">
        <v>3851</v>
      </c>
      <c r="E1397" s="232"/>
    </row>
    <row r="1398" spans="1:5" ht="14.55" customHeight="1" outlineLevel="1" x14ac:dyDescent="0.25">
      <c r="A1398" s="230" t="s">
        <v>1422</v>
      </c>
      <c r="B1398" s="343" t="str">
        <f>"34.0103"</f>
        <v>34.0103</v>
      </c>
      <c r="C1398" s="75" t="s">
        <v>3852</v>
      </c>
      <c r="D1398" s="127" t="s">
        <v>3853</v>
      </c>
      <c r="E1398" s="232"/>
    </row>
    <row r="1399" spans="1:5" ht="14.55" customHeight="1" outlineLevel="1" x14ac:dyDescent="0.25">
      <c r="A1399" s="230" t="s">
        <v>1422</v>
      </c>
      <c r="B1399" s="343" t="str">
        <f>"34.0104"</f>
        <v>34.0104</v>
      </c>
      <c r="C1399" s="75" t="s">
        <v>3854</v>
      </c>
      <c r="D1399" s="127" t="s">
        <v>3855</v>
      </c>
      <c r="E1399" s="232"/>
    </row>
    <row r="1400" spans="1:5" ht="14.55" customHeight="1" outlineLevel="1" x14ac:dyDescent="0.25">
      <c r="A1400" s="230" t="s">
        <v>1422</v>
      </c>
      <c r="B1400" s="343" t="str">
        <f>"34.0105"</f>
        <v>34.0105</v>
      </c>
      <c r="C1400" s="75" t="s">
        <v>3856</v>
      </c>
      <c r="D1400" s="127" t="s">
        <v>3857</v>
      </c>
      <c r="E1400" s="232"/>
    </row>
    <row r="1401" spans="1:5" ht="14.55" customHeight="1" outlineLevel="1" x14ac:dyDescent="0.25">
      <c r="A1401" s="230" t="s">
        <v>1422</v>
      </c>
      <c r="B1401" s="343" t="str">
        <f>"34.0199"</f>
        <v>34.0199</v>
      </c>
      <c r="C1401" s="75" t="s">
        <v>3858</v>
      </c>
      <c r="D1401" s="127" t="s">
        <v>3859</v>
      </c>
      <c r="E1401" s="232"/>
    </row>
    <row r="1402" spans="1:5" ht="14.55" customHeight="1" outlineLevel="1" x14ac:dyDescent="0.25">
      <c r="A1402" s="230" t="s">
        <v>1422</v>
      </c>
      <c r="B1402" s="343" t="str">
        <f>"35"</f>
        <v>35</v>
      </c>
      <c r="C1402" s="75" t="s">
        <v>3860</v>
      </c>
      <c r="D1402" s="127" t="s">
        <v>3861</v>
      </c>
      <c r="E1402" s="232"/>
    </row>
    <row r="1403" spans="1:5" ht="14.55" customHeight="1" outlineLevel="1" x14ac:dyDescent="0.25">
      <c r="A1403" s="230" t="s">
        <v>1422</v>
      </c>
      <c r="B1403" s="343" t="str">
        <f>"35.01"</f>
        <v>35.01</v>
      </c>
      <c r="C1403" s="75" t="s">
        <v>3862</v>
      </c>
      <c r="D1403" s="127" t="s">
        <v>3863</v>
      </c>
      <c r="E1403" s="232"/>
    </row>
    <row r="1404" spans="1:5" ht="14.55" customHeight="1" outlineLevel="1" x14ac:dyDescent="0.25">
      <c r="A1404" s="230" t="s">
        <v>1422</v>
      </c>
      <c r="B1404" s="343" t="str">
        <f>"35.0101"</f>
        <v>35.0101</v>
      </c>
      <c r="C1404" s="75" t="s">
        <v>3864</v>
      </c>
      <c r="D1404" s="127" t="s">
        <v>3865</v>
      </c>
      <c r="E1404" s="232"/>
    </row>
    <row r="1405" spans="1:5" ht="14.55" customHeight="1" outlineLevel="1" x14ac:dyDescent="0.25">
      <c r="A1405" s="230" t="s">
        <v>1422</v>
      </c>
      <c r="B1405" s="343" t="str">
        <f>"35.0102"</f>
        <v>35.0102</v>
      </c>
      <c r="C1405" s="75" t="s">
        <v>3866</v>
      </c>
      <c r="D1405" s="127" t="s">
        <v>3867</v>
      </c>
      <c r="E1405" s="232"/>
    </row>
    <row r="1406" spans="1:5" ht="14.55" customHeight="1" outlineLevel="1" x14ac:dyDescent="0.25">
      <c r="A1406" s="230" t="s">
        <v>1422</v>
      </c>
      <c r="B1406" s="343" t="str">
        <f>"35.0103"</f>
        <v>35.0103</v>
      </c>
      <c r="C1406" s="75" t="s">
        <v>3868</v>
      </c>
      <c r="D1406" s="127" t="s">
        <v>3869</v>
      </c>
      <c r="E1406" s="232"/>
    </row>
    <row r="1407" spans="1:5" ht="14.55" customHeight="1" outlineLevel="1" x14ac:dyDescent="0.25">
      <c r="A1407" s="230" t="s">
        <v>1422</v>
      </c>
      <c r="B1407" s="343" t="str">
        <f>"35.0105"</f>
        <v>35.0105</v>
      </c>
      <c r="C1407" s="75" t="s">
        <v>3870</v>
      </c>
      <c r="D1407" s="127" t="s">
        <v>3871</v>
      </c>
      <c r="E1407" s="232"/>
    </row>
    <row r="1408" spans="1:5" ht="14.55" customHeight="1" outlineLevel="1" x14ac:dyDescent="0.25">
      <c r="A1408" s="230" t="s">
        <v>1422</v>
      </c>
      <c r="B1408" s="343" t="str">
        <f>"35.0199"</f>
        <v>35.0199</v>
      </c>
      <c r="C1408" s="75" t="s">
        <v>3872</v>
      </c>
      <c r="D1408" s="127" t="s">
        <v>3873</v>
      </c>
      <c r="E1408" s="232"/>
    </row>
    <row r="1409" spans="1:5" ht="14.55" customHeight="1" outlineLevel="1" x14ac:dyDescent="0.25">
      <c r="A1409" s="230" t="s">
        <v>1422</v>
      </c>
      <c r="B1409" s="343" t="str">
        <f>"36"</f>
        <v>36</v>
      </c>
      <c r="C1409" s="75" t="s">
        <v>3874</v>
      </c>
      <c r="D1409" s="127" t="s">
        <v>3875</v>
      </c>
      <c r="E1409" s="232"/>
    </row>
    <row r="1410" spans="1:5" ht="14.55" customHeight="1" outlineLevel="1" x14ac:dyDescent="0.25">
      <c r="A1410" s="230" t="s">
        <v>1422</v>
      </c>
      <c r="B1410" s="343" t="str">
        <f>"36.01"</f>
        <v>36.01</v>
      </c>
      <c r="C1410" s="75" t="s">
        <v>3876</v>
      </c>
      <c r="D1410" s="127" t="s">
        <v>3877</v>
      </c>
      <c r="E1410" s="232"/>
    </row>
    <row r="1411" spans="1:5" ht="14.55" customHeight="1" outlineLevel="1" x14ac:dyDescent="0.25">
      <c r="A1411" s="230" t="s">
        <v>1422</v>
      </c>
      <c r="B1411" s="343" t="str">
        <f>"36.0101"</f>
        <v>36.0101</v>
      </c>
      <c r="C1411" s="75" t="s">
        <v>3878</v>
      </c>
      <c r="D1411" s="127" t="s">
        <v>3879</v>
      </c>
      <c r="E1411" s="232"/>
    </row>
    <row r="1412" spans="1:5" ht="14.55" customHeight="1" outlineLevel="1" x14ac:dyDescent="0.25">
      <c r="A1412" s="230" t="s">
        <v>1422</v>
      </c>
      <c r="B1412" s="343" t="str">
        <f>"36.0102"</f>
        <v>36.0102</v>
      </c>
      <c r="C1412" s="75" t="s">
        <v>3880</v>
      </c>
      <c r="D1412" s="127" t="s">
        <v>3881</v>
      </c>
      <c r="E1412" s="232"/>
    </row>
    <row r="1413" spans="1:5" ht="14.55" customHeight="1" outlineLevel="1" x14ac:dyDescent="0.25">
      <c r="A1413" s="230" t="s">
        <v>1422</v>
      </c>
      <c r="B1413" s="343" t="str">
        <f>"36.0103"</f>
        <v>36.0103</v>
      </c>
      <c r="C1413" s="75" t="s">
        <v>3882</v>
      </c>
      <c r="D1413" s="127" t="s">
        <v>3883</v>
      </c>
      <c r="E1413" s="232"/>
    </row>
    <row r="1414" spans="1:5" ht="14.55" customHeight="1" outlineLevel="1" x14ac:dyDescent="0.25">
      <c r="A1414" s="230" t="s">
        <v>1422</v>
      </c>
      <c r="B1414" s="343" t="str">
        <f>"36.0105"</f>
        <v>36.0105</v>
      </c>
      <c r="C1414" s="75" t="s">
        <v>3884</v>
      </c>
      <c r="D1414" s="127" t="s">
        <v>3885</v>
      </c>
      <c r="E1414" s="232"/>
    </row>
    <row r="1415" spans="1:5" ht="14.55" customHeight="1" outlineLevel="1" x14ac:dyDescent="0.25">
      <c r="A1415" s="230" t="s">
        <v>1422</v>
      </c>
      <c r="B1415" s="343" t="str">
        <f>"36.0106"</f>
        <v>36.0106</v>
      </c>
      <c r="C1415" s="75" t="s">
        <v>3886</v>
      </c>
      <c r="D1415" s="127" t="s">
        <v>3887</v>
      </c>
      <c r="E1415" s="232"/>
    </row>
    <row r="1416" spans="1:5" ht="14.55" customHeight="1" outlineLevel="1" x14ac:dyDescent="0.25">
      <c r="A1416" s="230" t="s">
        <v>1422</v>
      </c>
      <c r="B1416" s="343" t="str">
        <f>"36.0107"</f>
        <v>36.0107</v>
      </c>
      <c r="C1416" s="75" t="s">
        <v>3888</v>
      </c>
      <c r="D1416" s="127" t="s">
        <v>3889</v>
      </c>
      <c r="E1416" s="232"/>
    </row>
    <row r="1417" spans="1:5" ht="14.55" customHeight="1" outlineLevel="1" x14ac:dyDescent="0.25">
      <c r="A1417" s="230" t="s">
        <v>1422</v>
      </c>
      <c r="B1417" s="343" t="str">
        <f>"36.0108"</f>
        <v>36.0108</v>
      </c>
      <c r="C1417" s="75" t="s">
        <v>3890</v>
      </c>
      <c r="D1417" s="127" t="s">
        <v>3891</v>
      </c>
      <c r="E1417" s="232"/>
    </row>
    <row r="1418" spans="1:5" ht="14.55" customHeight="1" outlineLevel="1" x14ac:dyDescent="0.25">
      <c r="A1418" s="230" t="s">
        <v>1422</v>
      </c>
      <c r="B1418" s="343" t="str">
        <f>"36.0109"</f>
        <v>36.0109</v>
      </c>
      <c r="C1418" s="75" t="s">
        <v>3892</v>
      </c>
      <c r="D1418" s="127" t="s">
        <v>3893</v>
      </c>
      <c r="E1418" s="232"/>
    </row>
    <row r="1419" spans="1:5" ht="14.55" customHeight="1" outlineLevel="1" x14ac:dyDescent="0.25">
      <c r="A1419" s="230" t="s">
        <v>1422</v>
      </c>
      <c r="B1419" s="343" t="str">
        <f>"36.0110"</f>
        <v>36.0110</v>
      </c>
      <c r="C1419" s="75" t="s">
        <v>3894</v>
      </c>
      <c r="D1419" s="127" t="s">
        <v>3895</v>
      </c>
      <c r="E1419" s="232"/>
    </row>
    <row r="1420" spans="1:5" ht="14.55" customHeight="1" outlineLevel="1" x14ac:dyDescent="0.25">
      <c r="A1420" s="230" t="s">
        <v>1422</v>
      </c>
      <c r="B1420" s="343" t="str">
        <f>"36.0111"</f>
        <v>36.0111</v>
      </c>
      <c r="C1420" s="75" t="s">
        <v>3896</v>
      </c>
      <c r="D1420" s="127" t="s">
        <v>3897</v>
      </c>
      <c r="E1420" s="232"/>
    </row>
    <row r="1421" spans="1:5" ht="14.55" customHeight="1" outlineLevel="1" x14ac:dyDescent="0.25">
      <c r="A1421" s="230" t="s">
        <v>1422</v>
      </c>
      <c r="B1421" s="343" t="str">
        <f>"36.0112"</f>
        <v>36.0112</v>
      </c>
      <c r="C1421" s="75" t="s">
        <v>3898</v>
      </c>
      <c r="D1421" s="127" t="s">
        <v>3899</v>
      </c>
      <c r="E1421" s="232"/>
    </row>
    <row r="1422" spans="1:5" ht="14.55" customHeight="1" outlineLevel="1" x14ac:dyDescent="0.25">
      <c r="A1422" s="230" t="s">
        <v>1422</v>
      </c>
      <c r="B1422" s="343" t="str">
        <f>"36.0113"</f>
        <v>36.0113</v>
      </c>
      <c r="C1422" s="75" t="s">
        <v>3900</v>
      </c>
      <c r="D1422" s="127" t="s">
        <v>3901</v>
      </c>
      <c r="E1422" s="232"/>
    </row>
    <row r="1423" spans="1:5" ht="14.55" customHeight="1" outlineLevel="1" x14ac:dyDescent="0.25">
      <c r="A1423" s="230" t="s">
        <v>1422</v>
      </c>
      <c r="B1423" s="343" t="str">
        <f>"36.0114"</f>
        <v>36.0114</v>
      </c>
      <c r="C1423" s="75" t="s">
        <v>3902</v>
      </c>
      <c r="D1423" s="127" t="s">
        <v>3903</v>
      </c>
      <c r="E1423" s="232"/>
    </row>
    <row r="1424" spans="1:5" ht="14.55" customHeight="1" outlineLevel="1" x14ac:dyDescent="0.25">
      <c r="A1424" s="230" t="s">
        <v>1422</v>
      </c>
      <c r="B1424" s="343" t="str">
        <f>"36.0115"</f>
        <v>36.0115</v>
      </c>
      <c r="C1424" s="75" t="s">
        <v>3904</v>
      </c>
      <c r="D1424" s="127" t="s">
        <v>3905</v>
      </c>
      <c r="E1424" s="232"/>
    </row>
    <row r="1425" spans="1:5" ht="14.55" customHeight="1" outlineLevel="1" x14ac:dyDescent="0.25">
      <c r="A1425" s="230" t="s">
        <v>1422</v>
      </c>
      <c r="B1425" s="343" t="str">
        <f>"36.0116"</f>
        <v>36.0116</v>
      </c>
      <c r="C1425" s="75" t="s">
        <v>3906</v>
      </c>
      <c r="D1425" s="127" t="s">
        <v>3907</v>
      </c>
      <c r="E1425" s="232"/>
    </row>
    <row r="1426" spans="1:5" ht="14.55" customHeight="1" outlineLevel="1" x14ac:dyDescent="0.25">
      <c r="A1426" s="230" t="s">
        <v>1422</v>
      </c>
      <c r="B1426" s="343" t="str">
        <f>"36.0117"</f>
        <v>36.0117</v>
      </c>
      <c r="C1426" s="75" t="s">
        <v>3908</v>
      </c>
      <c r="D1426" s="127" t="s">
        <v>3909</v>
      </c>
      <c r="E1426" s="232"/>
    </row>
    <row r="1427" spans="1:5" ht="14.55" customHeight="1" outlineLevel="1" x14ac:dyDescent="0.25">
      <c r="A1427" s="230" t="s">
        <v>1422</v>
      </c>
      <c r="B1427" s="343" t="str">
        <f>"36.0118"</f>
        <v>36.0118</v>
      </c>
      <c r="C1427" s="75" t="s">
        <v>3910</v>
      </c>
      <c r="D1427" s="127" t="s">
        <v>3911</v>
      </c>
      <c r="E1427" s="232"/>
    </row>
    <row r="1428" spans="1:5" ht="14.55" customHeight="1" outlineLevel="1" x14ac:dyDescent="0.25">
      <c r="A1428" s="230" t="s">
        <v>1422</v>
      </c>
      <c r="B1428" s="343" t="str">
        <f>"36.0120"</f>
        <v>36.0120</v>
      </c>
      <c r="C1428" s="75" t="s">
        <v>3912</v>
      </c>
      <c r="D1428" s="127" t="s">
        <v>3913</v>
      </c>
      <c r="E1428" s="232"/>
    </row>
    <row r="1429" spans="1:5" ht="14.55" customHeight="1" outlineLevel="1" x14ac:dyDescent="0.25">
      <c r="A1429" s="230" t="s">
        <v>1422</v>
      </c>
      <c r="B1429" s="343" t="str">
        <f>"36.0121"</f>
        <v>36.0121</v>
      </c>
      <c r="C1429" s="75" t="s">
        <v>3914</v>
      </c>
      <c r="D1429" s="127" t="s">
        <v>3915</v>
      </c>
      <c r="E1429" s="232"/>
    </row>
    <row r="1430" spans="1:5" ht="14.55" customHeight="1" outlineLevel="1" x14ac:dyDescent="0.25">
      <c r="A1430" s="230" t="s">
        <v>1422</v>
      </c>
      <c r="B1430" s="343" t="str">
        <f>"36.0122"</f>
        <v>36.0122</v>
      </c>
      <c r="C1430" s="75" t="s">
        <v>3916</v>
      </c>
      <c r="D1430" s="127" t="s">
        <v>3917</v>
      </c>
      <c r="E1430" s="232"/>
    </row>
    <row r="1431" spans="1:5" ht="14.55" customHeight="1" outlineLevel="1" x14ac:dyDescent="0.25">
      <c r="A1431" s="230" t="s">
        <v>1422</v>
      </c>
      <c r="B1431" s="343" t="str">
        <f>"36.0123"</f>
        <v>36.0123</v>
      </c>
      <c r="C1431" s="75" t="s">
        <v>3918</v>
      </c>
      <c r="D1431" s="127" t="s">
        <v>3919</v>
      </c>
      <c r="E1431" s="232"/>
    </row>
    <row r="1432" spans="1:5" ht="14.55" customHeight="1" outlineLevel="1" x14ac:dyDescent="0.25">
      <c r="A1432" s="230" t="s">
        <v>1422</v>
      </c>
      <c r="B1432" s="343" t="str">
        <f>"36.0199"</f>
        <v>36.0199</v>
      </c>
      <c r="C1432" s="75" t="s">
        <v>3920</v>
      </c>
      <c r="D1432" s="127" t="s">
        <v>3921</v>
      </c>
      <c r="E1432" s="232"/>
    </row>
    <row r="1433" spans="1:5" ht="14.55" customHeight="1" outlineLevel="1" x14ac:dyDescent="0.25">
      <c r="A1433" s="230" t="s">
        <v>1422</v>
      </c>
      <c r="B1433" s="343" t="str">
        <f>"36.02"</f>
        <v>36.02</v>
      </c>
      <c r="C1433" s="75" t="s">
        <v>3922</v>
      </c>
      <c r="D1433" s="127" t="s">
        <v>3923</v>
      </c>
      <c r="E1433" s="232"/>
    </row>
    <row r="1434" spans="1:5" ht="14.55" customHeight="1" outlineLevel="1" x14ac:dyDescent="0.25">
      <c r="A1434" s="230" t="s">
        <v>1422</v>
      </c>
      <c r="B1434" s="343" t="str">
        <f>"36.0202"</f>
        <v>36.0202</v>
      </c>
      <c r="C1434" s="75" t="s">
        <v>3924</v>
      </c>
      <c r="D1434" s="127" t="s">
        <v>3925</v>
      </c>
      <c r="E1434" s="232"/>
    </row>
    <row r="1435" spans="1:5" ht="14.55" customHeight="1" outlineLevel="1" x14ac:dyDescent="0.25">
      <c r="A1435" s="230" t="s">
        <v>1422</v>
      </c>
      <c r="B1435" s="343" t="str">
        <f>"36.0203"</f>
        <v>36.0203</v>
      </c>
      <c r="C1435" s="75" t="s">
        <v>3926</v>
      </c>
      <c r="D1435" s="127" t="s">
        <v>3927</v>
      </c>
      <c r="E1435" s="232"/>
    </row>
    <row r="1436" spans="1:5" ht="14.55" customHeight="1" outlineLevel="1" x14ac:dyDescent="0.25">
      <c r="A1436" s="230" t="s">
        <v>1422</v>
      </c>
      <c r="B1436" s="343" t="str">
        <f>"36.0204"</f>
        <v>36.0204</v>
      </c>
      <c r="C1436" s="75" t="s">
        <v>3928</v>
      </c>
      <c r="D1436" s="127" t="s">
        <v>3929</v>
      </c>
      <c r="E1436" s="232"/>
    </row>
    <row r="1437" spans="1:5" ht="14.55" customHeight="1" outlineLevel="1" x14ac:dyDescent="0.25">
      <c r="A1437" s="230" t="s">
        <v>1422</v>
      </c>
      <c r="B1437" s="343" t="str">
        <f>"36.0205"</f>
        <v>36.0205</v>
      </c>
      <c r="C1437" s="75" t="s">
        <v>3930</v>
      </c>
      <c r="D1437" s="127" t="s">
        <v>3931</v>
      </c>
      <c r="E1437" s="232"/>
    </row>
    <row r="1438" spans="1:5" ht="14.55" customHeight="1" outlineLevel="1" x14ac:dyDescent="0.25">
      <c r="A1438" s="230" t="s">
        <v>1422</v>
      </c>
      <c r="B1438" s="343" t="str">
        <f>"36.0206"</f>
        <v>36.0206</v>
      </c>
      <c r="C1438" s="75" t="s">
        <v>3932</v>
      </c>
      <c r="D1438" s="127" t="s">
        <v>3933</v>
      </c>
      <c r="E1438" s="232"/>
    </row>
    <row r="1439" spans="1:5" ht="14.55" customHeight="1" outlineLevel="1" x14ac:dyDescent="0.25">
      <c r="A1439" s="230" t="s">
        <v>1422</v>
      </c>
      <c r="B1439" s="343" t="str">
        <f>"36.0207"</f>
        <v>36.0207</v>
      </c>
      <c r="C1439" s="75" t="s">
        <v>3934</v>
      </c>
      <c r="D1439" s="127" t="s">
        <v>3935</v>
      </c>
      <c r="E1439" s="232"/>
    </row>
    <row r="1440" spans="1:5" ht="14.55" customHeight="1" outlineLevel="1" x14ac:dyDescent="0.25">
      <c r="A1440" s="230" t="s">
        <v>1422</v>
      </c>
      <c r="B1440" s="343" t="str">
        <f>"36.0299"</f>
        <v>36.0299</v>
      </c>
      <c r="C1440" s="75" t="s">
        <v>3936</v>
      </c>
      <c r="D1440" s="127" t="s">
        <v>3937</v>
      </c>
      <c r="E1440" s="232"/>
    </row>
    <row r="1441" spans="1:5" ht="14.55" customHeight="1" outlineLevel="1" x14ac:dyDescent="0.25">
      <c r="A1441" s="230" t="s">
        <v>1422</v>
      </c>
      <c r="B1441" s="343" t="str">
        <f>"37"</f>
        <v>37</v>
      </c>
      <c r="C1441" s="75" t="s">
        <v>3938</v>
      </c>
      <c r="D1441" s="127" t="s">
        <v>3939</v>
      </c>
      <c r="E1441" s="232"/>
    </row>
    <row r="1442" spans="1:5" ht="14.55" customHeight="1" outlineLevel="1" x14ac:dyDescent="0.25">
      <c r="A1442" s="230" t="s">
        <v>1422</v>
      </c>
      <c r="B1442" s="343" t="str">
        <f>"37.01"</f>
        <v>37.01</v>
      </c>
      <c r="C1442" s="75" t="s">
        <v>3940</v>
      </c>
      <c r="D1442" s="127" t="s">
        <v>3941</v>
      </c>
      <c r="E1442" s="232"/>
    </row>
    <row r="1443" spans="1:5" ht="14.55" customHeight="1" outlineLevel="1" x14ac:dyDescent="0.25">
      <c r="A1443" s="230" t="s">
        <v>1422</v>
      </c>
      <c r="B1443" s="343" t="str">
        <f>"37.0101"</f>
        <v>37.0101</v>
      </c>
      <c r="C1443" s="75" t="s">
        <v>3942</v>
      </c>
      <c r="D1443" s="127" t="s">
        <v>3943</v>
      </c>
      <c r="E1443" s="232"/>
    </row>
    <row r="1444" spans="1:5" ht="14.55" customHeight="1" outlineLevel="1" x14ac:dyDescent="0.25">
      <c r="A1444" s="230" t="s">
        <v>1422</v>
      </c>
      <c r="B1444" s="343" t="str">
        <f>"37.0102"</f>
        <v>37.0102</v>
      </c>
      <c r="C1444" s="75" t="s">
        <v>3944</v>
      </c>
      <c r="D1444" s="127" t="s">
        <v>3945</v>
      </c>
      <c r="E1444" s="232"/>
    </row>
    <row r="1445" spans="1:5" ht="14.55" customHeight="1" outlineLevel="1" x14ac:dyDescent="0.25">
      <c r="A1445" s="230" t="s">
        <v>1422</v>
      </c>
      <c r="B1445" s="343" t="str">
        <f>"37.0103"</f>
        <v>37.0103</v>
      </c>
      <c r="C1445" s="75" t="s">
        <v>3946</v>
      </c>
      <c r="D1445" s="127" t="s">
        <v>3947</v>
      </c>
      <c r="E1445" s="232"/>
    </row>
    <row r="1446" spans="1:5" ht="14.55" customHeight="1" outlineLevel="1" x14ac:dyDescent="0.25">
      <c r="A1446" s="230" t="s">
        <v>1422</v>
      </c>
      <c r="B1446" s="343" t="str">
        <f>"37.0104"</f>
        <v>37.0104</v>
      </c>
      <c r="C1446" s="75" t="s">
        <v>3948</v>
      </c>
      <c r="D1446" s="127" t="s">
        <v>3949</v>
      </c>
      <c r="E1446" s="232"/>
    </row>
    <row r="1447" spans="1:5" ht="14.55" customHeight="1" outlineLevel="1" x14ac:dyDescent="0.25">
      <c r="A1447" s="230" t="s">
        <v>1422</v>
      </c>
      <c r="B1447" s="343" t="str">
        <f>"37.0106"</f>
        <v>37.0106</v>
      </c>
      <c r="C1447" s="75" t="s">
        <v>3950</v>
      </c>
      <c r="D1447" s="127" t="s">
        <v>3951</v>
      </c>
      <c r="E1447" s="232"/>
    </row>
    <row r="1448" spans="1:5" ht="14.55" customHeight="1" outlineLevel="1" x14ac:dyDescent="0.25">
      <c r="A1448" s="230" t="s">
        <v>1422</v>
      </c>
      <c r="B1448" s="343" t="str">
        <f>"37.0107"</f>
        <v>37.0107</v>
      </c>
      <c r="C1448" s="75" t="s">
        <v>3952</v>
      </c>
      <c r="D1448" s="127" t="s">
        <v>3953</v>
      </c>
      <c r="E1448" s="232"/>
    </row>
    <row r="1449" spans="1:5" ht="14.55" customHeight="1" outlineLevel="1" x14ac:dyDescent="0.25">
      <c r="A1449" s="230" t="s">
        <v>1422</v>
      </c>
      <c r="B1449" s="343" t="str">
        <f>"37.0199"</f>
        <v>37.0199</v>
      </c>
      <c r="C1449" s="75" t="s">
        <v>3954</v>
      </c>
      <c r="D1449" s="127" t="s">
        <v>3955</v>
      </c>
      <c r="E1449" s="232"/>
    </row>
    <row r="1450" spans="1:5" ht="14.55" customHeight="1" outlineLevel="1" x14ac:dyDescent="0.25">
      <c r="A1450" s="230" t="s">
        <v>1422</v>
      </c>
      <c r="B1450" s="343" t="str">
        <f>"38"</f>
        <v>38</v>
      </c>
      <c r="C1450" s="75" t="s">
        <v>3956</v>
      </c>
      <c r="D1450" s="127" t="s">
        <v>3957</v>
      </c>
      <c r="E1450" s="232"/>
    </row>
    <row r="1451" spans="1:5" ht="14.55" customHeight="1" outlineLevel="1" x14ac:dyDescent="0.25">
      <c r="A1451" s="230" t="s">
        <v>1422</v>
      </c>
      <c r="B1451" s="343" t="str">
        <f>"38.00"</f>
        <v>38.00</v>
      </c>
      <c r="C1451" s="75" t="s">
        <v>3958</v>
      </c>
      <c r="D1451" s="127" t="s">
        <v>3959</v>
      </c>
      <c r="E1451" s="232"/>
    </row>
    <row r="1452" spans="1:5" ht="14.55" customHeight="1" outlineLevel="1" x14ac:dyDescent="0.25">
      <c r="A1452" s="230" t="s">
        <v>1422</v>
      </c>
      <c r="B1452" s="343" t="str">
        <f>"38.0001"</f>
        <v>38.0001</v>
      </c>
      <c r="C1452" s="75" t="s">
        <v>3958</v>
      </c>
      <c r="D1452" s="127" t="s">
        <v>3960</v>
      </c>
      <c r="E1452" s="232"/>
    </row>
    <row r="1453" spans="1:5" ht="14.55" customHeight="1" outlineLevel="1" x14ac:dyDescent="0.25">
      <c r="A1453" s="230" t="s">
        <v>1422</v>
      </c>
      <c r="B1453" s="343" t="str">
        <f>"38.01"</f>
        <v>38.01</v>
      </c>
      <c r="C1453" s="75" t="s">
        <v>3961</v>
      </c>
      <c r="D1453" s="127" t="s">
        <v>3962</v>
      </c>
      <c r="E1453" s="232"/>
    </row>
    <row r="1454" spans="1:5" ht="14.55" customHeight="1" outlineLevel="1" x14ac:dyDescent="0.25">
      <c r="A1454" s="230" t="s">
        <v>1422</v>
      </c>
      <c r="B1454" s="343" t="str">
        <f>"38.0101"</f>
        <v>38.0101</v>
      </c>
      <c r="C1454" s="75" t="s">
        <v>3961</v>
      </c>
      <c r="D1454" s="127" t="s">
        <v>3963</v>
      </c>
      <c r="E1454" s="232"/>
    </row>
    <row r="1455" spans="1:5" ht="14.55" customHeight="1" outlineLevel="1" x14ac:dyDescent="0.25">
      <c r="A1455" s="230" t="s">
        <v>1422</v>
      </c>
      <c r="B1455" s="343" t="str">
        <f>"38.0102"</f>
        <v>38.0102</v>
      </c>
      <c r="C1455" s="75" t="s">
        <v>3964</v>
      </c>
      <c r="D1455" s="127" t="s">
        <v>3965</v>
      </c>
      <c r="E1455" s="232"/>
    </row>
    <row r="1456" spans="1:5" ht="14.55" customHeight="1" outlineLevel="1" x14ac:dyDescent="0.25">
      <c r="A1456" s="230" t="s">
        <v>1422</v>
      </c>
      <c r="B1456" s="343" t="str">
        <f>"38.0103"</f>
        <v>38.0103</v>
      </c>
      <c r="C1456" s="75" t="s">
        <v>3966</v>
      </c>
      <c r="D1456" s="127" t="s">
        <v>3967</v>
      </c>
      <c r="E1456" s="232"/>
    </row>
    <row r="1457" spans="1:5" ht="14.55" customHeight="1" outlineLevel="1" x14ac:dyDescent="0.25">
      <c r="A1457" s="230" t="s">
        <v>1422</v>
      </c>
      <c r="B1457" s="343" t="str">
        <f>"38.0104"</f>
        <v>38.0104</v>
      </c>
      <c r="C1457" s="75" t="s">
        <v>3968</v>
      </c>
      <c r="D1457" s="127" t="s">
        <v>3969</v>
      </c>
      <c r="E1457" s="232"/>
    </row>
    <row r="1458" spans="1:5" ht="14.55" customHeight="1" outlineLevel="1" x14ac:dyDescent="0.25">
      <c r="A1458" s="230" t="s">
        <v>1422</v>
      </c>
      <c r="B1458" s="343" t="str">
        <f>"38.0199"</f>
        <v>38.0199</v>
      </c>
      <c r="C1458" s="75" t="s">
        <v>3970</v>
      </c>
      <c r="D1458" s="127" t="s">
        <v>3971</v>
      </c>
      <c r="E1458" s="232"/>
    </row>
    <row r="1459" spans="1:5" ht="14.55" customHeight="1" outlineLevel="1" x14ac:dyDescent="0.25">
      <c r="A1459" s="230" t="s">
        <v>1422</v>
      </c>
      <c r="B1459" s="343" t="str">
        <f>"38.02"</f>
        <v>38.02</v>
      </c>
      <c r="C1459" s="75" t="s">
        <v>3972</v>
      </c>
      <c r="D1459" s="127" t="s">
        <v>3973</v>
      </c>
      <c r="E1459" s="232"/>
    </row>
    <row r="1460" spans="1:5" ht="14.55" customHeight="1" outlineLevel="1" x14ac:dyDescent="0.25">
      <c r="A1460" s="230" t="s">
        <v>1422</v>
      </c>
      <c r="B1460" s="343" t="str">
        <f>"38.0201"</f>
        <v>38.0201</v>
      </c>
      <c r="C1460" s="75" t="s">
        <v>3972</v>
      </c>
      <c r="D1460" s="127" t="s">
        <v>3974</v>
      </c>
      <c r="E1460" s="232"/>
    </row>
    <row r="1461" spans="1:5" ht="14.55" customHeight="1" outlineLevel="1" x14ac:dyDescent="0.25">
      <c r="A1461" s="230" t="s">
        <v>1422</v>
      </c>
      <c r="B1461" s="343" t="str">
        <f>"38.0202"</f>
        <v>38.0202</v>
      </c>
      <c r="C1461" s="75" t="s">
        <v>3975</v>
      </c>
      <c r="D1461" s="127" t="s">
        <v>13459</v>
      </c>
      <c r="E1461" s="232"/>
    </row>
    <row r="1462" spans="1:5" ht="14.55" customHeight="1" outlineLevel="1" x14ac:dyDescent="0.25">
      <c r="A1462" s="230" t="s">
        <v>1422</v>
      </c>
      <c r="B1462" s="343" t="str">
        <f>"38.0203"</f>
        <v>38.0203</v>
      </c>
      <c r="C1462" s="75" t="s">
        <v>3976</v>
      </c>
      <c r="D1462" s="127" t="s">
        <v>3977</v>
      </c>
      <c r="E1462" s="232"/>
    </row>
    <row r="1463" spans="1:5" ht="14.55" customHeight="1" outlineLevel="1" x14ac:dyDescent="0.25">
      <c r="A1463" s="230" t="s">
        <v>1422</v>
      </c>
      <c r="B1463" s="343" t="str">
        <f>"38.0204"</f>
        <v>38.0204</v>
      </c>
      <c r="C1463" s="75" t="s">
        <v>3978</v>
      </c>
      <c r="D1463" s="127" t="s">
        <v>3979</v>
      </c>
      <c r="E1463" s="232"/>
    </row>
    <row r="1464" spans="1:5" ht="14.55" customHeight="1" outlineLevel="1" x14ac:dyDescent="0.25">
      <c r="A1464" s="230" t="s">
        <v>1422</v>
      </c>
      <c r="B1464" s="343" t="str">
        <f>"38.0205"</f>
        <v>38.0205</v>
      </c>
      <c r="C1464" s="75" t="s">
        <v>3980</v>
      </c>
      <c r="D1464" s="127" t="s">
        <v>3981</v>
      </c>
      <c r="E1464" s="232"/>
    </row>
    <row r="1465" spans="1:5" ht="14.55" customHeight="1" outlineLevel="1" x14ac:dyDescent="0.25">
      <c r="A1465" s="230" t="s">
        <v>1422</v>
      </c>
      <c r="B1465" s="343" t="str">
        <f>"38.0206"</f>
        <v>38.0206</v>
      </c>
      <c r="C1465" s="75" t="s">
        <v>3982</v>
      </c>
      <c r="D1465" s="127" t="s">
        <v>3983</v>
      </c>
      <c r="E1465" s="232"/>
    </row>
    <row r="1466" spans="1:5" ht="14.55" customHeight="1" outlineLevel="1" x14ac:dyDescent="0.25">
      <c r="A1466" s="230" t="s">
        <v>1422</v>
      </c>
      <c r="B1466" s="343" t="str">
        <f>"38.0207"</f>
        <v>38.0207</v>
      </c>
      <c r="C1466" s="75" t="s">
        <v>3984</v>
      </c>
      <c r="D1466" s="127" t="s">
        <v>3985</v>
      </c>
      <c r="E1466" s="232"/>
    </row>
    <row r="1467" spans="1:5" ht="14.55" customHeight="1" outlineLevel="1" x14ac:dyDescent="0.25">
      <c r="A1467" s="230" t="s">
        <v>1422</v>
      </c>
      <c r="B1467" s="343" t="str">
        <f>"38.0208"</f>
        <v>38.0208</v>
      </c>
      <c r="C1467" s="75" t="s">
        <v>3986</v>
      </c>
      <c r="D1467" s="127" t="s">
        <v>3987</v>
      </c>
      <c r="E1467" s="232"/>
    </row>
    <row r="1468" spans="1:5" ht="14.55" customHeight="1" outlineLevel="1" x14ac:dyDescent="0.25">
      <c r="A1468" s="230" t="s">
        <v>1422</v>
      </c>
      <c r="B1468" s="343" t="str">
        <f>"38.0209"</f>
        <v>38.0209</v>
      </c>
      <c r="C1468" s="75" t="s">
        <v>3988</v>
      </c>
      <c r="D1468" s="127" t="s">
        <v>3989</v>
      </c>
      <c r="E1468" s="232"/>
    </row>
    <row r="1469" spans="1:5" ht="14.55" customHeight="1" outlineLevel="1" x14ac:dyDescent="0.25">
      <c r="A1469" s="230" t="s">
        <v>1422</v>
      </c>
      <c r="B1469" s="343" t="str">
        <f>"38.0299"</f>
        <v>38.0299</v>
      </c>
      <c r="C1469" s="75" t="s">
        <v>3990</v>
      </c>
      <c r="D1469" s="127" t="s">
        <v>3991</v>
      </c>
      <c r="E1469" s="232"/>
    </row>
    <row r="1470" spans="1:5" ht="14.55" customHeight="1" outlineLevel="1" x14ac:dyDescent="0.25">
      <c r="A1470" s="230" t="s">
        <v>1422</v>
      </c>
      <c r="B1470" s="343" t="str">
        <f>"38.99"</f>
        <v>38.99</v>
      </c>
      <c r="C1470" s="75" t="s">
        <v>3992</v>
      </c>
      <c r="D1470" s="127" t="s">
        <v>3993</v>
      </c>
      <c r="E1470" s="232"/>
    </row>
    <row r="1471" spans="1:5" ht="14.55" customHeight="1" outlineLevel="1" x14ac:dyDescent="0.25">
      <c r="A1471" s="230" t="s">
        <v>1422</v>
      </c>
      <c r="B1471" s="343" t="str">
        <f>"38.9999"</f>
        <v>38.9999</v>
      </c>
      <c r="C1471" s="75" t="s">
        <v>3992</v>
      </c>
      <c r="D1471" s="127" t="s">
        <v>3994</v>
      </c>
      <c r="E1471" s="232"/>
    </row>
    <row r="1472" spans="1:5" ht="14.55" customHeight="1" outlineLevel="1" x14ac:dyDescent="0.25">
      <c r="A1472" s="230" t="s">
        <v>1422</v>
      </c>
      <c r="B1472" s="343" t="str">
        <f>"39"</f>
        <v>39</v>
      </c>
      <c r="C1472" s="75" t="s">
        <v>3995</v>
      </c>
      <c r="D1472" s="127" t="s">
        <v>3996</v>
      </c>
      <c r="E1472" s="232"/>
    </row>
    <row r="1473" spans="1:5" ht="14.55" customHeight="1" outlineLevel="1" x14ac:dyDescent="0.25">
      <c r="A1473" s="230" t="s">
        <v>1422</v>
      </c>
      <c r="B1473" s="343" t="str">
        <f>"39.02"</f>
        <v>39.02</v>
      </c>
      <c r="C1473" s="75" t="s">
        <v>3997</v>
      </c>
      <c r="D1473" s="127" t="s">
        <v>3998</v>
      </c>
      <c r="E1473" s="232"/>
    </row>
    <row r="1474" spans="1:5" ht="14.55" customHeight="1" outlineLevel="1" x14ac:dyDescent="0.25">
      <c r="A1474" s="230" t="s">
        <v>1422</v>
      </c>
      <c r="B1474" s="343" t="str">
        <f>"39.0201"</f>
        <v>39.0201</v>
      </c>
      <c r="C1474" s="75" t="s">
        <v>3997</v>
      </c>
      <c r="D1474" s="127" t="s">
        <v>3999</v>
      </c>
      <c r="E1474" s="232"/>
    </row>
    <row r="1475" spans="1:5" ht="14.55" customHeight="1" outlineLevel="1" x14ac:dyDescent="0.25">
      <c r="A1475" s="230" t="s">
        <v>1422</v>
      </c>
      <c r="B1475" s="343" t="str">
        <f>"39.03"</f>
        <v>39.03</v>
      </c>
      <c r="C1475" s="75" t="s">
        <v>4000</v>
      </c>
      <c r="D1475" s="127" t="s">
        <v>4001</v>
      </c>
      <c r="E1475" s="232"/>
    </row>
    <row r="1476" spans="1:5" ht="14.55" customHeight="1" outlineLevel="1" x14ac:dyDescent="0.25">
      <c r="A1476" s="230" t="s">
        <v>1422</v>
      </c>
      <c r="B1476" s="343" t="str">
        <f>"39.0301"</f>
        <v>39.0301</v>
      </c>
      <c r="C1476" s="75" t="s">
        <v>4002</v>
      </c>
      <c r="D1476" s="127" t="s">
        <v>4003</v>
      </c>
      <c r="E1476" s="232"/>
    </row>
    <row r="1477" spans="1:5" ht="14.55" customHeight="1" outlineLevel="1" x14ac:dyDescent="0.25">
      <c r="A1477" s="230" t="s">
        <v>1422</v>
      </c>
      <c r="B1477" s="343" t="str">
        <f>"39.0302"</f>
        <v>39.0302</v>
      </c>
      <c r="C1477" s="75" t="s">
        <v>4004</v>
      </c>
      <c r="D1477" s="127" t="s">
        <v>4005</v>
      </c>
      <c r="E1477" s="232"/>
    </row>
    <row r="1478" spans="1:5" ht="14.55" customHeight="1" outlineLevel="1" x14ac:dyDescent="0.25">
      <c r="A1478" s="230" t="s">
        <v>1422</v>
      </c>
      <c r="B1478" s="343" t="str">
        <f>"39.0399"</f>
        <v>39.0399</v>
      </c>
      <c r="C1478" s="75" t="s">
        <v>4006</v>
      </c>
      <c r="D1478" s="127" t="s">
        <v>4007</v>
      </c>
      <c r="E1478" s="232"/>
    </row>
    <row r="1479" spans="1:5" ht="14.55" customHeight="1" outlineLevel="1" x14ac:dyDescent="0.25">
      <c r="A1479" s="230" t="s">
        <v>1422</v>
      </c>
      <c r="B1479" s="343" t="str">
        <f>"39.04"</f>
        <v>39.04</v>
      </c>
      <c r="C1479" s="75" t="s">
        <v>4008</v>
      </c>
      <c r="D1479" s="127" t="s">
        <v>4009</v>
      </c>
      <c r="E1479" s="232"/>
    </row>
    <row r="1480" spans="1:5" ht="14.55" customHeight="1" outlineLevel="1" x14ac:dyDescent="0.25">
      <c r="A1480" s="230" t="s">
        <v>1422</v>
      </c>
      <c r="B1480" s="343" t="str">
        <f>"39.0401"</f>
        <v>39.0401</v>
      </c>
      <c r="C1480" s="75" t="s">
        <v>4008</v>
      </c>
      <c r="D1480" s="127" t="s">
        <v>4010</v>
      </c>
      <c r="E1480" s="232"/>
    </row>
    <row r="1481" spans="1:5" ht="14.55" customHeight="1" outlineLevel="1" x14ac:dyDescent="0.25">
      <c r="A1481" s="230" t="s">
        <v>1422</v>
      </c>
      <c r="B1481" s="343" t="str">
        <f>"39.05"</f>
        <v>39.05</v>
      </c>
      <c r="C1481" s="75" t="s">
        <v>4011</v>
      </c>
      <c r="D1481" s="127" t="s">
        <v>4012</v>
      </c>
      <c r="E1481" s="232"/>
    </row>
    <row r="1482" spans="1:5" ht="14.55" customHeight="1" outlineLevel="1" x14ac:dyDescent="0.25">
      <c r="A1482" s="230" t="s">
        <v>1422</v>
      </c>
      <c r="B1482" s="343" t="str">
        <f>"39.0501"</f>
        <v>39.0501</v>
      </c>
      <c r="C1482" s="75" t="s">
        <v>4013</v>
      </c>
      <c r="D1482" s="127" t="s">
        <v>4014</v>
      </c>
      <c r="E1482" s="232"/>
    </row>
    <row r="1483" spans="1:5" ht="14.55" customHeight="1" outlineLevel="1" x14ac:dyDescent="0.25">
      <c r="A1483" s="230" t="s">
        <v>1422</v>
      </c>
      <c r="B1483" s="343" t="str">
        <f>"39.0502"</f>
        <v>39.0502</v>
      </c>
      <c r="C1483" s="75" t="s">
        <v>4015</v>
      </c>
      <c r="D1483" s="127" t="s">
        <v>4016</v>
      </c>
      <c r="E1483" s="232"/>
    </row>
    <row r="1484" spans="1:5" ht="14.55" customHeight="1" outlineLevel="1" x14ac:dyDescent="0.25">
      <c r="A1484" s="230" t="s">
        <v>1422</v>
      </c>
      <c r="B1484" s="343" t="str">
        <f>"39.0599"</f>
        <v>39.0599</v>
      </c>
      <c r="C1484" s="75" t="s">
        <v>4017</v>
      </c>
      <c r="D1484" s="127" t="s">
        <v>4018</v>
      </c>
      <c r="E1484" s="232"/>
    </row>
    <row r="1485" spans="1:5" ht="14.55" customHeight="1" outlineLevel="1" x14ac:dyDescent="0.25">
      <c r="A1485" s="230" t="s">
        <v>1422</v>
      </c>
      <c r="B1485" s="343" t="str">
        <f>"39.06"</f>
        <v>39.06</v>
      </c>
      <c r="C1485" s="75" t="s">
        <v>4019</v>
      </c>
      <c r="D1485" s="127" t="s">
        <v>4020</v>
      </c>
      <c r="E1485" s="232"/>
    </row>
    <row r="1486" spans="1:5" ht="14.55" customHeight="1" outlineLevel="1" x14ac:dyDescent="0.25">
      <c r="A1486" s="230" t="s">
        <v>1422</v>
      </c>
      <c r="B1486" s="343" t="str">
        <f>"39.0601"</f>
        <v>39.0601</v>
      </c>
      <c r="C1486" s="75" t="s">
        <v>4021</v>
      </c>
      <c r="D1486" s="127" t="s">
        <v>4022</v>
      </c>
      <c r="E1486" s="232"/>
    </row>
    <row r="1487" spans="1:5" ht="14.55" customHeight="1" outlineLevel="1" x14ac:dyDescent="0.25">
      <c r="A1487" s="230" t="s">
        <v>1422</v>
      </c>
      <c r="B1487" s="343" t="str">
        <f>"39.0602"</f>
        <v>39.0602</v>
      </c>
      <c r="C1487" s="75" t="s">
        <v>4023</v>
      </c>
      <c r="D1487" s="127" t="s">
        <v>4024</v>
      </c>
      <c r="E1487" s="232"/>
    </row>
    <row r="1488" spans="1:5" ht="14.55" customHeight="1" outlineLevel="1" x14ac:dyDescent="0.25">
      <c r="A1488" s="230" t="s">
        <v>1422</v>
      </c>
      <c r="B1488" s="343" t="str">
        <f>"39.0604"</f>
        <v>39.0604</v>
      </c>
      <c r="C1488" s="75" t="s">
        <v>4025</v>
      </c>
      <c r="D1488" s="127" t="s">
        <v>4026</v>
      </c>
      <c r="E1488" s="232"/>
    </row>
    <row r="1489" spans="1:5" ht="14.55" customHeight="1" outlineLevel="1" x14ac:dyDescent="0.25">
      <c r="A1489" s="230" t="s">
        <v>1422</v>
      </c>
      <c r="B1489" s="343" t="str">
        <f>"39.0605"</f>
        <v>39.0605</v>
      </c>
      <c r="C1489" s="75" t="s">
        <v>4027</v>
      </c>
      <c r="D1489" s="127" t="s">
        <v>4028</v>
      </c>
      <c r="E1489" s="232"/>
    </row>
    <row r="1490" spans="1:5" ht="14.55" customHeight="1" outlineLevel="1" x14ac:dyDescent="0.25">
      <c r="A1490" s="230" t="s">
        <v>1422</v>
      </c>
      <c r="B1490" s="343" t="str">
        <f>"39.0699"</f>
        <v>39.0699</v>
      </c>
      <c r="C1490" s="75" t="s">
        <v>4029</v>
      </c>
      <c r="D1490" s="127" t="s">
        <v>4030</v>
      </c>
      <c r="E1490" s="232"/>
    </row>
    <row r="1491" spans="1:5" ht="14.55" customHeight="1" outlineLevel="1" x14ac:dyDescent="0.25">
      <c r="A1491" s="230" t="s">
        <v>1422</v>
      </c>
      <c r="B1491" s="343" t="str">
        <f>"39.07"</f>
        <v>39.07</v>
      </c>
      <c r="C1491" s="75" t="s">
        <v>4031</v>
      </c>
      <c r="D1491" s="127" t="s">
        <v>4032</v>
      </c>
      <c r="E1491" s="232"/>
    </row>
    <row r="1492" spans="1:5" ht="14.55" customHeight="1" outlineLevel="1" x14ac:dyDescent="0.25">
      <c r="A1492" s="230" t="s">
        <v>1422</v>
      </c>
      <c r="B1492" s="343" t="str">
        <f>"39.0701"</f>
        <v>39.0701</v>
      </c>
      <c r="C1492" s="75" t="s">
        <v>4033</v>
      </c>
      <c r="D1492" s="127" t="s">
        <v>4034</v>
      </c>
      <c r="E1492" s="232"/>
    </row>
    <row r="1493" spans="1:5" ht="14.55" customHeight="1" outlineLevel="1" x14ac:dyDescent="0.25">
      <c r="A1493" s="230" t="s">
        <v>1422</v>
      </c>
      <c r="B1493" s="343" t="str">
        <f>"39.0702"</f>
        <v>39.0702</v>
      </c>
      <c r="C1493" s="75" t="s">
        <v>4035</v>
      </c>
      <c r="D1493" s="127" t="s">
        <v>4036</v>
      </c>
      <c r="E1493" s="232"/>
    </row>
    <row r="1494" spans="1:5" ht="14.55" customHeight="1" outlineLevel="1" x14ac:dyDescent="0.25">
      <c r="A1494" s="230" t="s">
        <v>1422</v>
      </c>
      <c r="B1494" s="343" t="str">
        <f>"39.0703"</f>
        <v>39.0703</v>
      </c>
      <c r="C1494" s="75" t="s">
        <v>4037</v>
      </c>
      <c r="D1494" s="127" t="s">
        <v>4038</v>
      </c>
      <c r="E1494" s="232"/>
    </row>
    <row r="1495" spans="1:5" ht="14.55" customHeight="1" outlineLevel="1" x14ac:dyDescent="0.25">
      <c r="A1495" s="230" t="s">
        <v>1422</v>
      </c>
      <c r="B1495" s="343" t="str">
        <f>"39.0704"</f>
        <v>39.0704</v>
      </c>
      <c r="C1495" s="75" t="s">
        <v>4039</v>
      </c>
      <c r="D1495" s="127" t="s">
        <v>4040</v>
      </c>
      <c r="E1495" s="232"/>
    </row>
    <row r="1496" spans="1:5" ht="14.55" customHeight="1" outlineLevel="1" x14ac:dyDescent="0.25">
      <c r="A1496" s="230" t="s">
        <v>1422</v>
      </c>
      <c r="B1496" s="343" t="str">
        <f>"39.0705"</f>
        <v>39.0705</v>
      </c>
      <c r="C1496" s="75" t="s">
        <v>4041</v>
      </c>
      <c r="D1496" s="127" t="s">
        <v>4042</v>
      </c>
      <c r="E1496" s="232"/>
    </row>
    <row r="1497" spans="1:5" ht="14.55" customHeight="1" outlineLevel="1" x14ac:dyDescent="0.25">
      <c r="A1497" s="230" t="s">
        <v>1422</v>
      </c>
      <c r="B1497" s="343" t="str">
        <f>"39.0706"</f>
        <v>39.0706</v>
      </c>
      <c r="C1497" s="75" t="s">
        <v>4043</v>
      </c>
      <c r="D1497" s="127" t="s">
        <v>4044</v>
      </c>
      <c r="E1497" s="232"/>
    </row>
    <row r="1498" spans="1:5" ht="14.55" customHeight="1" outlineLevel="1" x14ac:dyDescent="0.25">
      <c r="A1498" s="230" t="s">
        <v>1422</v>
      </c>
      <c r="B1498" s="343" t="str">
        <f>"39.0799"</f>
        <v>39.0799</v>
      </c>
      <c r="C1498" s="75" t="s">
        <v>4045</v>
      </c>
      <c r="D1498" s="127" t="s">
        <v>4046</v>
      </c>
      <c r="E1498" s="232"/>
    </row>
    <row r="1499" spans="1:5" ht="14.55" customHeight="1" outlineLevel="1" x14ac:dyDescent="0.25">
      <c r="A1499" s="230" t="s">
        <v>1422</v>
      </c>
      <c r="B1499" s="343" t="str">
        <f>"39.08"</f>
        <v>39.08</v>
      </c>
      <c r="C1499" s="75" t="s">
        <v>4047</v>
      </c>
      <c r="D1499" s="127" t="s">
        <v>4048</v>
      </c>
      <c r="E1499" s="232"/>
    </row>
    <row r="1500" spans="1:5" ht="14.55" customHeight="1" outlineLevel="1" x14ac:dyDescent="0.25">
      <c r="A1500" s="230" t="s">
        <v>1422</v>
      </c>
      <c r="B1500" s="343" t="str">
        <f>"39.0801"</f>
        <v>39.0801</v>
      </c>
      <c r="C1500" s="75" t="s">
        <v>4049</v>
      </c>
      <c r="D1500" s="127" t="s">
        <v>4050</v>
      </c>
      <c r="E1500" s="232"/>
    </row>
    <row r="1501" spans="1:5" ht="14.55" customHeight="1" outlineLevel="1" x14ac:dyDescent="0.25">
      <c r="A1501" s="230" t="s">
        <v>1422</v>
      </c>
      <c r="B1501" s="343" t="str">
        <f>"39.0802"</f>
        <v>39.0802</v>
      </c>
      <c r="C1501" s="75" t="s">
        <v>4051</v>
      </c>
      <c r="D1501" s="127" t="s">
        <v>4052</v>
      </c>
      <c r="E1501" s="232"/>
    </row>
    <row r="1502" spans="1:5" ht="14.55" customHeight="1" outlineLevel="1" x14ac:dyDescent="0.25">
      <c r="A1502" s="230" t="s">
        <v>1422</v>
      </c>
      <c r="B1502" s="343" t="str">
        <f>"39.0899"</f>
        <v>39.0899</v>
      </c>
      <c r="C1502" s="75" t="s">
        <v>4053</v>
      </c>
      <c r="D1502" s="127" t="s">
        <v>4054</v>
      </c>
      <c r="E1502" s="232"/>
    </row>
    <row r="1503" spans="1:5" ht="14.55" customHeight="1" outlineLevel="1" x14ac:dyDescent="0.25">
      <c r="A1503" s="230" t="s">
        <v>1422</v>
      </c>
      <c r="B1503" s="343" t="str">
        <f>"39.99"</f>
        <v>39.99</v>
      </c>
      <c r="C1503" s="75" t="s">
        <v>4055</v>
      </c>
      <c r="D1503" s="127" t="s">
        <v>4056</v>
      </c>
      <c r="E1503" s="232"/>
    </row>
    <row r="1504" spans="1:5" ht="14.55" customHeight="1" outlineLevel="1" x14ac:dyDescent="0.25">
      <c r="A1504" s="230" t="s">
        <v>1422</v>
      </c>
      <c r="B1504" s="343" t="str">
        <f>"39.9999"</f>
        <v>39.9999</v>
      </c>
      <c r="C1504" s="75" t="s">
        <v>4055</v>
      </c>
      <c r="D1504" s="127" t="s">
        <v>4057</v>
      </c>
      <c r="E1504" s="232"/>
    </row>
    <row r="1505" spans="1:5" ht="14.55" customHeight="1" outlineLevel="1" x14ac:dyDescent="0.25">
      <c r="A1505" s="230" t="s">
        <v>1422</v>
      </c>
      <c r="B1505" s="343" t="str">
        <f>"40"</f>
        <v>40</v>
      </c>
      <c r="C1505" s="75" t="s">
        <v>4058</v>
      </c>
      <c r="D1505" s="127" t="s">
        <v>4059</v>
      </c>
      <c r="E1505" s="232"/>
    </row>
    <row r="1506" spans="1:5" ht="14.55" customHeight="1" outlineLevel="1" x14ac:dyDescent="0.25">
      <c r="A1506" s="230" t="s">
        <v>1422</v>
      </c>
      <c r="B1506" s="343" t="str">
        <f>"40.01"</f>
        <v>40.01</v>
      </c>
      <c r="C1506" s="75" t="s">
        <v>4060</v>
      </c>
      <c r="D1506" s="127" t="s">
        <v>4061</v>
      </c>
      <c r="E1506" s="232"/>
    </row>
    <row r="1507" spans="1:5" ht="14.55" customHeight="1" outlineLevel="1" x14ac:dyDescent="0.25">
      <c r="A1507" s="230" t="s">
        <v>1422</v>
      </c>
      <c r="B1507" s="343" t="str">
        <f>"40.0101"</f>
        <v>40.0101</v>
      </c>
      <c r="C1507" s="75" t="s">
        <v>4060</v>
      </c>
      <c r="D1507" s="127" t="s">
        <v>4062</v>
      </c>
      <c r="E1507" s="232"/>
    </row>
    <row r="1508" spans="1:5" ht="14.55" customHeight="1" outlineLevel="1" x14ac:dyDescent="0.25">
      <c r="A1508" s="230" t="s">
        <v>1422</v>
      </c>
      <c r="B1508" s="343" t="str">
        <f>"40.02"</f>
        <v>40.02</v>
      </c>
      <c r="C1508" s="75" t="s">
        <v>4063</v>
      </c>
      <c r="D1508" s="127" t="s">
        <v>4064</v>
      </c>
      <c r="E1508" s="232"/>
    </row>
    <row r="1509" spans="1:5" ht="14.55" customHeight="1" outlineLevel="1" x14ac:dyDescent="0.25">
      <c r="A1509" s="230" t="s">
        <v>1422</v>
      </c>
      <c r="B1509" s="343" t="str">
        <f>"40.0201"</f>
        <v>40.0201</v>
      </c>
      <c r="C1509" s="75" t="s">
        <v>4065</v>
      </c>
      <c r="D1509" s="127" t="s">
        <v>4066</v>
      </c>
      <c r="E1509" s="232"/>
    </row>
    <row r="1510" spans="1:5" ht="14.55" customHeight="1" outlineLevel="1" x14ac:dyDescent="0.25">
      <c r="A1510" s="230" t="s">
        <v>1422</v>
      </c>
      <c r="B1510" s="343" t="str">
        <f>"40.0202"</f>
        <v>40.0202</v>
      </c>
      <c r="C1510" s="75" t="s">
        <v>4067</v>
      </c>
      <c r="D1510" s="127" t="s">
        <v>4068</v>
      </c>
      <c r="E1510" s="232"/>
    </row>
    <row r="1511" spans="1:5" ht="14.55" customHeight="1" outlineLevel="1" x14ac:dyDescent="0.25">
      <c r="A1511" s="230" t="s">
        <v>1422</v>
      </c>
      <c r="B1511" s="343" t="str">
        <f>"40.0203"</f>
        <v>40.0203</v>
      </c>
      <c r="C1511" s="75" t="s">
        <v>4069</v>
      </c>
      <c r="D1511" s="127" t="s">
        <v>4070</v>
      </c>
      <c r="E1511" s="232"/>
    </row>
    <row r="1512" spans="1:5" ht="14.55" customHeight="1" outlineLevel="1" x14ac:dyDescent="0.25">
      <c r="A1512" s="230" t="s">
        <v>1422</v>
      </c>
      <c r="B1512" s="343" t="str">
        <f>"40.0299"</f>
        <v>40.0299</v>
      </c>
      <c r="C1512" s="75" t="s">
        <v>4071</v>
      </c>
      <c r="D1512" s="127" t="s">
        <v>4072</v>
      </c>
      <c r="E1512" s="232"/>
    </row>
    <row r="1513" spans="1:5" ht="14.55" customHeight="1" outlineLevel="1" x14ac:dyDescent="0.25">
      <c r="A1513" s="230" t="s">
        <v>1422</v>
      </c>
      <c r="B1513" s="343" t="str">
        <f>"40.04"</f>
        <v>40.04</v>
      </c>
      <c r="C1513" s="75" t="s">
        <v>4073</v>
      </c>
      <c r="D1513" s="127" t="s">
        <v>4074</v>
      </c>
      <c r="E1513" s="232"/>
    </row>
    <row r="1514" spans="1:5" ht="14.55" customHeight="1" outlineLevel="1" x14ac:dyDescent="0.25">
      <c r="A1514" s="230" t="s">
        <v>1422</v>
      </c>
      <c r="B1514" s="343" t="str">
        <f>"40.0401"</f>
        <v>40.0401</v>
      </c>
      <c r="C1514" s="75" t="s">
        <v>4075</v>
      </c>
      <c r="D1514" s="127" t="s">
        <v>4076</v>
      </c>
      <c r="E1514" s="232"/>
    </row>
    <row r="1515" spans="1:5" ht="14.55" customHeight="1" outlineLevel="1" x14ac:dyDescent="0.25">
      <c r="A1515" s="230" t="s">
        <v>1422</v>
      </c>
      <c r="B1515" s="343" t="str">
        <f>"40.0402"</f>
        <v>40.0402</v>
      </c>
      <c r="C1515" s="75" t="s">
        <v>4077</v>
      </c>
      <c r="D1515" s="127" t="s">
        <v>4078</v>
      </c>
      <c r="E1515" s="232"/>
    </row>
    <row r="1516" spans="1:5" ht="14.55" customHeight="1" outlineLevel="1" x14ac:dyDescent="0.25">
      <c r="A1516" s="230" t="s">
        <v>1422</v>
      </c>
      <c r="B1516" s="343" t="str">
        <f>"40.0403"</f>
        <v>40.0403</v>
      </c>
      <c r="C1516" s="75" t="s">
        <v>4079</v>
      </c>
      <c r="D1516" s="127" t="s">
        <v>4080</v>
      </c>
      <c r="E1516" s="232"/>
    </row>
    <row r="1517" spans="1:5" ht="14.55" customHeight="1" outlineLevel="1" x14ac:dyDescent="0.25">
      <c r="A1517" s="230" t="s">
        <v>1422</v>
      </c>
      <c r="B1517" s="343" t="str">
        <f>"40.0404"</f>
        <v>40.0404</v>
      </c>
      <c r="C1517" s="75" t="s">
        <v>4081</v>
      </c>
      <c r="D1517" s="127" t="s">
        <v>4082</v>
      </c>
      <c r="E1517" s="232"/>
    </row>
    <row r="1518" spans="1:5" ht="14.55" customHeight="1" outlineLevel="1" x14ac:dyDescent="0.25">
      <c r="A1518" s="230" t="s">
        <v>1422</v>
      </c>
      <c r="B1518" s="343" t="str">
        <f>"40.0499"</f>
        <v>40.0499</v>
      </c>
      <c r="C1518" s="75" t="s">
        <v>4083</v>
      </c>
      <c r="D1518" s="127" t="s">
        <v>4084</v>
      </c>
      <c r="E1518" s="232"/>
    </row>
    <row r="1519" spans="1:5" ht="14.55" customHeight="1" outlineLevel="1" x14ac:dyDescent="0.25">
      <c r="A1519" s="230" t="s">
        <v>1422</v>
      </c>
      <c r="B1519" s="343" t="str">
        <f>"40.05"</f>
        <v>40.05</v>
      </c>
      <c r="C1519" s="75" t="s">
        <v>4085</v>
      </c>
      <c r="D1519" s="127" t="s">
        <v>4086</v>
      </c>
      <c r="E1519" s="232"/>
    </row>
    <row r="1520" spans="1:5" ht="14.55" customHeight="1" outlineLevel="1" x14ac:dyDescent="0.25">
      <c r="A1520" s="230" t="s">
        <v>1422</v>
      </c>
      <c r="B1520" s="343" t="str">
        <f>"40.0501"</f>
        <v>40.0501</v>
      </c>
      <c r="C1520" s="75" t="s">
        <v>4087</v>
      </c>
      <c r="D1520" s="127" t="s">
        <v>4088</v>
      </c>
      <c r="E1520" s="232"/>
    </row>
    <row r="1521" spans="1:5" ht="14.55" customHeight="1" outlineLevel="1" x14ac:dyDescent="0.25">
      <c r="A1521" s="230" t="s">
        <v>1422</v>
      </c>
      <c r="B1521" s="343" t="str">
        <f>"40.0502"</f>
        <v>40.0502</v>
      </c>
      <c r="C1521" s="75" t="s">
        <v>4089</v>
      </c>
      <c r="D1521" s="127" t="s">
        <v>4090</v>
      </c>
      <c r="E1521" s="232"/>
    </row>
    <row r="1522" spans="1:5" ht="14.55" customHeight="1" outlineLevel="1" x14ac:dyDescent="0.25">
      <c r="A1522" s="230" t="s">
        <v>1422</v>
      </c>
      <c r="B1522" s="343" t="str">
        <f>"40.0503"</f>
        <v>40.0503</v>
      </c>
      <c r="C1522" s="75" t="s">
        <v>4091</v>
      </c>
      <c r="D1522" s="127" t="s">
        <v>4092</v>
      </c>
      <c r="E1522" s="232"/>
    </row>
    <row r="1523" spans="1:5" ht="14.55" customHeight="1" outlineLevel="1" x14ac:dyDescent="0.25">
      <c r="A1523" s="230" t="s">
        <v>1422</v>
      </c>
      <c r="B1523" s="343" t="str">
        <f>"40.0504"</f>
        <v>40.0504</v>
      </c>
      <c r="C1523" s="75" t="s">
        <v>4093</v>
      </c>
      <c r="D1523" s="127" t="s">
        <v>4094</v>
      </c>
      <c r="E1523" s="232"/>
    </row>
    <row r="1524" spans="1:5" ht="14.55" customHeight="1" outlineLevel="1" x14ac:dyDescent="0.25">
      <c r="A1524" s="230" t="s">
        <v>1422</v>
      </c>
      <c r="B1524" s="343" t="str">
        <f>"40.0506"</f>
        <v>40.0506</v>
      </c>
      <c r="C1524" s="75" t="s">
        <v>4095</v>
      </c>
      <c r="D1524" s="127" t="s">
        <v>4096</v>
      </c>
      <c r="E1524" s="232"/>
    </row>
    <row r="1525" spans="1:5" ht="14.55" customHeight="1" outlineLevel="1" x14ac:dyDescent="0.25">
      <c r="A1525" s="230" t="s">
        <v>1422</v>
      </c>
      <c r="B1525" s="343" t="str">
        <f>"40.0507"</f>
        <v>40.0507</v>
      </c>
      <c r="C1525" s="75" t="s">
        <v>4097</v>
      </c>
      <c r="D1525" s="127" t="s">
        <v>4098</v>
      </c>
      <c r="E1525" s="232"/>
    </row>
    <row r="1526" spans="1:5" ht="14.55" customHeight="1" outlineLevel="1" x14ac:dyDescent="0.25">
      <c r="A1526" s="230" t="s">
        <v>1422</v>
      </c>
      <c r="B1526" s="343" t="str">
        <f>"40.0508"</f>
        <v>40.0508</v>
      </c>
      <c r="C1526" s="75" t="s">
        <v>4099</v>
      </c>
      <c r="D1526" s="127" t="s">
        <v>4100</v>
      </c>
      <c r="E1526" s="232"/>
    </row>
    <row r="1527" spans="1:5" ht="14.55" customHeight="1" outlineLevel="1" x14ac:dyDescent="0.25">
      <c r="A1527" s="230" t="s">
        <v>1422</v>
      </c>
      <c r="B1527" s="343" t="str">
        <f>"40.0509"</f>
        <v>40.0509</v>
      </c>
      <c r="C1527" s="75" t="s">
        <v>4101</v>
      </c>
      <c r="D1527" s="127" t="s">
        <v>4102</v>
      </c>
      <c r="E1527" s="232"/>
    </row>
    <row r="1528" spans="1:5" ht="14.55" customHeight="1" outlineLevel="1" x14ac:dyDescent="0.25">
      <c r="A1528" s="230" t="s">
        <v>1422</v>
      </c>
      <c r="B1528" s="343" t="str">
        <f>"40.0510"</f>
        <v>40.0510</v>
      </c>
      <c r="C1528" s="75" t="s">
        <v>4103</v>
      </c>
      <c r="D1528" s="127" t="s">
        <v>4104</v>
      </c>
      <c r="E1528" s="232"/>
    </row>
    <row r="1529" spans="1:5" ht="14.55" customHeight="1" outlineLevel="1" x14ac:dyDescent="0.25">
      <c r="A1529" s="230" t="s">
        <v>1422</v>
      </c>
      <c r="B1529" s="343" t="str">
        <f>"40.0511"</f>
        <v>40.0511</v>
      </c>
      <c r="C1529" s="75" t="s">
        <v>4105</v>
      </c>
      <c r="D1529" s="127" t="s">
        <v>4106</v>
      </c>
      <c r="E1529" s="232"/>
    </row>
    <row r="1530" spans="1:5" ht="14.55" customHeight="1" outlineLevel="1" x14ac:dyDescent="0.25">
      <c r="A1530" s="230" t="s">
        <v>1422</v>
      </c>
      <c r="B1530" s="343" t="str">
        <f>"40.0512"</f>
        <v>40.0512</v>
      </c>
      <c r="C1530" s="75" t="s">
        <v>4107</v>
      </c>
      <c r="D1530" s="127" t="s">
        <v>4108</v>
      </c>
      <c r="E1530" s="232"/>
    </row>
    <row r="1531" spans="1:5" ht="14.55" customHeight="1" outlineLevel="1" x14ac:dyDescent="0.25">
      <c r="A1531" s="230" t="s">
        <v>1422</v>
      </c>
      <c r="B1531" s="343" t="str">
        <f>"40.0599"</f>
        <v>40.0599</v>
      </c>
      <c r="C1531" s="75" t="s">
        <v>4109</v>
      </c>
      <c r="D1531" s="127" t="s">
        <v>4110</v>
      </c>
      <c r="E1531" s="232"/>
    </row>
    <row r="1532" spans="1:5" ht="14.55" customHeight="1" outlineLevel="1" x14ac:dyDescent="0.25">
      <c r="A1532" s="230" t="s">
        <v>1422</v>
      </c>
      <c r="B1532" s="343" t="str">
        <f>"40.06"</f>
        <v>40.06</v>
      </c>
      <c r="C1532" s="75" t="s">
        <v>4111</v>
      </c>
      <c r="D1532" s="127" t="s">
        <v>4112</v>
      </c>
      <c r="E1532" s="232"/>
    </row>
    <row r="1533" spans="1:5" ht="14.55" customHeight="1" outlineLevel="1" x14ac:dyDescent="0.25">
      <c r="A1533" s="230" t="s">
        <v>1422</v>
      </c>
      <c r="B1533" s="343" t="str">
        <f>"40.0601"</f>
        <v>40.0601</v>
      </c>
      <c r="C1533" s="75" t="s">
        <v>4113</v>
      </c>
      <c r="D1533" s="127" t="s">
        <v>4114</v>
      </c>
      <c r="E1533" s="232"/>
    </row>
    <row r="1534" spans="1:5" ht="14.55" customHeight="1" outlineLevel="1" x14ac:dyDescent="0.25">
      <c r="A1534" s="230" t="s">
        <v>1422</v>
      </c>
      <c r="B1534" s="343" t="str">
        <f>"40.0602"</f>
        <v>40.0602</v>
      </c>
      <c r="C1534" s="75" t="s">
        <v>4115</v>
      </c>
      <c r="D1534" s="127" t="s">
        <v>4116</v>
      </c>
      <c r="E1534" s="232"/>
    </row>
    <row r="1535" spans="1:5" ht="14.55" customHeight="1" outlineLevel="1" x14ac:dyDescent="0.25">
      <c r="A1535" s="230" t="s">
        <v>1422</v>
      </c>
      <c r="B1535" s="343" t="str">
        <f>"40.0603"</f>
        <v>40.0603</v>
      </c>
      <c r="C1535" s="75" t="s">
        <v>4117</v>
      </c>
      <c r="D1535" s="127" t="s">
        <v>13460</v>
      </c>
      <c r="E1535" s="232"/>
    </row>
    <row r="1536" spans="1:5" ht="14.55" customHeight="1" outlineLevel="1" x14ac:dyDescent="0.25">
      <c r="A1536" s="230" t="s">
        <v>1422</v>
      </c>
      <c r="B1536" s="343" t="str">
        <f>"40.0604"</f>
        <v>40.0604</v>
      </c>
      <c r="C1536" s="75" t="s">
        <v>4118</v>
      </c>
      <c r="D1536" s="127" t="s">
        <v>4119</v>
      </c>
      <c r="E1536" s="232"/>
    </row>
    <row r="1537" spans="1:5" ht="14.55" customHeight="1" outlineLevel="1" x14ac:dyDescent="0.25">
      <c r="A1537" s="230" t="s">
        <v>1422</v>
      </c>
      <c r="B1537" s="343" t="str">
        <f>"40.0605"</f>
        <v>40.0605</v>
      </c>
      <c r="C1537" s="75" t="s">
        <v>4120</v>
      </c>
      <c r="D1537" s="127" t="s">
        <v>4121</v>
      </c>
      <c r="E1537" s="232"/>
    </row>
    <row r="1538" spans="1:5" ht="14.55" customHeight="1" outlineLevel="1" x14ac:dyDescent="0.25">
      <c r="A1538" s="230" t="s">
        <v>1422</v>
      </c>
      <c r="B1538" s="343" t="str">
        <f>"40.0606"</f>
        <v>40.0606</v>
      </c>
      <c r="C1538" s="75" t="s">
        <v>4122</v>
      </c>
      <c r="D1538" s="127" t="s">
        <v>4123</v>
      </c>
      <c r="E1538" s="232"/>
    </row>
    <row r="1539" spans="1:5" ht="14.55" customHeight="1" outlineLevel="1" x14ac:dyDescent="0.25">
      <c r="A1539" s="230" t="s">
        <v>1422</v>
      </c>
      <c r="B1539" s="343" t="str">
        <f>"40.0607"</f>
        <v>40.0607</v>
      </c>
      <c r="C1539" s="75" t="s">
        <v>4124</v>
      </c>
      <c r="D1539" s="127" t="s">
        <v>4125</v>
      </c>
      <c r="E1539" s="232"/>
    </row>
    <row r="1540" spans="1:5" ht="14.55" customHeight="1" outlineLevel="1" x14ac:dyDescent="0.25">
      <c r="A1540" s="230" t="s">
        <v>1422</v>
      </c>
      <c r="B1540" s="343" t="str">
        <f>"40.0699"</f>
        <v>40.0699</v>
      </c>
      <c r="C1540" s="75" t="s">
        <v>4126</v>
      </c>
      <c r="D1540" s="127" t="s">
        <v>4127</v>
      </c>
      <c r="E1540" s="232"/>
    </row>
    <row r="1541" spans="1:5" ht="14.55" customHeight="1" outlineLevel="1" x14ac:dyDescent="0.25">
      <c r="A1541" s="230" t="s">
        <v>1422</v>
      </c>
      <c r="B1541" s="343" t="str">
        <f>"40.08"</f>
        <v>40.08</v>
      </c>
      <c r="C1541" s="75" t="s">
        <v>4128</v>
      </c>
      <c r="D1541" s="127" t="s">
        <v>4129</v>
      </c>
      <c r="E1541" s="232"/>
    </row>
    <row r="1542" spans="1:5" ht="14.55" customHeight="1" outlineLevel="1" x14ac:dyDescent="0.25">
      <c r="A1542" s="230" t="s">
        <v>1422</v>
      </c>
      <c r="B1542" s="343" t="str">
        <f>"40.0801"</f>
        <v>40.0801</v>
      </c>
      <c r="C1542" s="75" t="s">
        <v>4130</v>
      </c>
      <c r="D1542" s="127" t="s">
        <v>4131</v>
      </c>
      <c r="E1542" s="232"/>
    </row>
    <row r="1543" spans="1:5" ht="14.55" customHeight="1" outlineLevel="1" x14ac:dyDescent="0.25">
      <c r="A1543" s="230" t="s">
        <v>1422</v>
      </c>
      <c r="B1543" s="343" t="str">
        <f>"40.0802"</f>
        <v>40.0802</v>
      </c>
      <c r="C1543" s="75" t="s">
        <v>4132</v>
      </c>
      <c r="D1543" s="127" t="s">
        <v>4133</v>
      </c>
      <c r="E1543" s="232"/>
    </row>
    <row r="1544" spans="1:5" ht="14.55" customHeight="1" outlineLevel="1" x14ac:dyDescent="0.25">
      <c r="A1544" s="230" t="s">
        <v>1422</v>
      </c>
      <c r="B1544" s="343" t="str">
        <f>"40.0804"</f>
        <v>40.0804</v>
      </c>
      <c r="C1544" s="75" t="s">
        <v>4134</v>
      </c>
      <c r="D1544" s="127" t="s">
        <v>4135</v>
      </c>
      <c r="E1544" s="232"/>
    </row>
    <row r="1545" spans="1:5" ht="14.55" customHeight="1" outlineLevel="1" x14ac:dyDescent="0.25">
      <c r="A1545" s="230" t="s">
        <v>1422</v>
      </c>
      <c r="B1545" s="343" t="str">
        <f>"40.0805"</f>
        <v>40.0805</v>
      </c>
      <c r="C1545" s="75" t="s">
        <v>4136</v>
      </c>
      <c r="D1545" s="127" t="s">
        <v>4137</v>
      </c>
      <c r="E1545" s="232"/>
    </row>
    <row r="1546" spans="1:5" ht="14.55" customHeight="1" outlineLevel="1" x14ac:dyDescent="0.25">
      <c r="A1546" s="230" t="s">
        <v>1422</v>
      </c>
      <c r="B1546" s="343" t="str">
        <f>"40.0806"</f>
        <v>40.0806</v>
      </c>
      <c r="C1546" s="75" t="s">
        <v>4138</v>
      </c>
      <c r="D1546" s="127" t="s">
        <v>4139</v>
      </c>
      <c r="E1546" s="232"/>
    </row>
    <row r="1547" spans="1:5" ht="14.55" customHeight="1" outlineLevel="1" x14ac:dyDescent="0.25">
      <c r="A1547" s="230" t="s">
        <v>1422</v>
      </c>
      <c r="B1547" s="343" t="str">
        <f>"40.0807"</f>
        <v>40.0807</v>
      </c>
      <c r="C1547" s="75" t="s">
        <v>4140</v>
      </c>
      <c r="D1547" s="127" t="s">
        <v>4141</v>
      </c>
      <c r="E1547" s="232"/>
    </row>
    <row r="1548" spans="1:5" ht="14.55" customHeight="1" outlineLevel="1" x14ac:dyDescent="0.25">
      <c r="A1548" s="230" t="s">
        <v>1422</v>
      </c>
      <c r="B1548" s="343" t="str">
        <f>"40.0808"</f>
        <v>40.0808</v>
      </c>
      <c r="C1548" s="75" t="s">
        <v>4142</v>
      </c>
      <c r="D1548" s="127" t="s">
        <v>4143</v>
      </c>
      <c r="E1548" s="232"/>
    </row>
    <row r="1549" spans="1:5" ht="14.55" customHeight="1" outlineLevel="1" x14ac:dyDescent="0.25">
      <c r="A1549" s="230" t="s">
        <v>1422</v>
      </c>
      <c r="B1549" s="343" t="str">
        <f>"40.0809"</f>
        <v>40.0809</v>
      </c>
      <c r="C1549" s="75" t="s">
        <v>4144</v>
      </c>
      <c r="D1549" s="127" t="s">
        <v>4145</v>
      </c>
      <c r="E1549" s="232"/>
    </row>
    <row r="1550" spans="1:5" ht="14.55" customHeight="1" outlineLevel="1" x14ac:dyDescent="0.25">
      <c r="A1550" s="230" t="s">
        <v>1422</v>
      </c>
      <c r="B1550" s="343" t="str">
        <f>"40.0810"</f>
        <v>40.0810</v>
      </c>
      <c r="C1550" s="75" t="s">
        <v>4146</v>
      </c>
      <c r="D1550" s="127" t="s">
        <v>4147</v>
      </c>
      <c r="E1550" s="232"/>
    </row>
    <row r="1551" spans="1:5" ht="14.55" customHeight="1" outlineLevel="1" x14ac:dyDescent="0.25">
      <c r="A1551" s="230" t="s">
        <v>1422</v>
      </c>
      <c r="B1551" s="343" t="str">
        <f>"40.0899"</f>
        <v>40.0899</v>
      </c>
      <c r="C1551" s="75" t="s">
        <v>4148</v>
      </c>
      <c r="D1551" s="127" t="s">
        <v>4149</v>
      </c>
      <c r="E1551" s="232"/>
    </row>
    <row r="1552" spans="1:5" ht="14.55" customHeight="1" outlineLevel="1" x14ac:dyDescent="0.25">
      <c r="A1552" s="230" t="s">
        <v>1422</v>
      </c>
      <c r="B1552" s="343" t="str">
        <f>"40.10"</f>
        <v>40.10</v>
      </c>
      <c r="C1552" s="75" t="s">
        <v>4150</v>
      </c>
      <c r="D1552" s="127" t="s">
        <v>4151</v>
      </c>
      <c r="E1552" s="232"/>
    </row>
    <row r="1553" spans="1:5" ht="14.55" customHeight="1" outlineLevel="1" x14ac:dyDescent="0.25">
      <c r="A1553" s="230" t="s">
        <v>1422</v>
      </c>
      <c r="B1553" s="343" t="str">
        <f>"40.1001"</f>
        <v>40.1001</v>
      </c>
      <c r="C1553" s="75" t="s">
        <v>4152</v>
      </c>
      <c r="D1553" s="127" t="s">
        <v>4153</v>
      </c>
      <c r="E1553" s="232"/>
    </row>
    <row r="1554" spans="1:5" ht="14.55" customHeight="1" outlineLevel="1" x14ac:dyDescent="0.25">
      <c r="A1554" s="230" t="s">
        <v>1422</v>
      </c>
      <c r="B1554" s="343" t="str">
        <f>"40.1002"</f>
        <v>40.1002</v>
      </c>
      <c r="C1554" s="75" t="s">
        <v>4154</v>
      </c>
      <c r="D1554" s="127" t="s">
        <v>4155</v>
      </c>
      <c r="E1554" s="232"/>
    </row>
    <row r="1555" spans="1:5" ht="14.55" customHeight="1" outlineLevel="1" x14ac:dyDescent="0.25">
      <c r="A1555" s="230" t="s">
        <v>1422</v>
      </c>
      <c r="B1555" s="343" t="str">
        <f>"40.1099"</f>
        <v>40.1099</v>
      </c>
      <c r="C1555" s="75" t="s">
        <v>4156</v>
      </c>
      <c r="D1555" s="127" t="s">
        <v>4157</v>
      </c>
      <c r="E1555" s="232"/>
    </row>
    <row r="1556" spans="1:5" ht="14.55" customHeight="1" outlineLevel="1" x14ac:dyDescent="0.25">
      <c r="A1556" s="230" t="s">
        <v>1422</v>
      </c>
      <c r="B1556" s="343" t="str">
        <f>"40.11"</f>
        <v>40.11</v>
      </c>
      <c r="C1556" s="75" t="s">
        <v>4158</v>
      </c>
      <c r="D1556" s="127" t="s">
        <v>4159</v>
      </c>
      <c r="E1556" s="232"/>
    </row>
    <row r="1557" spans="1:5" ht="14.55" customHeight="1" outlineLevel="1" x14ac:dyDescent="0.25">
      <c r="A1557" s="230" t="s">
        <v>1422</v>
      </c>
      <c r="B1557" s="343" t="str">
        <f>"40.1101"</f>
        <v>40.1101</v>
      </c>
      <c r="C1557" s="75" t="s">
        <v>4158</v>
      </c>
      <c r="D1557" s="127" t="s">
        <v>4160</v>
      </c>
      <c r="E1557" s="232"/>
    </row>
    <row r="1558" spans="1:5" ht="14.55" customHeight="1" outlineLevel="1" x14ac:dyDescent="0.25">
      <c r="A1558" s="230" t="s">
        <v>1422</v>
      </c>
      <c r="B1558" s="343" t="str">
        <f>"40.99"</f>
        <v>40.99</v>
      </c>
      <c r="C1558" s="75" t="s">
        <v>4161</v>
      </c>
      <c r="D1558" s="127" t="s">
        <v>4162</v>
      </c>
      <c r="E1558" s="232"/>
    </row>
    <row r="1559" spans="1:5" ht="14.55" customHeight="1" outlineLevel="1" x14ac:dyDescent="0.25">
      <c r="A1559" s="230" t="s">
        <v>1422</v>
      </c>
      <c r="B1559" s="343" t="str">
        <f>"40.9999"</f>
        <v>40.9999</v>
      </c>
      <c r="C1559" s="75" t="s">
        <v>4161</v>
      </c>
      <c r="D1559" s="127" t="s">
        <v>4163</v>
      </c>
      <c r="E1559" s="232"/>
    </row>
    <row r="1560" spans="1:5" ht="14.55" customHeight="1" outlineLevel="1" x14ac:dyDescent="0.25">
      <c r="A1560" s="230" t="s">
        <v>1422</v>
      </c>
      <c r="B1560" s="343" t="str">
        <f>"41"</f>
        <v>41</v>
      </c>
      <c r="C1560" s="75" t="s">
        <v>4164</v>
      </c>
      <c r="D1560" s="127" t="s">
        <v>4165</v>
      </c>
      <c r="E1560" s="232"/>
    </row>
    <row r="1561" spans="1:5" ht="14.55" customHeight="1" outlineLevel="1" x14ac:dyDescent="0.25">
      <c r="A1561" s="230" t="s">
        <v>1422</v>
      </c>
      <c r="B1561" s="343" t="str">
        <f>"41.00"</f>
        <v>41.00</v>
      </c>
      <c r="C1561" s="75" t="s">
        <v>4166</v>
      </c>
      <c r="D1561" s="127" t="s">
        <v>4167</v>
      </c>
      <c r="E1561" s="232"/>
    </row>
    <row r="1562" spans="1:5" ht="14.55" customHeight="1" outlineLevel="1" x14ac:dyDescent="0.25">
      <c r="A1562" s="230" t="s">
        <v>1422</v>
      </c>
      <c r="B1562" s="343" t="str">
        <f>"41.0000"</f>
        <v>41.0000</v>
      </c>
      <c r="C1562" s="75" t="s">
        <v>4166</v>
      </c>
      <c r="D1562" s="127" t="s">
        <v>4168</v>
      </c>
      <c r="E1562" s="232"/>
    </row>
    <row r="1563" spans="1:5" ht="14.55" customHeight="1" outlineLevel="1" x14ac:dyDescent="0.25">
      <c r="A1563" s="230" t="s">
        <v>1422</v>
      </c>
      <c r="B1563" s="343" t="str">
        <f>"41.01"</f>
        <v>41.01</v>
      </c>
      <c r="C1563" s="75" t="s">
        <v>4169</v>
      </c>
      <c r="D1563" s="127" t="s">
        <v>4170</v>
      </c>
      <c r="E1563" s="232"/>
    </row>
    <row r="1564" spans="1:5" ht="14.55" customHeight="1" outlineLevel="1" x14ac:dyDescent="0.25">
      <c r="A1564" s="230" t="s">
        <v>1422</v>
      </c>
      <c r="B1564" s="343" t="str">
        <f>"41.0101"</f>
        <v>41.0101</v>
      </c>
      <c r="C1564" s="75" t="s">
        <v>4171</v>
      </c>
      <c r="D1564" s="127" t="s">
        <v>4172</v>
      </c>
      <c r="E1564" s="232"/>
    </row>
    <row r="1565" spans="1:5" ht="14.55" customHeight="1" outlineLevel="1" x14ac:dyDescent="0.25">
      <c r="A1565" s="230" t="s">
        <v>1422</v>
      </c>
      <c r="B1565" s="343" t="str">
        <f>"41.02"</f>
        <v>41.02</v>
      </c>
      <c r="C1565" s="75" t="s">
        <v>4173</v>
      </c>
      <c r="D1565" s="127" t="s">
        <v>4174</v>
      </c>
      <c r="E1565" s="232"/>
    </row>
    <row r="1566" spans="1:5" ht="14.55" customHeight="1" outlineLevel="1" x14ac:dyDescent="0.25">
      <c r="A1566" s="230" t="s">
        <v>1422</v>
      </c>
      <c r="B1566" s="343" t="str">
        <f>"41.0204"</f>
        <v>41.0204</v>
      </c>
      <c r="C1566" s="75" t="s">
        <v>4175</v>
      </c>
      <c r="D1566" s="127" t="s">
        <v>4176</v>
      </c>
      <c r="E1566" s="232"/>
    </row>
    <row r="1567" spans="1:5" ht="14.55" customHeight="1" outlineLevel="1" x14ac:dyDescent="0.25">
      <c r="A1567" s="230" t="s">
        <v>1422</v>
      </c>
      <c r="B1567" s="343" t="str">
        <f>"41.0205"</f>
        <v>41.0205</v>
      </c>
      <c r="C1567" s="75" t="s">
        <v>4177</v>
      </c>
      <c r="D1567" s="127" t="s">
        <v>4178</v>
      </c>
      <c r="E1567" s="232"/>
    </row>
    <row r="1568" spans="1:5" ht="14.55" customHeight="1" outlineLevel="1" x14ac:dyDescent="0.25">
      <c r="A1568" s="230" t="s">
        <v>1422</v>
      </c>
      <c r="B1568" s="343" t="str">
        <f>"41.0299"</f>
        <v>41.0299</v>
      </c>
      <c r="C1568" s="75" t="s">
        <v>4179</v>
      </c>
      <c r="D1568" s="127" t="s">
        <v>4180</v>
      </c>
      <c r="E1568" s="232"/>
    </row>
    <row r="1569" spans="1:5" ht="14.55" customHeight="1" outlineLevel="1" x14ac:dyDescent="0.25">
      <c r="A1569" s="230" t="s">
        <v>1422</v>
      </c>
      <c r="B1569" s="343" t="str">
        <f>"41.03"</f>
        <v>41.03</v>
      </c>
      <c r="C1569" s="75" t="s">
        <v>4181</v>
      </c>
      <c r="D1569" s="127" t="s">
        <v>4182</v>
      </c>
      <c r="E1569" s="232"/>
    </row>
    <row r="1570" spans="1:5" ht="14.55" customHeight="1" outlineLevel="1" x14ac:dyDescent="0.25">
      <c r="A1570" s="230" t="s">
        <v>1422</v>
      </c>
      <c r="B1570" s="343" t="str">
        <f>"41.0301"</f>
        <v>41.0301</v>
      </c>
      <c r="C1570" s="75" t="s">
        <v>4183</v>
      </c>
      <c r="D1570" s="127" t="s">
        <v>4184</v>
      </c>
      <c r="E1570" s="232"/>
    </row>
    <row r="1571" spans="1:5" ht="14.55" customHeight="1" outlineLevel="1" x14ac:dyDescent="0.25">
      <c r="A1571" s="230" t="s">
        <v>1422</v>
      </c>
      <c r="B1571" s="343" t="str">
        <f>"41.0303"</f>
        <v>41.0303</v>
      </c>
      <c r="C1571" s="75" t="s">
        <v>4185</v>
      </c>
      <c r="D1571" s="127" t="s">
        <v>4186</v>
      </c>
      <c r="E1571" s="232"/>
    </row>
    <row r="1572" spans="1:5" ht="14.55" customHeight="1" outlineLevel="1" x14ac:dyDescent="0.25">
      <c r="A1572" s="230" t="s">
        <v>1422</v>
      </c>
      <c r="B1572" s="343" t="str">
        <f>"41.0399"</f>
        <v>41.0399</v>
      </c>
      <c r="C1572" s="75" t="s">
        <v>4187</v>
      </c>
      <c r="D1572" s="127" t="s">
        <v>4188</v>
      </c>
      <c r="E1572" s="232"/>
    </row>
    <row r="1573" spans="1:5" ht="14.55" customHeight="1" outlineLevel="1" x14ac:dyDescent="0.25">
      <c r="A1573" s="230" t="s">
        <v>1422</v>
      </c>
      <c r="B1573" s="343" t="str">
        <f>"41.99"</f>
        <v>41.99</v>
      </c>
      <c r="C1573" s="75" t="s">
        <v>4189</v>
      </c>
      <c r="D1573" s="127" t="s">
        <v>4190</v>
      </c>
      <c r="E1573" s="232"/>
    </row>
    <row r="1574" spans="1:5" ht="14.55" customHeight="1" outlineLevel="1" x14ac:dyDescent="0.25">
      <c r="A1574" s="230" t="s">
        <v>1422</v>
      </c>
      <c r="B1574" s="343" t="str">
        <f>"41.9999"</f>
        <v>41.9999</v>
      </c>
      <c r="C1574" s="75" t="s">
        <v>4189</v>
      </c>
      <c r="D1574" s="127" t="s">
        <v>4191</v>
      </c>
      <c r="E1574" s="232"/>
    </row>
    <row r="1575" spans="1:5" ht="14.55" customHeight="1" outlineLevel="1" x14ac:dyDescent="0.25">
      <c r="A1575" s="230" t="s">
        <v>1422</v>
      </c>
      <c r="B1575" s="343" t="str">
        <f>"42"</f>
        <v>42</v>
      </c>
      <c r="C1575" s="75" t="s">
        <v>4192</v>
      </c>
      <c r="D1575" s="127" t="s">
        <v>4193</v>
      </c>
      <c r="E1575" s="232"/>
    </row>
    <row r="1576" spans="1:5" ht="14.55" customHeight="1" outlineLevel="1" x14ac:dyDescent="0.25">
      <c r="A1576" s="230" t="s">
        <v>1422</v>
      </c>
      <c r="B1576" s="343" t="str">
        <f>"42.01"</f>
        <v>42.01</v>
      </c>
      <c r="C1576" s="75" t="s">
        <v>4194</v>
      </c>
      <c r="D1576" s="127" t="s">
        <v>4195</v>
      </c>
      <c r="E1576" s="232"/>
    </row>
    <row r="1577" spans="1:5" ht="14.55" customHeight="1" outlineLevel="1" x14ac:dyDescent="0.25">
      <c r="A1577" s="230" t="s">
        <v>1422</v>
      </c>
      <c r="B1577" s="343" t="str">
        <f>"42.0101"</f>
        <v>42.0101</v>
      </c>
      <c r="C1577" s="75" t="s">
        <v>4194</v>
      </c>
      <c r="D1577" s="127" t="s">
        <v>4196</v>
      </c>
      <c r="E1577" s="232"/>
    </row>
    <row r="1578" spans="1:5" ht="14.55" customHeight="1" outlineLevel="1" x14ac:dyDescent="0.25">
      <c r="A1578" s="230" t="s">
        <v>1422</v>
      </c>
      <c r="B1578" s="343" t="str">
        <f>"42.27"</f>
        <v>42.27</v>
      </c>
      <c r="C1578" s="75" t="s">
        <v>4197</v>
      </c>
      <c r="D1578" s="127" t="s">
        <v>4198</v>
      </c>
      <c r="E1578" s="232"/>
    </row>
    <row r="1579" spans="1:5" ht="14.55" customHeight="1" outlineLevel="1" x14ac:dyDescent="0.25">
      <c r="A1579" s="230" t="s">
        <v>1422</v>
      </c>
      <c r="B1579" s="343" t="str">
        <f>"42.2701"</f>
        <v>42.2701</v>
      </c>
      <c r="C1579" s="75" t="s">
        <v>4199</v>
      </c>
      <c r="D1579" s="127" t="s">
        <v>4200</v>
      </c>
      <c r="E1579" s="232"/>
    </row>
    <row r="1580" spans="1:5" ht="14.55" customHeight="1" outlineLevel="1" x14ac:dyDescent="0.25">
      <c r="A1580" s="230" t="s">
        <v>1422</v>
      </c>
      <c r="B1580" s="343" t="str">
        <f>"42.2702"</f>
        <v>42.2702</v>
      </c>
      <c r="C1580" s="75" t="s">
        <v>4201</v>
      </c>
      <c r="D1580" s="127" t="s">
        <v>4202</v>
      </c>
      <c r="E1580" s="232"/>
    </row>
    <row r="1581" spans="1:5" ht="14.55" customHeight="1" outlineLevel="1" x14ac:dyDescent="0.25">
      <c r="A1581" s="230" t="s">
        <v>1422</v>
      </c>
      <c r="B1581" s="343" t="str">
        <f>"42.2703"</f>
        <v>42.2703</v>
      </c>
      <c r="C1581" s="75" t="s">
        <v>4203</v>
      </c>
      <c r="D1581" s="127" t="s">
        <v>4204</v>
      </c>
      <c r="E1581" s="232"/>
    </row>
    <row r="1582" spans="1:5" ht="14.55" customHeight="1" outlineLevel="1" x14ac:dyDescent="0.25">
      <c r="A1582" s="230" t="s">
        <v>1422</v>
      </c>
      <c r="B1582" s="343" t="str">
        <f>"42.2704"</f>
        <v>42.2704</v>
      </c>
      <c r="C1582" s="75" t="s">
        <v>4205</v>
      </c>
      <c r="D1582" s="127" t="s">
        <v>4206</v>
      </c>
      <c r="E1582" s="232"/>
    </row>
    <row r="1583" spans="1:5" ht="14.55" customHeight="1" outlineLevel="1" x14ac:dyDescent="0.25">
      <c r="A1583" s="230" t="s">
        <v>1422</v>
      </c>
      <c r="B1583" s="343" t="str">
        <f>"42.2705"</f>
        <v>42.2705</v>
      </c>
      <c r="C1583" s="75" t="s">
        <v>4207</v>
      </c>
      <c r="D1583" s="127" t="s">
        <v>4208</v>
      </c>
      <c r="E1583" s="232"/>
    </row>
    <row r="1584" spans="1:5" ht="14.55" customHeight="1" outlineLevel="1" x14ac:dyDescent="0.25">
      <c r="A1584" s="230" t="s">
        <v>1422</v>
      </c>
      <c r="B1584" s="343" t="str">
        <f>"42.2706"</f>
        <v>42.2706</v>
      </c>
      <c r="C1584" s="75" t="s">
        <v>4209</v>
      </c>
      <c r="D1584" s="127" t="s">
        <v>4210</v>
      </c>
      <c r="E1584" s="232"/>
    </row>
    <row r="1585" spans="1:5" ht="14.55" customHeight="1" outlineLevel="1" x14ac:dyDescent="0.25">
      <c r="A1585" s="230" t="s">
        <v>1422</v>
      </c>
      <c r="B1585" s="343" t="str">
        <f>"42.2707"</f>
        <v>42.2707</v>
      </c>
      <c r="C1585" s="75" t="s">
        <v>4211</v>
      </c>
      <c r="D1585" s="127" t="s">
        <v>4212</v>
      </c>
      <c r="E1585" s="232"/>
    </row>
    <row r="1586" spans="1:5" ht="14.55" customHeight="1" outlineLevel="1" x14ac:dyDescent="0.25">
      <c r="A1586" s="230" t="s">
        <v>1422</v>
      </c>
      <c r="B1586" s="343" t="str">
        <f>"42.2708"</f>
        <v>42.2708</v>
      </c>
      <c r="C1586" s="75" t="s">
        <v>4213</v>
      </c>
      <c r="D1586" s="127" t="s">
        <v>4214</v>
      </c>
      <c r="E1586" s="232"/>
    </row>
    <row r="1587" spans="1:5" ht="14.55" customHeight="1" outlineLevel="1" x14ac:dyDescent="0.25">
      <c r="A1587" s="230" t="s">
        <v>1422</v>
      </c>
      <c r="B1587" s="343" t="str">
        <f>"42.2709"</f>
        <v>42.2709</v>
      </c>
      <c r="C1587" s="75" t="s">
        <v>4215</v>
      </c>
      <c r="D1587" s="127" t="s">
        <v>4216</v>
      </c>
      <c r="E1587" s="232"/>
    </row>
    <row r="1588" spans="1:5" ht="14.55" customHeight="1" outlineLevel="1" x14ac:dyDescent="0.25">
      <c r="A1588" s="230" t="s">
        <v>1422</v>
      </c>
      <c r="B1588" s="343" t="str">
        <f>"42.2710"</f>
        <v>42.2710</v>
      </c>
      <c r="C1588" s="75" t="s">
        <v>4217</v>
      </c>
      <c r="D1588" s="127" t="s">
        <v>4218</v>
      </c>
      <c r="E1588" s="232"/>
    </row>
    <row r="1589" spans="1:5" ht="14.55" customHeight="1" outlineLevel="1" x14ac:dyDescent="0.25">
      <c r="A1589" s="230" t="s">
        <v>1422</v>
      </c>
      <c r="B1589" s="343" t="str">
        <f>"42.2799"</f>
        <v>42.2799</v>
      </c>
      <c r="C1589" s="75" t="s">
        <v>4219</v>
      </c>
      <c r="D1589" s="127" t="s">
        <v>4220</v>
      </c>
      <c r="E1589" s="232"/>
    </row>
    <row r="1590" spans="1:5" ht="14.55" customHeight="1" outlineLevel="1" x14ac:dyDescent="0.25">
      <c r="A1590" s="230" t="s">
        <v>1422</v>
      </c>
      <c r="B1590" s="343" t="str">
        <f>"42.28"</f>
        <v>42.28</v>
      </c>
      <c r="C1590" s="75" t="s">
        <v>4221</v>
      </c>
      <c r="D1590" s="127" t="s">
        <v>4222</v>
      </c>
      <c r="E1590" s="232"/>
    </row>
    <row r="1591" spans="1:5" ht="14.55" customHeight="1" outlineLevel="1" x14ac:dyDescent="0.25">
      <c r="A1591" s="230" t="s">
        <v>1422</v>
      </c>
      <c r="B1591" s="343" t="str">
        <f>"42.2801"</f>
        <v>42.2801</v>
      </c>
      <c r="C1591" s="75" t="s">
        <v>4223</v>
      </c>
      <c r="D1591" s="127" t="s">
        <v>4224</v>
      </c>
      <c r="E1591" s="232"/>
    </row>
    <row r="1592" spans="1:5" ht="14.55" customHeight="1" outlineLevel="1" x14ac:dyDescent="0.25">
      <c r="A1592" s="230" t="s">
        <v>1422</v>
      </c>
      <c r="B1592" s="343" t="str">
        <f>"42.2802"</f>
        <v>42.2802</v>
      </c>
      <c r="C1592" s="75" t="s">
        <v>4225</v>
      </c>
      <c r="D1592" s="127" t="s">
        <v>4226</v>
      </c>
      <c r="E1592" s="232"/>
    </row>
    <row r="1593" spans="1:5" ht="14.55" customHeight="1" outlineLevel="1" x14ac:dyDescent="0.25">
      <c r="A1593" s="230" t="s">
        <v>1422</v>
      </c>
      <c r="B1593" s="343" t="str">
        <f>"42.2803"</f>
        <v>42.2803</v>
      </c>
      <c r="C1593" s="75" t="s">
        <v>4227</v>
      </c>
      <c r="D1593" s="127" t="s">
        <v>4228</v>
      </c>
      <c r="E1593" s="232"/>
    </row>
    <row r="1594" spans="1:5" ht="14.55" customHeight="1" outlineLevel="1" x14ac:dyDescent="0.25">
      <c r="A1594" s="230" t="s">
        <v>1422</v>
      </c>
      <c r="B1594" s="343" t="str">
        <f>"42.2804"</f>
        <v>42.2804</v>
      </c>
      <c r="C1594" s="75" t="s">
        <v>4229</v>
      </c>
      <c r="D1594" s="127" t="s">
        <v>4230</v>
      </c>
      <c r="E1594" s="232"/>
    </row>
    <row r="1595" spans="1:5" ht="14.55" customHeight="1" outlineLevel="1" x14ac:dyDescent="0.25">
      <c r="A1595" s="230" t="s">
        <v>1422</v>
      </c>
      <c r="B1595" s="343" t="str">
        <f>"42.2805"</f>
        <v>42.2805</v>
      </c>
      <c r="C1595" s="75" t="s">
        <v>4231</v>
      </c>
      <c r="D1595" s="127" t="s">
        <v>4232</v>
      </c>
      <c r="E1595" s="232"/>
    </row>
    <row r="1596" spans="1:5" ht="14.55" customHeight="1" outlineLevel="1" x14ac:dyDescent="0.25">
      <c r="A1596" s="230" t="s">
        <v>1422</v>
      </c>
      <c r="B1596" s="343" t="str">
        <f>"42.2806"</f>
        <v>42.2806</v>
      </c>
      <c r="C1596" s="75" t="s">
        <v>4233</v>
      </c>
      <c r="D1596" s="127" t="s">
        <v>4234</v>
      </c>
      <c r="E1596" s="232"/>
    </row>
    <row r="1597" spans="1:5" ht="14.55" customHeight="1" outlineLevel="1" x14ac:dyDescent="0.25">
      <c r="A1597" s="230" t="s">
        <v>1422</v>
      </c>
      <c r="B1597" s="343" t="str">
        <f>"42.2807"</f>
        <v>42.2807</v>
      </c>
      <c r="C1597" s="75" t="s">
        <v>4235</v>
      </c>
      <c r="D1597" s="127" t="s">
        <v>4236</v>
      </c>
      <c r="E1597" s="232"/>
    </row>
    <row r="1598" spans="1:5" ht="14.55" customHeight="1" outlineLevel="1" x14ac:dyDescent="0.25">
      <c r="A1598" s="230" t="s">
        <v>1422</v>
      </c>
      <c r="B1598" s="343" t="str">
        <f>"42.2808"</f>
        <v>42.2808</v>
      </c>
      <c r="C1598" s="75" t="s">
        <v>4237</v>
      </c>
      <c r="D1598" s="127" t="s">
        <v>4238</v>
      </c>
      <c r="E1598" s="232"/>
    </row>
    <row r="1599" spans="1:5" ht="14.55" customHeight="1" outlineLevel="1" x14ac:dyDescent="0.25">
      <c r="A1599" s="230" t="s">
        <v>1422</v>
      </c>
      <c r="B1599" s="343" t="str">
        <f>"42.2809"</f>
        <v>42.2809</v>
      </c>
      <c r="C1599" s="75" t="s">
        <v>4239</v>
      </c>
      <c r="D1599" s="127" t="s">
        <v>4240</v>
      </c>
      <c r="E1599" s="232"/>
    </row>
    <row r="1600" spans="1:5" ht="14.55" customHeight="1" outlineLevel="1" x14ac:dyDescent="0.25">
      <c r="A1600" s="230" t="s">
        <v>1422</v>
      </c>
      <c r="B1600" s="343" t="str">
        <f>"42.2810"</f>
        <v>42.2810</v>
      </c>
      <c r="C1600" s="75" t="s">
        <v>4241</v>
      </c>
      <c r="D1600" s="127" t="s">
        <v>4242</v>
      </c>
      <c r="E1600" s="232"/>
    </row>
    <row r="1601" spans="1:5" ht="14.55" customHeight="1" outlineLevel="1" x14ac:dyDescent="0.25">
      <c r="A1601" s="230" t="s">
        <v>1422</v>
      </c>
      <c r="B1601" s="343" t="str">
        <f>"42.2811"</f>
        <v>42.2811</v>
      </c>
      <c r="C1601" s="75" t="s">
        <v>4243</v>
      </c>
      <c r="D1601" s="127" t="s">
        <v>4244</v>
      </c>
      <c r="E1601" s="232"/>
    </row>
    <row r="1602" spans="1:5" ht="14.55" customHeight="1" outlineLevel="1" x14ac:dyDescent="0.25">
      <c r="A1602" s="230" t="s">
        <v>1422</v>
      </c>
      <c r="B1602" s="343" t="str">
        <f>"42.2812"</f>
        <v>42.2812</v>
      </c>
      <c r="C1602" s="75" t="s">
        <v>4245</v>
      </c>
      <c r="D1602" s="127" t="s">
        <v>4246</v>
      </c>
      <c r="E1602" s="232"/>
    </row>
    <row r="1603" spans="1:5" ht="14.55" customHeight="1" outlineLevel="1" x14ac:dyDescent="0.25">
      <c r="A1603" s="230" t="s">
        <v>1422</v>
      </c>
      <c r="B1603" s="343" t="str">
        <f>"42.2813"</f>
        <v>42.2813</v>
      </c>
      <c r="C1603" s="75" t="s">
        <v>4247</v>
      </c>
      <c r="D1603" s="127" t="s">
        <v>4248</v>
      </c>
      <c r="E1603" s="232"/>
    </row>
    <row r="1604" spans="1:5" ht="14.55" customHeight="1" outlineLevel="1" x14ac:dyDescent="0.25">
      <c r="A1604" s="230" t="s">
        <v>1422</v>
      </c>
      <c r="B1604" s="343" t="str">
        <f>"42.2814"</f>
        <v>42.2814</v>
      </c>
      <c r="C1604" s="75" t="s">
        <v>4249</v>
      </c>
      <c r="D1604" s="127" t="s">
        <v>4250</v>
      </c>
      <c r="E1604" s="232"/>
    </row>
    <row r="1605" spans="1:5" ht="14.55" customHeight="1" outlineLevel="1" x14ac:dyDescent="0.25">
      <c r="A1605" s="230" t="s">
        <v>1422</v>
      </c>
      <c r="B1605" s="343" t="str">
        <f>"42.2815"</f>
        <v>42.2815</v>
      </c>
      <c r="C1605" s="75" t="s">
        <v>4251</v>
      </c>
      <c r="D1605" s="127" t="s">
        <v>4252</v>
      </c>
      <c r="E1605" s="232"/>
    </row>
    <row r="1606" spans="1:5" ht="14.55" customHeight="1" outlineLevel="1" x14ac:dyDescent="0.25">
      <c r="A1606" s="230" t="s">
        <v>1422</v>
      </c>
      <c r="B1606" s="343" t="str">
        <f>"42.2816"</f>
        <v>42.2816</v>
      </c>
      <c r="C1606" s="75" t="s">
        <v>4253</v>
      </c>
      <c r="D1606" s="127" t="s">
        <v>4254</v>
      </c>
      <c r="E1606" s="232"/>
    </row>
    <row r="1607" spans="1:5" ht="14.55" customHeight="1" outlineLevel="1" x14ac:dyDescent="0.25">
      <c r="A1607" s="230" t="s">
        <v>1422</v>
      </c>
      <c r="B1607" s="343" t="str">
        <f>"42.2817"</f>
        <v>42.2817</v>
      </c>
      <c r="C1607" s="75" t="s">
        <v>4255</v>
      </c>
      <c r="D1607" s="127" t="s">
        <v>4256</v>
      </c>
      <c r="E1607" s="232"/>
    </row>
    <row r="1608" spans="1:5" ht="14.55" customHeight="1" outlineLevel="1" x14ac:dyDescent="0.25">
      <c r="A1608" s="230" t="s">
        <v>1422</v>
      </c>
      <c r="B1608" s="343" t="str">
        <f>"42.2899"</f>
        <v>42.2899</v>
      </c>
      <c r="C1608" s="75" t="s">
        <v>4257</v>
      </c>
      <c r="D1608" s="127" t="s">
        <v>4258</v>
      </c>
      <c r="E1608" s="232"/>
    </row>
    <row r="1609" spans="1:5" ht="14.55" customHeight="1" outlineLevel="1" x14ac:dyDescent="0.25">
      <c r="A1609" s="230" t="s">
        <v>1422</v>
      </c>
      <c r="B1609" s="343" t="str">
        <f>"42.99"</f>
        <v>42.99</v>
      </c>
      <c r="C1609" s="75" t="s">
        <v>4259</v>
      </c>
      <c r="D1609" s="127" t="s">
        <v>4260</v>
      </c>
      <c r="E1609" s="232"/>
    </row>
    <row r="1610" spans="1:5" ht="14.55" customHeight="1" outlineLevel="1" x14ac:dyDescent="0.25">
      <c r="A1610" s="230" t="s">
        <v>1422</v>
      </c>
      <c r="B1610" s="343" t="str">
        <f>"42.9999"</f>
        <v>42.9999</v>
      </c>
      <c r="C1610" s="75" t="s">
        <v>4259</v>
      </c>
      <c r="D1610" s="127" t="s">
        <v>4261</v>
      </c>
      <c r="E1610" s="232"/>
    </row>
    <row r="1611" spans="1:5" ht="14.55" customHeight="1" outlineLevel="1" x14ac:dyDescent="0.25">
      <c r="A1611" s="230" t="s">
        <v>1422</v>
      </c>
      <c r="B1611" s="343" t="str">
        <f>"43"</f>
        <v>43</v>
      </c>
      <c r="C1611" s="75" t="s">
        <v>4262</v>
      </c>
      <c r="D1611" s="127" t="s">
        <v>4263</v>
      </c>
      <c r="E1611" s="232"/>
    </row>
    <row r="1612" spans="1:5" ht="14.55" customHeight="1" outlineLevel="1" x14ac:dyDescent="0.25">
      <c r="A1612" s="230" t="s">
        <v>1422</v>
      </c>
      <c r="B1612" s="343" t="str">
        <f>"43.01"</f>
        <v>43.01</v>
      </c>
      <c r="C1612" s="75" t="s">
        <v>4264</v>
      </c>
      <c r="D1612" s="127" t="s">
        <v>4265</v>
      </c>
      <c r="E1612" s="232"/>
    </row>
    <row r="1613" spans="1:5" ht="14.55" customHeight="1" outlineLevel="1" x14ac:dyDescent="0.25">
      <c r="A1613" s="230" t="s">
        <v>1422</v>
      </c>
      <c r="B1613" s="343" t="str">
        <f>"43.0100"</f>
        <v>43.0100</v>
      </c>
      <c r="C1613" s="75" t="s">
        <v>4266</v>
      </c>
      <c r="D1613" s="127" t="s">
        <v>4267</v>
      </c>
      <c r="E1613" s="232"/>
    </row>
    <row r="1614" spans="1:5" ht="14.55" customHeight="1" outlineLevel="1" x14ac:dyDescent="0.25">
      <c r="A1614" s="230" t="s">
        <v>1422</v>
      </c>
      <c r="B1614" s="343" t="str">
        <f>"43.0102"</f>
        <v>43.0102</v>
      </c>
      <c r="C1614" s="75" t="s">
        <v>4268</v>
      </c>
      <c r="D1614" s="127" t="s">
        <v>4269</v>
      </c>
      <c r="E1614" s="232"/>
    </row>
    <row r="1615" spans="1:5" ht="14.55" customHeight="1" outlineLevel="1" x14ac:dyDescent="0.25">
      <c r="A1615" s="230" t="s">
        <v>1422</v>
      </c>
      <c r="B1615" s="343" t="str">
        <f>"43.0103"</f>
        <v>43.0103</v>
      </c>
      <c r="C1615" s="75" t="s">
        <v>4270</v>
      </c>
      <c r="D1615" s="127" t="s">
        <v>4271</v>
      </c>
      <c r="E1615" s="232"/>
    </row>
    <row r="1616" spans="1:5" ht="14.55" customHeight="1" outlineLevel="1" x14ac:dyDescent="0.25">
      <c r="A1616" s="230" t="s">
        <v>1422</v>
      </c>
      <c r="B1616" s="343" t="str">
        <f>"43.0104"</f>
        <v>43.0104</v>
      </c>
      <c r="C1616" s="75" t="s">
        <v>4272</v>
      </c>
      <c r="D1616" s="127" t="s">
        <v>4273</v>
      </c>
      <c r="E1616" s="232"/>
    </row>
    <row r="1617" spans="1:5" ht="14.55" customHeight="1" outlineLevel="1" x14ac:dyDescent="0.25">
      <c r="A1617" s="230" t="s">
        <v>1422</v>
      </c>
      <c r="B1617" s="343" t="str">
        <f>"43.0107"</f>
        <v>43.0107</v>
      </c>
      <c r="C1617" s="75" t="s">
        <v>4274</v>
      </c>
      <c r="D1617" s="127" t="s">
        <v>4275</v>
      </c>
      <c r="E1617" s="232"/>
    </row>
    <row r="1618" spans="1:5" ht="14.55" customHeight="1" outlineLevel="1" x14ac:dyDescent="0.25">
      <c r="A1618" s="230" t="s">
        <v>1422</v>
      </c>
      <c r="B1618" s="343" t="str">
        <f>"43.0109"</f>
        <v>43.0109</v>
      </c>
      <c r="C1618" s="75" t="s">
        <v>4276</v>
      </c>
      <c r="D1618" s="127" t="s">
        <v>4277</v>
      </c>
      <c r="E1618" s="232"/>
    </row>
    <row r="1619" spans="1:5" ht="14.55" customHeight="1" outlineLevel="1" x14ac:dyDescent="0.25">
      <c r="A1619" s="230" t="s">
        <v>1422</v>
      </c>
      <c r="B1619" s="343" t="str">
        <f>"43.0110"</f>
        <v>43.0110</v>
      </c>
      <c r="C1619" s="75" t="s">
        <v>4278</v>
      </c>
      <c r="D1619" s="127" t="s">
        <v>4279</v>
      </c>
      <c r="E1619" s="232"/>
    </row>
    <row r="1620" spans="1:5" ht="14.55" customHeight="1" outlineLevel="1" x14ac:dyDescent="0.25">
      <c r="A1620" s="230" t="s">
        <v>1422</v>
      </c>
      <c r="B1620" s="343" t="str">
        <f>"43.0112"</f>
        <v>43.0112</v>
      </c>
      <c r="C1620" s="75" t="s">
        <v>4280</v>
      </c>
      <c r="D1620" s="127" t="s">
        <v>4281</v>
      </c>
      <c r="E1620" s="232"/>
    </row>
    <row r="1621" spans="1:5" ht="14.55" customHeight="1" outlineLevel="1" x14ac:dyDescent="0.25">
      <c r="A1621" s="230" t="s">
        <v>1422</v>
      </c>
      <c r="B1621" s="343" t="str">
        <f>"43.0113"</f>
        <v>43.0113</v>
      </c>
      <c r="C1621" s="75" t="s">
        <v>4282</v>
      </c>
      <c r="D1621" s="127" t="s">
        <v>4283</v>
      </c>
      <c r="E1621" s="232"/>
    </row>
    <row r="1622" spans="1:5" ht="14.55" customHeight="1" outlineLevel="1" x14ac:dyDescent="0.25">
      <c r="A1622" s="230" t="s">
        <v>1422</v>
      </c>
      <c r="B1622" s="343" t="str">
        <f>"43.0114"</f>
        <v>43.0114</v>
      </c>
      <c r="C1622" s="75" t="s">
        <v>4284</v>
      </c>
      <c r="D1622" s="127" t="s">
        <v>4285</v>
      </c>
      <c r="E1622" s="232"/>
    </row>
    <row r="1623" spans="1:5" ht="14.55" customHeight="1" outlineLevel="1" x14ac:dyDescent="0.25">
      <c r="A1623" s="230" t="s">
        <v>1422</v>
      </c>
      <c r="B1623" s="343" t="str">
        <f>"43.0115"</f>
        <v>43.0115</v>
      </c>
      <c r="C1623" s="75" t="s">
        <v>4286</v>
      </c>
      <c r="D1623" s="127" t="s">
        <v>4287</v>
      </c>
      <c r="E1623" s="232"/>
    </row>
    <row r="1624" spans="1:5" ht="14.55" customHeight="1" outlineLevel="1" x14ac:dyDescent="0.25">
      <c r="A1624" s="230" t="s">
        <v>1422</v>
      </c>
      <c r="B1624" s="343" t="str">
        <f>"43.0119"</f>
        <v>43.0119</v>
      </c>
      <c r="C1624" s="75" t="s">
        <v>4288</v>
      </c>
      <c r="D1624" s="127" t="s">
        <v>4289</v>
      </c>
      <c r="E1624" s="232"/>
    </row>
    <row r="1625" spans="1:5" ht="14.55" customHeight="1" outlineLevel="1" x14ac:dyDescent="0.25">
      <c r="A1625" s="230" t="s">
        <v>1422</v>
      </c>
      <c r="B1625" s="343" t="str">
        <f>"43.0120"</f>
        <v>43.0120</v>
      </c>
      <c r="C1625" s="75" t="s">
        <v>4290</v>
      </c>
      <c r="D1625" s="127" t="s">
        <v>4291</v>
      </c>
      <c r="E1625" s="232"/>
    </row>
    <row r="1626" spans="1:5" ht="14.55" customHeight="1" outlineLevel="1" x14ac:dyDescent="0.25">
      <c r="A1626" s="230" t="s">
        <v>1422</v>
      </c>
      <c r="B1626" s="343" t="str">
        <f>"43.0121"</f>
        <v>43.0121</v>
      </c>
      <c r="C1626" s="75" t="s">
        <v>4292</v>
      </c>
      <c r="D1626" s="127" t="s">
        <v>4293</v>
      </c>
      <c r="E1626" s="232"/>
    </row>
    <row r="1627" spans="1:5" ht="14.55" customHeight="1" outlineLevel="1" x14ac:dyDescent="0.25">
      <c r="A1627" s="230" t="s">
        <v>1422</v>
      </c>
      <c r="B1627" s="343" t="str">
        <f>"43.0122"</f>
        <v>43.0122</v>
      </c>
      <c r="C1627" s="75" t="s">
        <v>4294</v>
      </c>
      <c r="D1627" s="127" t="s">
        <v>4295</v>
      </c>
      <c r="E1627" s="232"/>
    </row>
    <row r="1628" spans="1:5" ht="14.55" customHeight="1" outlineLevel="1" x14ac:dyDescent="0.25">
      <c r="A1628" s="253" t="s">
        <v>1422</v>
      </c>
      <c r="B1628" s="343" t="str">
        <f>"43.0123"</f>
        <v>43.0123</v>
      </c>
      <c r="C1628" s="233" t="s">
        <v>13461</v>
      </c>
      <c r="D1628" s="127" t="s">
        <v>4296</v>
      </c>
      <c r="E1628" s="232"/>
    </row>
    <row r="1629" spans="1:5" ht="14.55" customHeight="1" outlineLevel="1" x14ac:dyDescent="0.25">
      <c r="A1629" s="230" t="s">
        <v>1422</v>
      </c>
      <c r="B1629" s="343" t="str">
        <f>"43.0199"</f>
        <v>43.0199</v>
      </c>
      <c r="C1629" s="75" t="s">
        <v>4297</v>
      </c>
      <c r="D1629" s="127" t="s">
        <v>4298</v>
      </c>
      <c r="E1629" s="232"/>
    </row>
    <row r="1630" spans="1:5" ht="14.55" customHeight="1" outlineLevel="1" x14ac:dyDescent="0.25">
      <c r="A1630" s="230" t="s">
        <v>1422</v>
      </c>
      <c r="B1630" s="343" t="str">
        <f>"43.02"</f>
        <v>43.02</v>
      </c>
      <c r="C1630" s="75" t="s">
        <v>4299</v>
      </c>
      <c r="D1630" s="127" t="s">
        <v>4300</v>
      </c>
      <c r="E1630" s="232"/>
    </row>
    <row r="1631" spans="1:5" ht="14.55" customHeight="1" outlineLevel="1" x14ac:dyDescent="0.25">
      <c r="A1631" s="230" t="s">
        <v>1422</v>
      </c>
      <c r="B1631" s="343" t="str">
        <f>"43.0201"</f>
        <v>43.0201</v>
      </c>
      <c r="C1631" s="75" t="s">
        <v>4301</v>
      </c>
      <c r="D1631" s="127" t="s">
        <v>4302</v>
      </c>
      <c r="E1631" s="232"/>
    </row>
    <row r="1632" spans="1:5" ht="14.55" customHeight="1" outlineLevel="1" x14ac:dyDescent="0.25">
      <c r="A1632" s="230" t="s">
        <v>1422</v>
      </c>
      <c r="B1632" s="343" t="str">
        <f>"43.0202"</f>
        <v>43.0202</v>
      </c>
      <c r="C1632" s="75" t="s">
        <v>4303</v>
      </c>
      <c r="D1632" s="127" t="s">
        <v>4304</v>
      </c>
      <c r="E1632" s="232"/>
    </row>
    <row r="1633" spans="1:5" ht="14.55" customHeight="1" outlineLevel="1" x14ac:dyDescent="0.25">
      <c r="A1633" s="230" t="s">
        <v>1422</v>
      </c>
      <c r="B1633" s="343" t="str">
        <f>"43.0203"</f>
        <v>43.0203</v>
      </c>
      <c r="C1633" s="75" t="s">
        <v>4305</v>
      </c>
      <c r="D1633" s="127" t="s">
        <v>4306</v>
      </c>
      <c r="E1633" s="232"/>
    </row>
    <row r="1634" spans="1:5" ht="14.55" customHeight="1" outlineLevel="1" x14ac:dyDescent="0.25">
      <c r="A1634" s="230" t="s">
        <v>1422</v>
      </c>
      <c r="B1634" s="343" t="str">
        <f>"43.0204"</f>
        <v>43.0204</v>
      </c>
      <c r="C1634" s="75" t="s">
        <v>4307</v>
      </c>
      <c r="D1634" s="127" t="s">
        <v>4308</v>
      </c>
      <c r="E1634" s="232"/>
    </row>
    <row r="1635" spans="1:5" ht="14.55" customHeight="1" outlineLevel="1" x14ac:dyDescent="0.25">
      <c r="A1635" s="230" t="s">
        <v>1422</v>
      </c>
      <c r="B1635" s="343" t="str">
        <f>"43.0205"</f>
        <v>43.0205</v>
      </c>
      <c r="C1635" s="75" t="s">
        <v>4309</v>
      </c>
      <c r="D1635" s="127" t="s">
        <v>4310</v>
      </c>
      <c r="E1635" s="232"/>
    </row>
    <row r="1636" spans="1:5" ht="14.55" customHeight="1" outlineLevel="1" x14ac:dyDescent="0.25">
      <c r="A1636" s="230" t="s">
        <v>1422</v>
      </c>
      <c r="B1636" s="343" t="str">
        <f>"43.0206"</f>
        <v>43.0206</v>
      </c>
      <c r="C1636" s="75" t="s">
        <v>4311</v>
      </c>
      <c r="D1636" s="127" t="s">
        <v>4312</v>
      </c>
      <c r="E1636" s="232"/>
    </row>
    <row r="1637" spans="1:5" ht="14.55" customHeight="1" outlineLevel="1" x14ac:dyDescent="0.25">
      <c r="A1637" s="230" t="s">
        <v>1422</v>
      </c>
      <c r="B1637" s="343" t="str">
        <f>"43.0299"</f>
        <v>43.0299</v>
      </c>
      <c r="C1637" s="75" t="s">
        <v>4313</v>
      </c>
      <c r="D1637" s="127" t="s">
        <v>4314</v>
      </c>
      <c r="E1637" s="232"/>
    </row>
    <row r="1638" spans="1:5" ht="14.55" customHeight="1" outlineLevel="1" x14ac:dyDescent="0.25">
      <c r="A1638" s="230" t="s">
        <v>1422</v>
      </c>
      <c r="B1638" s="343" t="str">
        <f>"43.03"</f>
        <v>43.03</v>
      </c>
      <c r="C1638" s="75" t="s">
        <v>4315</v>
      </c>
      <c r="D1638" s="127" t="s">
        <v>4316</v>
      </c>
      <c r="E1638" s="232"/>
    </row>
    <row r="1639" spans="1:5" ht="14.55" customHeight="1" outlineLevel="1" x14ac:dyDescent="0.25">
      <c r="A1639" s="230" t="s">
        <v>1422</v>
      </c>
      <c r="B1639" s="343" t="str">
        <f>"43.0301"</f>
        <v>43.0301</v>
      </c>
      <c r="C1639" s="75" t="s">
        <v>4315</v>
      </c>
      <c r="D1639" s="127" t="s">
        <v>4317</v>
      </c>
      <c r="E1639" s="232"/>
    </row>
    <row r="1640" spans="1:5" ht="14.55" customHeight="1" outlineLevel="1" x14ac:dyDescent="0.25">
      <c r="A1640" s="230" t="s">
        <v>1422</v>
      </c>
      <c r="B1640" s="343" t="str">
        <f>"43.0302"</f>
        <v>43.0302</v>
      </c>
      <c r="C1640" s="75" t="s">
        <v>4318</v>
      </c>
      <c r="D1640" s="127" t="s">
        <v>4319</v>
      </c>
      <c r="E1640" s="232"/>
    </row>
    <row r="1641" spans="1:5" ht="14.55" customHeight="1" outlineLevel="1" x14ac:dyDescent="0.25">
      <c r="A1641" s="230" t="s">
        <v>1422</v>
      </c>
      <c r="B1641" s="343" t="str">
        <f>"43.0303"</f>
        <v>43.0303</v>
      </c>
      <c r="C1641" s="75" t="s">
        <v>4320</v>
      </c>
      <c r="D1641" s="127" t="s">
        <v>4321</v>
      </c>
      <c r="E1641" s="232"/>
    </row>
    <row r="1642" spans="1:5" ht="14.55" customHeight="1" outlineLevel="1" x14ac:dyDescent="0.25">
      <c r="A1642" s="230" t="s">
        <v>1422</v>
      </c>
      <c r="B1642" s="343" t="str">
        <f>"43.0304"</f>
        <v>43.0304</v>
      </c>
      <c r="C1642" s="75" t="s">
        <v>4322</v>
      </c>
      <c r="D1642" s="127" t="s">
        <v>4323</v>
      </c>
      <c r="E1642" s="232"/>
    </row>
    <row r="1643" spans="1:5" ht="14.55" customHeight="1" outlineLevel="1" x14ac:dyDescent="0.25">
      <c r="A1643" s="230" t="s">
        <v>1422</v>
      </c>
      <c r="B1643" s="343" t="str">
        <f>"43.0399"</f>
        <v>43.0399</v>
      </c>
      <c r="C1643" s="75" t="s">
        <v>4324</v>
      </c>
      <c r="D1643" s="127" t="s">
        <v>4325</v>
      </c>
      <c r="E1643" s="232"/>
    </row>
    <row r="1644" spans="1:5" ht="14.55" customHeight="1" outlineLevel="1" x14ac:dyDescent="0.25">
      <c r="A1644" s="230" t="s">
        <v>1422</v>
      </c>
      <c r="B1644" s="343" t="str">
        <f>"43.04"</f>
        <v>43.04</v>
      </c>
      <c r="C1644" s="75" t="s">
        <v>4326</v>
      </c>
      <c r="D1644" s="127" t="s">
        <v>4327</v>
      </c>
      <c r="E1644" s="232"/>
    </row>
    <row r="1645" spans="1:5" ht="14.55" customHeight="1" outlineLevel="1" x14ac:dyDescent="0.25">
      <c r="A1645" s="230" t="s">
        <v>1422</v>
      </c>
      <c r="B1645" s="343" t="str">
        <f>"43.0401"</f>
        <v>43.0401</v>
      </c>
      <c r="C1645" s="75" t="s">
        <v>4328</v>
      </c>
      <c r="D1645" s="127" t="s">
        <v>4329</v>
      </c>
      <c r="E1645" s="232"/>
    </row>
    <row r="1646" spans="1:5" ht="14.55" customHeight="1" outlineLevel="1" x14ac:dyDescent="0.25">
      <c r="A1646" s="230" t="s">
        <v>1422</v>
      </c>
      <c r="B1646" s="343" t="str">
        <f>"43.0402"</f>
        <v>43.0402</v>
      </c>
      <c r="C1646" s="75" t="s">
        <v>4330</v>
      </c>
      <c r="D1646" s="127" t="s">
        <v>4331</v>
      </c>
      <c r="E1646" s="232"/>
    </row>
    <row r="1647" spans="1:5" ht="14.55" customHeight="1" outlineLevel="1" x14ac:dyDescent="0.25">
      <c r="A1647" s="230" t="s">
        <v>1422</v>
      </c>
      <c r="B1647" s="343" t="str">
        <f>"43.0403"</f>
        <v>43.0403</v>
      </c>
      <c r="C1647" s="75" t="s">
        <v>4332</v>
      </c>
      <c r="D1647" s="127" t="s">
        <v>4333</v>
      </c>
      <c r="E1647" s="232"/>
    </row>
    <row r="1648" spans="1:5" ht="14.55" customHeight="1" outlineLevel="1" x14ac:dyDescent="0.25">
      <c r="A1648" s="230" t="s">
        <v>1422</v>
      </c>
      <c r="B1648" s="343" t="str">
        <f>"43.0404"</f>
        <v>43.0404</v>
      </c>
      <c r="C1648" s="75" t="s">
        <v>4334</v>
      </c>
      <c r="D1648" s="127" t="s">
        <v>4335</v>
      </c>
      <c r="E1648" s="232"/>
    </row>
    <row r="1649" spans="1:5" ht="14.55" customHeight="1" outlineLevel="1" x14ac:dyDescent="0.25">
      <c r="A1649" s="230" t="s">
        <v>1422</v>
      </c>
      <c r="B1649" s="343" t="str">
        <f>"43.0405"</f>
        <v>43.0405</v>
      </c>
      <c r="C1649" s="75" t="s">
        <v>4336</v>
      </c>
      <c r="D1649" s="127" t="s">
        <v>4337</v>
      </c>
      <c r="E1649" s="232"/>
    </row>
    <row r="1650" spans="1:5" ht="14.55" customHeight="1" outlineLevel="1" x14ac:dyDescent="0.25">
      <c r="A1650" s="230" t="s">
        <v>1422</v>
      </c>
      <c r="B1650" s="343" t="str">
        <f>"43.0406"</f>
        <v>43.0406</v>
      </c>
      <c r="C1650" s="75" t="s">
        <v>4338</v>
      </c>
      <c r="D1650" s="127" t="s">
        <v>4339</v>
      </c>
      <c r="E1650" s="232"/>
    </row>
    <row r="1651" spans="1:5" ht="14.55" customHeight="1" outlineLevel="1" x14ac:dyDescent="0.25">
      <c r="A1651" s="230" t="s">
        <v>1422</v>
      </c>
      <c r="B1651" s="343" t="str">
        <f>"43.0407"</f>
        <v>43.0407</v>
      </c>
      <c r="C1651" s="75" t="s">
        <v>4340</v>
      </c>
      <c r="D1651" s="127" t="s">
        <v>4341</v>
      </c>
      <c r="E1651" s="232"/>
    </row>
    <row r="1652" spans="1:5" ht="14.55" customHeight="1" outlineLevel="1" x14ac:dyDescent="0.25">
      <c r="A1652" s="230" t="s">
        <v>1422</v>
      </c>
      <c r="B1652" s="343" t="str">
        <f>"43.0408"</f>
        <v>43.0408</v>
      </c>
      <c r="C1652" s="75" t="s">
        <v>4342</v>
      </c>
      <c r="D1652" s="127" t="s">
        <v>4343</v>
      </c>
      <c r="E1652" s="232"/>
    </row>
    <row r="1653" spans="1:5" ht="14.55" customHeight="1" outlineLevel="1" x14ac:dyDescent="0.25">
      <c r="A1653" s="230" t="s">
        <v>1422</v>
      </c>
      <c r="B1653" s="343" t="str">
        <f>"43.0499"</f>
        <v>43.0499</v>
      </c>
      <c r="C1653" s="75" t="s">
        <v>4344</v>
      </c>
      <c r="D1653" s="127" t="s">
        <v>4345</v>
      </c>
      <c r="E1653" s="232"/>
    </row>
    <row r="1654" spans="1:5" ht="14.55" customHeight="1" outlineLevel="1" x14ac:dyDescent="0.25">
      <c r="A1654" s="230" t="s">
        <v>1422</v>
      </c>
      <c r="B1654" s="343" t="str">
        <f>"43.99"</f>
        <v>43.99</v>
      </c>
      <c r="C1654" s="75" t="s">
        <v>4346</v>
      </c>
      <c r="D1654" s="127" t="s">
        <v>4347</v>
      </c>
      <c r="E1654" s="232"/>
    </row>
    <row r="1655" spans="1:5" ht="14.55" customHeight="1" outlineLevel="1" x14ac:dyDescent="0.25">
      <c r="A1655" s="230" t="s">
        <v>1422</v>
      </c>
      <c r="B1655" s="343" t="str">
        <f>"43.9999"</f>
        <v>43.9999</v>
      </c>
      <c r="C1655" s="75" t="s">
        <v>4346</v>
      </c>
      <c r="D1655" s="127" t="s">
        <v>4348</v>
      </c>
      <c r="E1655" s="232"/>
    </row>
    <row r="1656" spans="1:5" ht="14.55" customHeight="1" outlineLevel="1" x14ac:dyDescent="0.25">
      <c r="A1656" s="230" t="s">
        <v>1422</v>
      </c>
      <c r="B1656" s="343" t="str">
        <f>"44"</f>
        <v>44</v>
      </c>
      <c r="C1656" s="75" t="s">
        <v>4349</v>
      </c>
      <c r="D1656" s="127" t="s">
        <v>4350</v>
      </c>
      <c r="E1656" s="232"/>
    </row>
    <row r="1657" spans="1:5" ht="14.55" customHeight="1" outlineLevel="1" x14ac:dyDescent="0.25">
      <c r="A1657" s="230" t="s">
        <v>1422</v>
      </c>
      <c r="B1657" s="343" t="str">
        <f>"44.00"</f>
        <v>44.00</v>
      </c>
      <c r="C1657" s="75" t="s">
        <v>4351</v>
      </c>
      <c r="D1657" s="127" t="s">
        <v>4352</v>
      </c>
      <c r="E1657" s="232"/>
    </row>
    <row r="1658" spans="1:5" ht="14.55" customHeight="1" outlineLevel="1" x14ac:dyDescent="0.25">
      <c r="A1658" s="230" t="s">
        <v>1422</v>
      </c>
      <c r="B1658" s="343" t="str">
        <f>"44.0000"</f>
        <v>44.0000</v>
      </c>
      <c r="C1658" s="75" t="s">
        <v>4351</v>
      </c>
      <c r="D1658" s="127" t="s">
        <v>4353</v>
      </c>
      <c r="E1658" s="232"/>
    </row>
    <row r="1659" spans="1:5" ht="14.55" customHeight="1" outlineLevel="1" x14ac:dyDescent="0.25">
      <c r="A1659" s="230" t="s">
        <v>1422</v>
      </c>
      <c r="B1659" s="343" t="str">
        <f>"44.02"</f>
        <v>44.02</v>
      </c>
      <c r="C1659" s="75" t="s">
        <v>4354</v>
      </c>
      <c r="D1659" s="127" t="s">
        <v>4355</v>
      </c>
      <c r="E1659" s="232"/>
    </row>
    <row r="1660" spans="1:5" ht="14.55" customHeight="1" outlineLevel="1" x14ac:dyDescent="0.25">
      <c r="A1660" s="230" t="s">
        <v>1422</v>
      </c>
      <c r="B1660" s="343" t="str">
        <f>"44.0201"</f>
        <v>44.0201</v>
      </c>
      <c r="C1660" s="75" t="s">
        <v>4354</v>
      </c>
      <c r="D1660" s="127" t="s">
        <v>4356</v>
      </c>
      <c r="E1660" s="232"/>
    </row>
    <row r="1661" spans="1:5" ht="14.55" customHeight="1" outlineLevel="1" x14ac:dyDescent="0.25">
      <c r="A1661" s="230" t="s">
        <v>1422</v>
      </c>
      <c r="B1661" s="343" t="str">
        <f>"44.04"</f>
        <v>44.04</v>
      </c>
      <c r="C1661" s="75" t="s">
        <v>4357</v>
      </c>
      <c r="D1661" s="127" t="s">
        <v>4358</v>
      </c>
      <c r="E1661" s="232"/>
    </row>
    <row r="1662" spans="1:5" ht="14.55" customHeight="1" outlineLevel="1" x14ac:dyDescent="0.25">
      <c r="A1662" s="230" t="s">
        <v>1422</v>
      </c>
      <c r="B1662" s="343" t="str">
        <f>"44.0401"</f>
        <v>44.0401</v>
      </c>
      <c r="C1662" s="75" t="s">
        <v>4357</v>
      </c>
      <c r="D1662" s="127" t="s">
        <v>4359</v>
      </c>
      <c r="E1662" s="232"/>
    </row>
    <row r="1663" spans="1:5" ht="14.55" customHeight="1" outlineLevel="1" x14ac:dyDescent="0.25">
      <c r="A1663" s="230" t="s">
        <v>1422</v>
      </c>
      <c r="B1663" s="343" t="str">
        <f>"44.0402"</f>
        <v>44.0402</v>
      </c>
      <c r="C1663" s="75" t="s">
        <v>4360</v>
      </c>
      <c r="D1663" s="127" t="s">
        <v>4361</v>
      </c>
      <c r="E1663" s="232"/>
    </row>
    <row r="1664" spans="1:5" ht="14.55" customHeight="1" outlineLevel="1" x14ac:dyDescent="0.25">
      <c r="A1664" s="230" t="s">
        <v>1422</v>
      </c>
      <c r="B1664" s="343" t="str">
        <f>"44.0403"</f>
        <v>44.0403</v>
      </c>
      <c r="C1664" s="75" t="s">
        <v>4362</v>
      </c>
      <c r="D1664" s="127" t="s">
        <v>4363</v>
      </c>
      <c r="E1664" s="232"/>
    </row>
    <row r="1665" spans="1:5" ht="14.55" customHeight="1" outlineLevel="1" x14ac:dyDescent="0.25">
      <c r="A1665" s="230" t="s">
        <v>1422</v>
      </c>
      <c r="B1665" s="343" t="str">
        <f>"44.0499"</f>
        <v>44.0499</v>
      </c>
      <c r="C1665" s="75" t="s">
        <v>4364</v>
      </c>
      <c r="D1665" s="127" t="s">
        <v>4365</v>
      </c>
      <c r="E1665" s="232"/>
    </row>
    <row r="1666" spans="1:5" ht="14.55" customHeight="1" outlineLevel="1" x14ac:dyDescent="0.25">
      <c r="A1666" s="230" t="s">
        <v>1422</v>
      </c>
      <c r="B1666" s="343" t="str">
        <f>"44.05"</f>
        <v>44.05</v>
      </c>
      <c r="C1666" s="75" t="s">
        <v>4366</v>
      </c>
      <c r="D1666" s="127" t="s">
        <v>4367</v>
      </c>
      <c r="E1666" s="232"/>
    </row>
    <row r="1667" spans="1:5" ht="14.55" customHeight="1" outlineLevel="1" x14ac:dyDescent="0.25">
      <c r="A1667" s="230" t="s">
        <v>1422</v>
      </c>
      <c r="B1667" s="343" t="str">
        <f>"44.0501"</f>
        <v>44.0501</v>
      </c>
      <c r="C1667" s="75" t="s">
        <v>4368</v>
      </c>
      <c r="D1667" s="127" t="s">
        <v>4369</v>
      </c>
      <c r="E1667" s="232"/>
    </row>
    <row r="1668" spans="1:5" ht="14.55" customHeight="1" outlineLevel="1" x14ac:dyDescent="0.25">
      <c r="A1668" s="230" t="s">
        <v>1422</v>
      </c>
      <c r="B1668" s="343" t="str">
        <f>"44.0502"</f>
        <v>44.0502</v>
      </c>
      <c r="C1668" s="75" t="s">
        <v>4370</v>
      </c>
      <c r="D1668" s="127" t="s">
        <v>4371</v>
      </c>
      <c r="E1668" s="232"/>
    </row>
    <row r="1669" spans="1:5" ht="14.55" customHeight="1" outlineLevel="1" x14ac:dyDescent="0.25">
      <c r="A1669" s="230" t="s">
        <v>1422</v>
      </c>
      <c r="B1669" s="343" t="str">
        <f>"44.0503"</f>
        <v>44.0503</v>
      </c>
      <c r="C1669" s="75" t="s">
        <v>4372</v>
      </c>
      <c r="D1669" s="127" t="s">
        <v>4373</v>
      </c>
      <c r="E1669" s="232"/>
    </row>
    <row r="1670" spans="1:5" ht="14.55" customHeight="1" outlineLevel="1" x14ac:dyDescent="0.25">
      <c r="A1670" s="230" t="s">
        <v>1422</v>
      </c>
      <c r="B1670" s="343" t="str">
        <f>"44.0504"</f>
        <v>44.0504</v>
      </c>
      <c r="C1670" s="75" t="s">
        <v>4374</v>
      </c>
      <c r="D1670" s="127" t="s">
        <v>4375</v>
      </c>
      <c r="E1670" s="232"/>
    </row>
    <row r="1671" spans="1:5" ht="14.55" customHeight="1" outlineLevel="1" x14ac:dyDescent="0.25">
      <c r="A1671" s="230" t="s">
        <v>1422</v>
      </c>
      <c r="B1671" s="343" t="str">
        <f>"44.0580"</f>
        <v>44.0580</v>
      </c>
      <c r="C1671" s="75" t="s">
        <v>1479</v>
      </c>
      <c r="D1671" s="127" t="s">
        <v>1480</v>
      </c>
      <c r="E1671" s="232"/>
    </row>
    <row r="1672" spans="1:5" ht="14.55" customHeight="1" outlineLevel="1" x14ac:dyDescent="0.25">
      <c r="A1672" s="230" t="s">
        <v>1422</v>
      </c>
      <c r="B1672" s="343" t="str">
        <f>"44.0599"</f>
        <v>44.0599</v>
      </c>
      <c r="C1672" s="75" t="s">
        <v>4376</v>
      </c>
      <c r="D1672" s="127" t="s">
        <v>4377</v>
      </c>
      <c r="E1672" s="232"/>
    </row>
    <row r="1673" spans="1:5" ht="14.55" customHeight="1" outlineLevel="1" x14ac:dyDescent="0.25">
      <c r="A1673" s="230" t="s">
        <v>1422</v>
      </c>
      <c r="B1673" s="343" t="str">
        <f>"44.07"</f>
        <v>44.07</v>
      </c>
      <c r="C1673" s="75" t="s">
        <v>4378</v>
      </c>
      <c r="D1673" s="127" t="s">
        <v>4379</v>
      </c>
      <c r="E1673" s="232"/>
    </row>
    <row r="1674" spans="1:5" ht="14.55" customHeight="1" outlineLevel="1" x14ac:dyDescent="0.25">
      <c r="A1674" s="230" t="s">
        <v>1422</v>
      </c>
      <c r="B1674" s="343" t="str">
        <f>"44.0701"</f>
        <v>44.0701</v>
      </c>
      <c r="C1674" s="75" t="s">
        <v>4378</v>
      </c>
      <c r="D1674" s="127" t="s">
        <v>4380</v>
      </c>
      <c r="E1674" s="232"/>
    </row>
    <row r="1675" spans="1:5" ht="14.55" customHeight="1" outlineLevel="1" x14ac:dyDescent="0.25">
      <c r="A1675" s="230" t="s">
        <v>1422</v>
      </c>
      <c r="B1675" s="343" t="str">
        <f>"44.0702"</f>
        <v>44.0702</v>
      </c>
      <c r="C1675" s="75" t="s">
        <v>4381</v>
      </c>
      <c r="D1675" s="127" t="s">
        <v>4382</v>
      </c>
      <c r="E1675" s="232"/>
    </row>
    <row r="1676" spans="1:5" ht="14.55" customHeight="1" outlineLevel="1" x14ac:dyDescent="0.25">
      <c r="A1676" s="230" t="s">
        <v>1422</v>
      </c>
      <c r="B1676" s="343" t="str">
        <f>"44.0703"</f>
        <v>44.0703</v>
      </c>
      <c r="C1676" s="75" t="s">
        <v>4383</v>
      </c>
      <c r="D1676" s="127" t="s">
        <v>4384</v>
      </c>
      <c r="E1676" s="232"/>
    </row>
    <row r="1677" spans="1:5" ht="14.55" customHeight="1" outlineLevel="1" x14ac:dyDescent="0.25">
      <c r="A1677" s="230" t="s">
        <v>1422</v>
      </c>
      <c r="B1677" s="343" t="str">
        <f>"44.0799"</f>
        <v>44.0799</v>
      </c>
      <c r="C1677" s="75" t="s">
        <v>4385</v>
      </c>
      <c r="D1677" s="127" t="s">
        <v>4386</v>
      </c>
      <c r="E1677" s="232"/>
    </row>
    <row r="1678" spans="1:5" ht="14.55" customHeight="1" outlineLevel="1" x14ac:dyDescent="0.25">
      <c r="A1678" s="230" t="s">
        <v>1422</v>
      </c>
      <c r="B1678" s="343" t="str">
        <f>"44.99"</f>
        <v>44.99</v>
      </c>
      <c r="C1678" s="75" t="s">
        <v>4387</v>
      </c>
      <c r="D1678" s="127" t="s">
        <v>4388</v>
      </c>
      <c r="E1678" s="232"/>
    </row>
    <row r="1679" spans="1:5" ht="14.55" customHeight="1" outlineLevel="1" x14ac:dyDescent="0.25">
      <c r="A1679" s="230" t="s">
        <v>1422</v>
      </c>
      <c r="B1679" s="343" t="str">
        <f>"44.9999"</f>
        <v>44.9999</v>
      </c>
      <c r="C1679" s="75" t="s">
        <v>4387</v>
      </c>
      <c r="D1679" s="127" t="s">
        <v>4389</v>
      </c>
      <c r="E1679" s="232"/>
    </row>
    <row r="1680" spans="1:5" ht="14.55" customHeight="1" outlineLevel="1" x14ac:dyDescent="0.25">
      <c r="A1680" s="230" t="s">
        <v>1422</v>
      </c>
      <c r="B1680" s="343" t="str">
        <f>"45"</f>
        <v>45</v>
      </c>
      <c r="C1680" s="75" t="s">
        <v>4390</v>
      </c>
      <c r="D1680" s="127" t="s">
        <v>4391</v>
      </c>
      <c r="E1680" s="232"/>
    </row>
    <row r="1681" spans="1:5" ht="14.55" customHeight="1" outlineLevel="1" x14ac:dyDescent="0.25">
      <c r="A1681" s="230" t="s">
        <v>1422</v>
      </c>
      <c r="B1681" s="343" t="str">
        <f>"45.01"</f>
        <v>45.01</v>
      </c>
      <c r="C1681" s="75" t="s">
        <v>4392</v>
      </c>
      <c r="D1681" s="127" t="s">
        <v>4393</v>
      </c>
      <c r="E1681" s="232"/>
    </row>
    <row r="1682" spans="1:5" ht="14.55" customHeight="1" outlineLevel="1" x14ac:dyDescent="0.25">
      <c r="A1682" s="230" t="s">
        <v>1422</v>
      </c>
      <c r="B1682" s="343" t="str">
        <f>"45.0101"</f>
        <v>45.0101</v>
      </c>
      <c r="C1682" s="75" t="s">
        <v>4392</v>
      </c>
      <c r="D1682" s="127" t="s">
        <v>4394</v>
      </c>
      <c r="E1682" s="232"/>
    </row>
    <row r="1683" spans="1:5" ht="14.55" customHeight="1" outlineLevel="1" x14ac:dyDescent="0.25">
      <c r="A1683" s="230" t="s">
        <v>1422</v>
      </c>
      <c r="B1683" s="343" t="str">
        <f>"45.0102"</f>
        <v>45.0102</v>
      </c>
      <c r="C1683" s="75" t="s">
        <v>4395</v>
      </c>
      <c r="D1683" s="127" t="s">
        <v>4396</v>
      </c>
      <c r="E1683" s="232"/>
    </row>
    <row r="1684" spans="1:5" ht="14.55" customHeight="1" outlineLevel="1" x14ac:dyDescent="0.25">
      <c r="A1684" s="230" t="s">
        <v>1422</v>
      </c>
      <c r="B1684" s="343" t="str">
        <f>"45.0103"</f>
        <v>45.0103</v>
      </c>
      <c r="C1684" s="75" t="s">
        <v>4397</v>
      </c>
      <c r="D1684" s="127" t="s">
        <v>4398</v>
      </c>
      <c r="E1684" s="232"/>
    </row>
    <row r="1685" spans="1:5" ht="14.55" customHeight="1" outlineLevel="1" x14ac:dyDescent="0.25">
      <c r="A1685" s="230" t="s">
        <v>1422</v>
      </c>
      <c r="B1685" s="343" t="str">
        <f>"45.0199"</f>
        <v>45.0199</v>
      </c>
      <c r="C1685" s="75" t="s">
        <v>4399</v>
      </c>
      <c r="D1685" s="127" t="s">
        <v>4400</v>
      </c>
      <c r="E1685" s="232"/>
    </row>
    <row r="1686" spans="1:5" ht="14.55" customHeight="1" outlineLevel="1" x14ac:dyDescent="0.25">
      <c r="A1686" s="230" t="s">
        <v>1422</v>
      </c>
      <c r="B1686" s="343" t="str">
        <f>"45.02"</f>
        <v>45.02</v>
      </c>
      <c r="C1686" s="75" t="s">
        <v>4401</v>
      </c>
      <c r="D1686" s="127" t="s">
        <v>4402</v>
      </c>
      <c r="E1686" s="232"/>
    </row>
    <row r="1687" spans="1:5" ht="14.55" customHeight="1" outlineLevel="1" x14ac:dyDescent="0.25">
      <c r="A1687" s="230" t="s">
        <v>1422</v>
      </c>
      <c r="B1687" s="343" t="str">
        <f>"45.0201"</f>
        <v>45.0201</v>
      </c>
      <c r="C1687" s="75" t="s">
        <v>4403</v>
      </c>
      <c r="D1687" s="127" t="s">
        <v>4404</v>
      </c>
      <c r="E1687" s="232"/>
    </row>
    <row r="1688" spans="1:5" ht="14.55" customHeight="1" outlineLevel="1" x14ac:dyDescent="0.25">
      <c r="A1688" s="230" t="s">
        <v>1422</v>
      </c>
      <c r="B1688" s="343" t="str">
        <f>"45.0202"</f>
        <v>45.0202</v>
      </c>
      <c r="C1688" s="75" t="s">
        <v>4405</v>
      </c>
      <c r="D1688" s="127" t="s">
        <v>4406</v>
      </c>
      <c r="E1688" s="232"/>
    </row>
    <row r="1689" spans="1:5" ht="14.55" customHeight="1" outlineLevel="1" x14ac:dyDescent="0.25">
      <c r="A1689" s="230" t="s">
        <v>1422</v>
      </c>
      <c r="B1689" s="343" t="str">
        <f>"45.0203"</f>
        <v>45.0203</v>
      </c>
      <c r="C1689" s="75" t="s">
        <v>4407</v>
      </c>
      <c r="D1689" s="127" t="s">
        <v>4408</v>
      </c>
      <c r="E1689" s="232"/>
    </row>
    <row r="1690" spans="1:5" ht="14.55" customHeight="1" outlineLevel="1" x14ac:dyDescent="0.25">
      <c r="A1690" s="230" t="s">
        <v>1422</v>
      </c>
      <c r="B1690" s="343" t="str">
        <f>"45.0204"</f>
        <v>45.0204</v>
      </c>
      <c r="C1690" s="75" t="s">
        <v>4409</v>
      </c>
      <c r="D1690" s="127" t="s">
        <v>13462</v>
      </c>
      <c r="E1690" s="232"/>
    </row>
    <row r="1691" spans="1:5" ht="14.55" customHeight="1" outlineLevel="1" x14ac:dyDescent="0.25">
      <c r="A1691" s="230" t="s">
        <v>1422</v>
      </c>
      <c r="B1691" s="343" t="str">
        <f>"45.0205"</f>
        <v>45.0205</v>
      </c>
      <c r="C1691" s="75" t="s">
        <v>4410</v>
      </c>
      <c r="D1691" s="127" t="s">
        <v>4411</v>
      </c>
      <c r="E1691" s="232"/>
    </row>
    <row r="1692" spans="1:5" ht="14.55" customHeight="1" outlineLevel="1" x14ac:dyDescent="0.25">
      <c r="A1692" s="230" t="s">
        <v>1422</v>
      </c>
      <c r="B1692" s="343" t="str">
        <f>"45.0299"</f>
        <v>45.0299</v>
      </c>
      <c r="C1692" s="75" t="s">
        <v>4412</v>
      </c>
      <c r="D1692" s="127" t="s">
        <v>4413</v>
      </c>
      <c r="E1692" s="232"/>
    </row>
    <row r="1693" spans="1:5" ht="14.55" customHeight="1" outlineLevel="1" x14ac:dyDescent="0.25">
      <c r="A1693" s="230" t="s">
        <v>1422</v>
      </c>
      <c r="B1693" s="343" t="str">
        <f>"45.03"</f>
        <v>45.03</v>
      </c>
      <c r="C1693" s="75" t="s">
        <v>4414</v>
      </c>
      <c r="D1693" s="127" t="s">
        <v>4415</v>
      </c>
      <c r="E1693" s="232"/>
    </row>
    <row r="1694" spans="1:5" ht="14.55" customHeight="1" outlineLevel="1" x14ac:dyDescent="0.25">
      <c r="A1694" s="230" t="s">
        <v>1422</v>
      </c>
      <c r="B1694" s="343" t="str">
        <f>"45.0301"</f>
        <v>45.0301</v>
      </c>
      <c r="C1694" s="75" t="s">
        <v>4414</v>
      </c>
      <c r="D1694" s="127" t="s">
        <v>4416</v>
      </c>
      <c r="E1694" s="232"/>
    </row>
    <row r="1695" spans="1:5" ht="14.55" customHeight="1" outlineLevel="1" x14ac:dyDescent="0.25">
      <c r="A1695" s="230" t="s">
        <v>1422</v>
      </c>
      <c r="B1695" s="343" t="str">
        <f>"45.04"</f>
        <v>45.04</v>
      </c>
      <c r="C1695" s="75" t="s">
        <v>4417</v>
      </c>
      <c r="D1695" s="127" t="s">
        <v>4418</v>
      </c>
      <c r="E1695" s="232"/>
    </row>
    <row r="1696" spans="1:5" ht="14.55" customHeight="1" outlineLevel="1" x14ac:dyDescent="0.25">
      <c r="A1696" s="230" t="s">
        <v>1422</v>
      </c>
      <c r="B1696" s="343" t="str">
        <f>"45.0401"</f>
        <v>45.0401</v>
      </c>
      <c r="C1696" s="75" t="s">
        <v>4417</v>
      </c>
      <c r="D1696" s="127" t="s">
        <v>4419</v>
      </c>
      <c r="E1696" s="232"/>
    </row>
    <row r="1697" spans="1:5" ht="14.55" customHeight="1" outlineLevel="1" x14ac:dyDescent="0.25">
      <c r="A1697" s="230" t="s">
        <v>1422</v>
      </c>
      <c r="B1697" s="343" t="str">
        <f>"45.05"</f>
        <v>45.05</v>
      </c>
      <c r="C1697" s="75" t="s">
        <v>4420</v>
      </c>
      <c r="D1697" s="127" t="s">
        <v>4421</v>
      </c>
      <c r="E1697" s="232"/>
    </row>
    <row r="1698" spans="1:5" ht="14.55" customHeight="1" outlineLevel="1" x14ac:dyDescent="0.25">
      <c r="A1698" s="230" t="s">
        <v>1422</v>
      </c>
      <c r="B1698" s="343" t="str">
        <f>"45.0501"</f>
        <v>45.0501</v>
      </c>
      <c r="C1698" s="75" t="s">
        <v>4422</v>
      </c>
      <c r="D1698" s="127" t="s">
        <v>4423</v>
      </c>
      <c r="E1698" s="232"/>
    </row>
    <row r="1699" spans="1:5" ht="14.55" customHeight="1" outlineLevel="1" x14ac:dyDescent="0.25">
      <c r="A1699" s="230" t="s">
        <v>1422</v>
      </c>
      <c r="B1699" s="343" t="str">
        <f>"45.0502"</f>
        <v>45.0502</v>
      </c>
      <c r="C1699" s="75" t="s">
        <v>4424</v>
      </c>
      <c r="D1699" s="127" t="s">
        <v>4425</v>
      </c>
      <c r="E1699" s="232"/>
    </row>
    <row r="1700" spans="1:5" ht="14.55" customHeight="1" outlineLevel="1" x14ac:dyDescent="0.25">
      <c r="A1700" s="230" t="s">
        <v>1422</v>
      </c>
      <c r="B1700" s="343" t="str">
        <f>"45.0599"</f>
        <v>45.0599</v>
      </c>
      <c r="C1700" s="75" t="s">
        <v>4426</v>
      </c>
      <c r="D1700" s="127" t="s">
        <v>4427</v>
      </c>
      <c r="E1700" s="232"/>
    </row>
    <row r="1701" spans="1:5" ht="14.55" customHeight="1" outlineLevel="1" x14ac:dyDescent="0.25">
      <c r="A1701" s="230" t="s">
        <v>1422</v>
      </c>
      <c r="B1701" s="343" t="str">
        <f>"45.06"</f>
        <v>45.06</v>
      </c>
      <c r="C1701" s="75" t="s">
        <v>4428</v>
      </c>
      <c r="D1701" s="127" t="s">
        <v>4429</v>
      </c>
      <c r="E1701" s="232"/>
    </row>
    <row r="1702" spans="1:5" ht="14.55" customHeight="1" outlineLevel="1" x14ac:dyDescent="0.25">
      <c r="A1702" s="230" t="s">
        <v>1422</v>
      </c>
      <c r="B1702" s="343" t="str">
        <f>"45.0601"</f>
        <v>45.0601</v>
      </c>
      <c r="C1702" s="75" t="s">
        <v>4430</v>
      </c>
      <c r="D1702" s="127" t="s">
        <v>4431</v>
      </c>
      <c r="E1702" s="232"/>
    </row>
    <row r="1703" spans="1:5" ht="14.55" customHeight="1" outlineLevel="1" x14ac:dyDescent="0.25">
      <c r="A1703" s="230" t="s">
        <v>1422</v>
      </c>
      <c r="B1703" s="343" t="str">
        <f>"45.0602"</f>
        <v>45.0602</v>
      </c>
      <c r="C1703" s="75" t="s">
        <v>4432</v>
      </c>
      <c r="D1703" s="127" t="s">
        <v>4433</v>
      </c>
      <c r="E1703" s="232"/>
    </row>
    <row r="1704" spans="1:5" ht="14.55" customHeight="1" outlineLevel="1" x14ac:dyDescent="0.25">
      <c r="A1704" s="230" t="s">
        <v>1422</v>
      </c>
      <c r="B1704" s="343" t="str">
        <f>"45.0603"</f>
        <v>45.0603</v>
      </c>
      <c r="C1704" s="75" t="s">
        <v>4434</v>
      </c>
      <c r="D1704" s="127" t="s">
        <v>4435</v>
      </c>
      <c r="E1704" s="232"/>
    </row>
    <row r="1705" spans="1:5" ht="14.55" customHeight="1" outlineLevel="1" x14ac:dyDescent="0.25">
      <c r="A1705" s="230" t="s">
        <v>1422</v>
      </c>
      <c r="B1705" s="343" t="str">
        <f>"45.0604"</f>
        <v>45.0604</v>
      </c>
      <c r="C1705" s="75" t="s">
        <v>4436</v>
      </c>
      <c r="D1705" s="127" t="s">
        <v>4437</v>
      </c>
      <c r="E1705" s="232"/>
    </row>
    <row r="1706" spans="1:5" ht="14.55" customHeight="1" outlineLevel="1" x14ac:dyDescent="0.25">
      <c r="A1706" s="230" t="s">
        <v>1422</v>
      </c>
      <c r="B1706" s="343" t="str">
        <f>"45.0605"</f>
        <v>45.0605</v>
      </c>
      <c r="C1706" s="75" t="s">
        <v>4438</v>
      </c>
      <c r="D1706" s="127" t="s">
        <v>4439</v>
      </c>
      <c r="E1706" s="232"/>
    </row>
    <row r="1707" spans="1:5" ht="14.55" customHeight="1" outlineLevel="1" x14ac:dyDescent="0.25">
      <c r="A1707" s="230" t="s">
        <v>1422</v>
      </c>
      <c r="B1707" s="343" t="str">
        <f>"45.0699"</f>
        <v>45.0699</v>
      </c>
      <c r="C1707" s="75" t="s">
        <v>4440</v>
      </c>
      <c r="D1707" s="127" t="s">
        <v>4441</v>
      </c>
      <c r="E1707" s="232"/>
    </row>
    <row r="1708" spans="1:5" ht="14.55" customHeight="1" outlineLevel="1" x14ac:dyDescent="0.25">
      <c r="A1708" s="230" t="s">
        <v>1422</v>
      </c>
      <c r="B1708" s="343" t="str">
        <f>"45.07"</f>
        <v>45.07</v>
      </c>
      <c r="C1708" s="75" t="s">
        <v>4442</v>
      </c>
      <c r="D1708" s="127" t="s">
        <v>4443</v>
      </c>
      <c r="E1708" s="232"/>
    </row>
    <row r="1709" spans="1:5" ht="14.55" customHeight="1" outlineLevel="1" x14ac:dyDescent="0.25">
      <c r="A1709" s="230" t="s">
        <v>1422</v>
      </c>
      <c r="B1709" s="343" t="str">
        <f>"45.0701"</f>
        <v>45.0701</v>
      </c>
      <c r="C1709" s="75" t="s">
        <v>4444</v>
      </c>
      <c r="D1709" s="127" t="s">
        <v>4445</v>
      </c>
      <c r="E1709" s="232"/>
    </row>
    <row r="1710" spans="1:5" ht="14.55" customHeight="1" outlineLevel="1" x14ac:dyDescent="0.25">
      <c r="A1710" s="230" t="s">
        <v>1422</v>
      </c>
      <c r="B1710" s="343" t="str">
        <f>"45.0702"</f>
        <v>45.0702</v>
      </c>
      <c r="C1710" s="75" t="s">
        <v>4446</v>
      </c>
      <c r="D1710" s="127" t="s">
        <v>4447</v>
      </c>
      <c r="E1710" s="232"/>
    </row>
    <row r="1711" spans="1:5" ht="14.55" customHeight="1" outlineLevel="1" x14ac:dyDescent="0.25">
      <c r="A1711" s="230" t="s">
        <v>1422</v>
      </c>
      <c r="B1711" s="343" t="str">
        <f>"45.0799"</f>
        <v>45.0799</v>
      </c>
      <c r="C1711" s="75" t="s">
        <v>4448</v>
      </c>
      <c r="D1711" s="127" t="s">
        <v>4449</v>
      </c>
      <c r="E1711" s="232"/>
    </row>
    <row r="1712" spans="1:5" ht="14.55" customHeight="1" outlineLevel="1" x14ac:dyDescent="0.25">
      <c r="A1712" s="230" t="s">
        <v>1422</v>
      </c>
      <c r="B1712" s="343" t="str">
        <f>"45.09"</f>
        <v>45.09</v>
      </c>
      <c r="C1712" s="75" t="s">
        <v>4450</v>
      </c>
      <c r="D1712" s="127" t="s">
        <v>4451</v>
      </c>
      <c r="E1712" s="232"/>
    </row>
    <row r="1713" spans="1:5" ht="14.55" customHeight="1" outlineLevel="1" x14ac:dyDescent="0.25">
      <c r="A1713" s="230" t="s">
        <v>1422</v>
      </c>
      <c r="B1713" s="343" t="str">
        <f>"45.0901"</f>
        <v>45.0901</v>
      </c>
      <c r="C1713" s="75" t="s">
        <v>4452</v>
      </c>
      <c r="D1713" s="127" t="s">
        <v>4453</v>
      </c>
      <c r="E1713" s="232"/>
    </row>
    <row r="1714" spans="1:5" ht="14.55" customHeight="1" outlineLevel="1" x14ac:dyDescent="0.25">
      <c r="A1714" s="230" t="s">
        <v>1422</v>
      </c>
      <c r="B1714" s="343" t="str">
        <f>"45.0902"</f>
        <v>45.0902</v>
      </c>
      <c r="C1714" s="75" t="s">
        <v>4454</v>
      </c>
      <c r="D1714" s="127" t="s">
        <v>4455</v>
      </c>
      <c r="E1714" s="232"/>
    </row>
    <row r="1715" spans="1:5" ht="14.55" customHeight="1" outlineLevel="1" x14ac:dyDescent="0.25">
      <c r="A1715" s="230" t="s">
        <v>1422</v>
      </c>
      <c r="B1715" s="343" t="str">
        <f>"45.0999"</f>
        <v>45.0999</v>
      </c>
      <c r="C1715" s="75" t="s">
        <v>4456</v>
      </c>
      <c r="D1715" s="127" t="s">
        <v>4457</v>
      </c>
      <c r="E1715" s="232"/>
    </row>
    <row r="1716" spans="1:5" ht="14.55" customHeight="1" outlineLevel="1" x14ac:dyDescent="0.25">
      <c r="A1716" s="230" t="s">
        <v>1422</v>
      </c>
      <c r="B1716" s="343" t="str">
        <f>"45.10"</f>
        <v>45.10</v>
      </c>
      <c r="C1716" s="75" t="s">
        <v>4458</v>
      </c>
      <c r="D1716" s="127" t="s">
        <v>4459</v>
      </c>
      <c r="E1716" s="232"/>
    </row>
    <row r="1717" spans="1:5" ht="14.55" customHeight="1" outlineLevel="1" x14ac:dyDescent="0.25">
      <c r="A1717" s="230" t="s">
        <v>1422</v>
      </c>
      <c r="B1717" s="343" t="str">
        <f>"45.1001"</f>
        <v>45.1001</v>
      </c>
      <c r="C1717" s="75" t="s">
        <v>4460</v>
      </c>
      <c r="D1717" s="127" t="s">
        <v>4461</v>
      </c>
      <c r="E1717" s="232"/>
    </row>
    <row r="1718" spans="1:5" ht="14.55" customHeight="1" outlineLevel="1" x14ac:dyDescent="0.25">
      <c r="A1718" s="230" t="s">
        <v>1422</v>
      </c>
      <c r="B1718" s="343" t="str">
        <f>"45.1002"</f>
        <v>45.1002</v>
      </c>
      <c r="C1718" s="75" t="s">
        <v>4462</v>
      </c>
      <c r="D1718" s="127" t="s">
        <v>4463</v>
      </c>
      <c r="E1718" s="232"/>
    </row>
    <row r="1719" spans="1:5" ht="14.55" customHeight="1" outlineLevel="1" x14ac:dyDescent="0.25">
      <c r="A1719" s="230" t="s">
        <v>1422</v>
      </c>
      <c r="B1719" s="343" t="str">
        <f>"45.1003"</f>
        <v>45.1003</v>
      </c>
      <c r="C1719" s="75" t="s">
        <v>4464</v>
      </c>
      <c r="D1719" s="127" t="s">
        <v>4465</v>
      </c>
      <c r="E1719" s="232"/>
    </row>
    <row r="1720" spans="1:5" ht="14.55" customHeight="1" outlineLevel="1" x14ac:dyDescent="0.25">
      <c r="A1720" s="230" t="s">
        <v>1422</v>
      </c>
      <c r="B1720" s="343" t="str">
        <f>"45.1004"</f>
        <v>45.1004</v>
      </c>
      <c r="C1720" s="75" t="s">
        <v>4466</v>
      </c>
      <c r="D1720" s="127" t="s">
        <v>4467</v>
      </c>
      <c r="E1720" s="232"/>
    </row>
    <row r="1721" spans="1:5" ht="14.55" customHeight="1" outlineLevel="1" x14ac:dyDescent="0.25">
      <c r="A1721" s="230" t="s">
        <v>1422</v>
      </c>
      <c r="B1721" s="343" t="str">
        <f>"45.1099"</f>
        <v>45.1099</v>
      </c>
      <c r="C1721" s="75" t="s">
        <v>4468</v>
      </c>
      <c r="D1721" s="127" t="s">
        <v>4469</v>
      </c>
      <c r="E1721" s="232"/>
    </row>
    <row r="1722" spans="1:5" ht="14.55" customHeight="1" outlineLevel="1" x14ac:dyDescent="0.25">
      <c r="A1722" s="230" t="s">
        <v>1422</v>
      </c>
      <c r="B1722" s="343" t="str">
        <f>"45.11"</f>
        <v>45.11</v>
      </c>
      <c r="C1722" s="75" t="s">
        <v>4470</v>
      </c>
      <c r="D1722" s="127" t="s">
        <v>4471</v>
      </c>
      <c r="E1722" s="232"/>
    </row>
    <row r="1723" spans="1:5" ht="14.55" customHeight="1" outlineLevel="1" x14ac:dyDescent="0.25">
      <c r="A1723" s="230" t="s">
        <v>1422</v>
      </c>
      <c r="B1723" s="343" t="str">
        <f>"45.1101"</f>
        <v>45.1101</v>
      </c>
      <c r="C1723" s="75" t="s">
        <v>4472</v>
      </c>
      <c r="D1723" s="127" t="s">
        <v>4473</v>
      </c>
      <c r="E1723" s="232"/>
    </row>
    <row r="1724" spans="1:5" ht="14.55" customHeight="1" outlineLevel="1" x14ac:dyDescent="0.25">
      <c r="A1724" s="230" t="s">
        <v>1422</v>
      </c>
      <c r="B1724" s="343" t="str">
        <f>"45.1102"</f>
        <v>45.1102</v>
      </c>
      <c r="C1724" s="75" t="s">
        <v>4474</v>
      </c>
      <c r="D1724" s="127" t="s">
        <v>4475</v>
      </c>
      <c r="E1724" s="232"/>
    </row>
    <row r="1725" spans="1:5" ht="14.55" customHeight="1" outlineLevel="1" x14ac:dyDescent="0.25">
      <c r="A1725" s="230" t="s">
        <v>1422</v>
      </c>
      <c r="B1725" s="343" t="str">
        <f>"45.1103"</f>
        <v>45.1103</v>
      </c>
      <c r="C1725" s="75" t="s">
        <v>4476</v>
      </c>
      <c r="D1725" s="127" t="s">
        <v>4477</v>
      </c>
      <c r="E1725" s="232"/>
    </row>
    <row r="1726" spans="1:5" ht="14.55" customHeight="1" outlineLevel="1" x14ac:dyDescent="0.25">
      <c r="A1726" s="230" t="s">
        <v>1422</v>
      </c>
      <c r="B1726" s="343" t="str">
        <f>"45.1199"</f>
        <v>45.1199</v>
      </c>
      <c r="C1726" s="75" t="s">
        <v>4478</v>
      </c>
      <c r="D1726" s="127" t="s">
        <v>4479</v>
      </c>
      <c r="E1726" s="232"/>
    </row>
    <row r="1727" spans="1:5" ht="14.55" customHeight="1" outlineLevel="1" x14ac:dyDescent="0.25">
      <c r="A1727" s="230" t="s">
        <v>1422</v>
      </c>
      <c r="B1727" s="343" t="str">
        <f>"45.12"</f>
        <v>45.12</v>
      </c>
      <c r="C1727" s="75" t="s">
        <v>4480</v>
      </c>
      <c r="D1727" s="127" t="s">
        <v>4481</v>
      </c>
      <c r="E1727" s="232"/>
    </row>
    <row r="1728" spans="1:5" ht="14.55" customHeight="1" outlineLevel="1" x14ac:dyDescent="0.25">
      <c r="A1728" s="230" t="s">
        <v>1422</v>
      </c>
      <c r="B1728" s="343" t="str">
        <f>"45.1201"</f>
        <v>45.1201</v>
      </c>
      <c r="C1728" s="75" t="s">
        <v>4480</v>
      </c>
      <c r="D1728" s="127" t="s">
        <v>4482</v>
      </c>
      <c r="E1728" s="232"/>
    </row>
    <row r="1729" spans="1:5" ht="14.55" customHeight="1" outlineLevel="1" x14ac:dyDescent="0.25">
      <c r="A1729" s="230" t="s">
        <v>1422</v>
      </c>
      <c r="B1729" s="343" t="str">
        <f>"45.13"</f>
        <v>45.13</v>
      </c>
      <c r="C1729" s="75" t="s">
        <v>4483</v>
      </c>
      <c r="D1729" s="127" t="s">
        <v>4484</v>
      </c>
      <c r="E1729" s="232"/>
    </row>
    <row r="1730" spans="1:5" ht="14.55" customHeight="1" outlineLevel="1" x14ac:dyDescent="0.25">
      <c r="A1730" s="230" t="s">
        <v>1422</v>
      </c>
      <c r="B1730" s="343" t="str">
        <f>"45.1301"</f>
        <v>45.1301</v>
      </c>
      <c r="C1730" s="75" t="s">
        <v>4483</v>
      </c>
      <c r="D1730" s="127" t="s">
        <v>4485</v>
      </c>
      <c r="E1730" s="232"/>
    </row>
    <row r="1731" spans="1:5" ht="14.55" customHeight="1" outlineLevel="1" x14ac:dyDescent="0.25">
      <c r="A1731" s="230" t="s">
        <v>1422</v>
      </c>
      <c r="B1731" s="343" t="str">
        <f>"45.15"</f>
        <v>45.15</v>
      </c>
      <c r="C1731" s="75" t="s">
        <v>4486</v>
      </c>
      <c r="D1731" s="127" t="s">
        <v>4487</v>
      </c>
      <c r="E1731" s="232"/>
    </row>
    <row r="1732" spans="1:5" ht="14.55" customHeight="1" outlineLevel="1" x14ac:dyDescent="0.25">
      <c r="A1732" s="230" t="s">
        <v>1422</v>
      </c>
      <c r="B1732" s="343" t="str">
        <f>"45.1501"</f>
        <v>45.1501</v>
      </c>
      <c r="C1732" s="75" t="s">
        <v>4486</v>
      </c>
      <c r="D1732" s="127" t="s">
        <v>4488</v>
      </c>
      <c r="E1732" s="232"/>
    </row>
    <row r="1733" spans="1:5" ht="14.55" customHeight="1" outlineLevel="1" x14ac:dyDescent="0.25">
      <c r="A1733" s="230" t="s">
        <v>1422</v>
      </c>
      <c r="B1733" s="343" t="str">
        <f>"45.99"</f>
        <v>45.99</v>
      </c>
      <c r="C1733" s="75" t="s">
        <v>4399</v>
      </c>
      <c r="D1733" s="127" t="s">
        <v>4489</v>
      </c>
      <c r="E1733" s="232"/>
    </row>
    <row r="1734" spans="1:5" ht="14.55" customHeight="1" outlineLevel="1" x14ac:dyDescent="0.25">
      <c r="A1734" s="230" t="s">
        <v>1422</v>
      </c>
      <c r="B1734" s="343" t="str">
        <f>"45.9999"</f>
        <v>45.9999</v>
      </c>
      <c r="C1734" s="75" t="s">
        <v>4399</v>
      </c>
      <c r="D1734" s="127" t="s">
        <v>4490</v>
      </c>
      <c r="E1734" s="232"/>
    </row>
    <row r="1735" spans="1:5" ht="14.55" customHeight="1" outlineLevel="1" x14ac:dyDescent="0.25">
      <c r="A1735" s="230" t="s">
        <v>1422</v>
      </c>
      <c r="B1735" s="343" t="str">
        <f>"46"</f>
        <v>46</v>
      </c>
      <c r="C1735" s="75" t="s">
        <v>4491</v>
      </c>
      <c r="D1735" s="127" t="s">
        <v>4492</v>
      </c>
      <c r="E1735" s="232"/>
    </row>
    <row r="1736" spans="1:5" ht="14.55" customHeight="1" outlineLevel="1" x14ac:dyDescent="0.25">
      <c r="A1736" s="230" t="s">
        <v>1422</v>
      </c>
      <c r="B1736" s="343" t="str">
        <f>"46.00"</f>
        <v>46.00</v>
      </c>
      <c r="C1736" s="75" t="s">
        <v>4493</v>
      </c>
      <c r="D1736" s="127" t="s">
        <v>4494</v>
      </c>
      <c r="E1736" s="232"/>
    </row>
    <row r="1737" spans="1:5" ht="14.55" customHeight="1" outlineLevel="1" x14ac:dyDescent="0.25">
      <c r="A1737" s="230" t="s">
        <v>1422</v>
      </c>
      <c r="B1737" s="343" t="str">
        <f>"46.0000"</f>
        <v>46.0000</v>
      </c>
      <c r="C1737" s="75" t="s">
        <v>4493</v>
      </c>
      <c r="D1737" s="127" t="s">
        <v>4495</v>
      </c>
      <c r="E1737" s="232"/>
    </row>
    <row r="1738" spans="1:5" ht="14.55" customHeight="1" outlineLevel="1" x14ac:dyDescent="0.25">
      <c r="A1738" s="230" t="s">
        <v>1422</v>
      </c>
      <c r="B1738" s="343" t="str">
        <f>"46.01"</f>
        <v>46.01</v>
      </c>
      <c r="C1738" s="75" t="s">
        <v>4496</v>
      </c>
      <c r="D1738" s="127" t="s">
        <v>4497</v>
      </c>
      <c r="E1738" s="232"/>
    </row>
    <row r="1739" spans="1:5" ht="14.55" customHeight="1" outlineLevel="1" x14ac:dyDescent="0.25">
      <c r="A1739" s="230" t="s">
        <v>1422</v>
      </c>
      <c r="B1739" s="343" t="str">
        <f>"46.0101"</f>
        <v>46.0101</v>
      </c>
      <c r="C1739" s="75" t="s">
        <v>4496</v>
      </c>
      <c r="D1739" s="127" t="s">
        <v>4498</v>
      </c>
      <c r="E1739" s="232"/>
    </row>
    <row r="1740" spans="1:5" ht="14.55" customHeight="1" outlineLevel="1" x14ac:dyDescent="0.25">
      <c r="A1740" s="230" t="s">
        <v>1422</v>
      </c>
      <c r="B1740" s="343" t="str">
        <f>"46.02"</f>
        <v>46.02</v>
      </c>
      <c r="C1740" s="75" t="s">
        <v>4499</v>
      </c>
      <c r="D1740" s="127" t="s">
        <v>4500</v>
      </c>
      <c r="E1740" s="232"/>
    </row>
    <row r="1741" spans="1:5" ht="14.55" customHeight="1" outlineLevel="1" x14ac:dyDescent="0.25">
      <c r="A1741" s="230" t="s">
        <v>1422</v>
      </c>
      <c r="B1741" s="343" t="str">
        <f>"46.0201"</f>
        <v>46.0201</v>
      </c>
      <c r="C1741" s="75" t="s">
        <v>4501</v>
      </c>
      <c r="D1741" s="127" t="s">
        <v>4502</v>
      </c>
      <c r="E1741" s="232"/>
    </row>
    <row r="1742" spans="1:5" ht="14.55" customHeight="1" outlineLevel="1" x14ac:dyDescent="0.25">
      <c r="A1742" s="230" t="s">
        <v>1422</v>
      </c>
      <c r="B1742" s="343" t="str">
        <f>"46.03"</f>
        <v>46.03</v>
      </c>
      <c r="C1742" s="75" t="s">
        <v>4503</v>
      </c>
      <c r="D1742" s="127" t="s">
        <v>4504</v>
      </c>
      <c r="E1742" s="232"/>
    </row>
    <row r="1743" spans="1:5" ht="14.55" customHeight="1" outlineLevel="1" x14ac:dyDescent="0.25">
      <c r="A1743" s="230" t="s">
        <v>1422</v>
      </c>
      <c r="B1743" s="343" t="str">
        <f>"46.0301"</f>
        <v>46.0301</v>
      </c>
      <c r="C1743" s="75" t="s">
        <v>4505</v>
      </c>
      <c r="D1743" s="127" t="s">
        <v>4506</v>
      </c>
      <c r="E1743" s="232"/>
    </row>
    <row r="1744" spans="1:5" ht="14.55" customHeight="1" outlineLevel="1" x14ac:dyDescent="0.25">
      <c r="A1744" s="230" t="s">
        <v>1422</v>
      </c>
      <c r="B1744" s="343" t="str">
        <f>"46.0302"</f>
        <v>46.0302</v>
      </c>
      <c r="C1744" s="75" t="s">
        <v>4507</v>
      </c>
      <c r="D1744" s="127" t="s">
        <v>4508</v>
      </c>
      <c r="E1744" s="232"/>
    </row>
    <row r="1745" spans="1:5" ht="14.55" customHeight="1" outlineLevel="1" x14ac:dyDescent="0.25">
      <c r="A1745" s="230" t="s">
        <v>1422</v>
      </c>
      <c r="B1745" s="343" t="str">
        <f>"46.0303"</f>
        <v>46.0303</v>
      </c>
      <c r="C1745" s="75" t="s">
        <v>4509</v>
      </c>
      <c r="D1745" s="127" t="s">
        <v>4510</v>
      </c>
      <c r="E1745" s="232"/>
    </row>
    <row r="1746" spans="1:5" ht="14.55" customHeight="1" outlineLevel="1" x14ac:dyDescent="0.25">
      <c r="A1746" s="230" t="s">
        <v>1422</v>
      </c>
      <c r="B1746" s="343" t="str">
        <f>"46.0399"</f>
        <v>46.0399</v>
      </c>
      <c r="C1746" s="75" t="s">
        <v>4511</v>
      </c>
      <c r="D1746" s="127" t="s">
        <v>4512</v>
      </c>
      <c r="E1746" s="232"/>
    </row>
    <row r="1747" spans="1:5" ht="14.55" customHeight="1" outlineLevel="1" x14ac:dyDescent="0.25">
      <c r="A1747" s="230" t="s">
        <v>1422</v>
      </c>
      <c r="B1747" s="343" t="str">
        <f>"46.04"</f>
        <v>46.04</v>
      </c>
      <c r="C1747" s="75" t="s">
        <v>4513</v>
      </c>
      <c r="D1747" s="127" t="s">
        <v>4514</v>
      </c>
      <c r="E1747" s="232"/>
    </row>
    <row r="1748" spans="1:5" ht="14.55" customHeight="1" outlineLevel="1" x14ac:dyDescent="0.25">
      <c r="A1748" s="230" t="s">
        <v>1422</v>
      </c>
      <c r="B1748" s="343" t="str">
        <f>"46.0401"</f>
        <v>46.0401</v>
      </c>
      <c r="C1748" s="75" t="s">
        <v>4515</v>
      </c>
      <c r="D1748" s="127" t="s">
        <v>4516</v>
      </c>
      <c r="E1748" s="232"/>
    </row>
    <row r="1749" spans="1:5" ht="14.55" customHeight="1" outlineLevel="1" x14ac:dyDescent="0.25">
      <c r="A1749" s="230" t="s">
        <v>1422</v>
      </c>
      <c r="B1749" s="343" t="str">
        <f>"46.0402"</f>
        <v>46.0402</v>
      </c>
      <c r="C1749" s="75" t="s">
        <v>4517</v>
      </c>
      <c r="D1749" s="127" t="s">
        <v>4518</v>
      </c>
      <c r="E1749" s="232"/>
    </row>
    <row r="1750" spans="1:5" ht="14.55" customHeight="1" outlineLevel="1" x14ac:dyDescent="0.25">
      <c r="A1750" s="230" t="s">
        <v>1422</v>
      </c>
      <c r="B1750" s="343" t="str">
        <f>"46.0403"</f>
        <v>46.0403</v>
      </c>
      <c r="C1750" s="75" t="s">
        <v>4519</v>
      </c>
      <c r="D1750" s="127" t="s">
        <v>4520</v>
      </c>
      <c r="E1750" s="232"/>
    </row>
    <row r="1751" spans="1:5" ht="14.55" customHeight="1" outlineLevel="1" x14ac:dyDescent="0.25">
      <c r="A1751" s="230" t="s">
        <v>1422</v>
      </c>
      <c r="B1751" s="343" t="str">
        <f>"46.0404"</f>
        <v>46.0404</v>
      </c>
      <c r="C1751" s="75" t="s">
        <v>4521</v>
      </c>
      <c r="D1751" s="127" t="s">
        <v>4522</v>
      </c>
      <c r="E1751" s="232"/>
    </row>
    <row r="1752" spans="1:5" ht="14.55" customHeight="1" outlineLevel="1" x14ac:dyDescent="0.25">
      <c r="A1752" s="230" t="s">
        <v>1422</v>
      </c>
      <c r="B1752" s="343" t="str">
        <f>"46.0406"</f>
        <v>46.0406</v>
      </c>
      <c r="C1752" s="75" t="s">
        <v>4523</v>
      </c>
      <c r="D1752" s="127" t="s">
        <v>4524</v>
      </c>
      <c r="E1752" s="232"/>
    </row>
    <row r="1753" spans="1:5" ht="14.55" customHeight="1" outlineLevel="1" x14ac:dyDescent="0.25">
      <c r="A1753" s="230" t="s">
        <v>1422</v>
      </c>
      <c r="B1753" s="343" t="str">
        <f>"46.0408"</f>
        <v>46.0408</v>
      </c>
      <c r="C1753" s="75" t="s">
        <v>4525</v>
      </c>
      <c r="D1753" s="127" t="s">
        <v>4526</v>
      </c>
      <c r="E1753" s="232"/>
    </row>
    <row r="1754" spans="1:5" ht="14.55" customHeight="1" outlineLevel="1" x14ac:dyDescent="0.25">
      <c r="A1754" s="230" t="s">
        <v>1422</v>
      </c>
      <c r="B1754" s="343" t="str">
        <f>"46.0410"</f>
        <v>46.0410</v>
      </c>
      <c r="C1754" s="75" t="s">
        <v>4527</v>
      </c>
      <c r="D1754" s="127" t="s">
        <v>4528</v>
      </c>
      <c r="E1754" s="232"/>
    </row>
    <row r="1755" spans="1:5" ht="14.55" customHeight="1" outlineLevel="1" x14ac:dyDescent="0.25">
      <c r="A1755" s="230" t="s">
        <v>1422</v>
      </c>
      <c r="B1755" s="343" t="str">
        <f>"46.0411"</f>
        <v>46.0411</v>
      </c>
      <c r="C1755" s="75" t="s">
        <v>4529</v>
      </c>
      <c r="D1755" s="127" t="s">
        <v>4530</v>
      </c>
      <c r="E1755" s="232"/>
    </row>
    <row r="1756" spans="1:5" ht="14.55" customHeight="1" outlineLevel="1" x14ac:dyDescent="0.25">
      <c r="A1756" s="230" t="s">
        <v>1422</v>
      </c>
      <c r="B1756" s="343" t="str">
        <f>"46.0412"</f>
        <v>46.0412</v>
      </c>
      <c r="C1756" s="75" t="s">
        <v>4531</v>
      </c>
      <c r="D1756" s="127" t="s">
        <v>4532</v>
      </c>
      <c r="E1756" s="232"/>
    </row>
    <row r="1757" spans="1:5" ht="14.55" customHeight="1" outlineLevel="1" x14ac:dyDescent="0.25">
      <c r="A1757" s="230" t="s">
        <v>1422</v>
      </c>
      <c r="B1757" s="343" t="str">
        <f>"46.0413"</f>
        <v>46.0413</v>
      </c>
      <c r="C1757" s="75" t="s">
        <v>4533</v>
      </c>
      <c r="D1757" s="127" t="s">
        <v>13463</v>
      </c>
      <c r="E1757" s="232"/>
    </row>
    <row r="1758" spans="1:5" ht="14.55" customHeight="1" outlineLevel="1" x14ac:dyDescent="0.25">
      <c r="A1758" s="230" t="s">
        <v>1422</v>
      </c>
      <c r="B1758" s="343" t="str">
        <f>"46.0414"</f>
        <v>46.0414</v>
      </c>
      <c r="C1758" s="75" t="s">
        <v>4534</v>
      </c>
      <c r="D1758" s="127" t="s">
        <v>4535</v>
      </c>
      <c r="E1758" s="232"/>
    </row>
    <row r="1759" spans="1:5" ht="14.55" customHeight="1" outlineLevel="1" x14ac:dyDescent="0.25">
      <c r="A1759" s="230" t="s">
        <v>1422</v>
      </c>
      <c r="B1759" s="343" t="str">
        <f>"46.0415"</f>
        <v>46.0415</v>
      </c>
      <c r="C1759" s="75" t="s">
        <v>4536</v>
      </c>
      <c r="D1759" s="127" t="s">
        <v>4537</v>
      </c>
      <c r="E1759" s="232"/>
    </row>
    <row r="1760" spans="1:5" ht="14.55" customHeight="1" outlineLevel="1" x14ac:dyDescent="0.25">
      <c r="A1760" s="230" t="s">
        <v>1422</v>
      </c>
      <c r="B1760" s="343" t="str">
        <f>"46.0499"</f>
        <v>46.0499</v>
      </c>
      <c r="C1760" s="75" t="s">
        <v>4538</v>
      </c>
      <c r="D1760" s="127" t="s">
        <v>4539</v>
      </c>
      <c r="E1760" s="232"/>
    </row>
    <row r="1761" spans="1:5" ht="14.55" customHeight="1" outlineLevel="1" x14ac:dyDescent="0.25">
      <c r="A1761" s="230" t="s">
        <v>1422</v>
      </c>
      <c r="B1761" s="343" t="str">
        <f>"46.05"</f>
        <v>46.05</v>
      </c>
      <c r="C1761" s="75" t="s">
        <v>4540</v>
      </c>
      <c r="D1761" s="127" t="s">
        <v>4541</v>
      </c>
      <c r="E1761" s="232"/>
    </row>
    <row r="1762" spans="1:5" ht="14.55" customHeight="1" outlineLevel="1" x14ac:dyDescent="0.25">
      <c r="A1762" s="230" t="s">
        <v>1422</v>
      </c>
      <c r="B1762" s="343" t="str">
        <f>"46.0502"</f>
        <v>46.0502</v>
      </c>
      <c r="C1762" s="75" t="s">
        <v>4542</v>
      </c>
      <c r="D1762" s="127" t="s">
        <v>4543</v>
      </c>
      <c r="E1762" s="232"/>
    </row>
    <row r="1763" spans="1:5" ht="14.55" customHeight="1" outlineLevel="1" x14ac:dyDescent="0.25">
      <c r="A1763" s="230" t="s">
        <v>1422</v>
      </c>
      <c r="B1763" s="343" t="str">
        <f>"46.0503"</f>
        <v>46.0503</v>
      </c>
      <c r="C1763" s="75" t="s">
        <v>4544</v>
      </c>
      <c r="D1763" s="127" t="s">
        <v>4545</v>
      </c>
      <c r="E1763" s="232"/>
    </row>
    <row r="1764" spans="1:5" ht="14.55" customHeight="1" outlineLevel="1" x14ac:dyDescent="0.25">
      <c r="A1764" s="230" t="s">
        <v>1422</v>
      </c>
      <c r="B1764" s="343" t="str">
        <f>"46.0504"</f>
        <v>46.0504</v>
      </c>
      <c r="C1764" s="75" t="s">
        <v>4546</v>
      </c>
      <c r="D1764" s="127" t="s">
        <v>4547</v>
      </c>
      <c r="E1764" s="232"/>
    </row>
    <row r="1765" spans="1:5" ht="14.55" customHeight="1" outlineLevel="1" x14ac:dyDescent="0.25">
      <c r="A1765" s="230" t="s">
        <v>1422</v>
      </c>
      <c r="B1765" s="343" t="str">
        <f>"46.0505"</f>
        <v>46.0505</v>
      </c>
      <c r="C1765" s="75" t="s">
        <v>4548</v>
      </c>
      <c r="D1765" s="127" t="s">
        <v>4549</v>
      </c>
      <c r="E1765" s="232"/>
    </row>
    <row r="1766" spans="1:5" ht="14.55" customHeight="1" outlineLevel="1" x14ac:dyDescent="0.25">
      <c r="A1766" s="230" t="s">
        <v>1422</v>
      </c>
      <c r="B1766" s="343" t="str">
        <f>"46.0599"</f>
        <v>46.0599</v>
      </c>
      <c r="C1766" s="75" t="s">
        <v>4550</v>
      </c>
      <c r="D1766" s="127" t="s">
        <v>4551</v>
      </c>
      <c r="E1766" s="232"/>
    </row>
    <row r="1767" spans="1:5" ht="14.55" customHeight="1" outlineLevel="1" x14ac:dyDescent="0.25">
      <c r="A1767" s="230" t="s">
        <v>1422</v>
      </c>
      <c r="B1767" s="343" t="str">
        <f>"46.99"</f>
        <v>46.99</v>
      </c>
      <c r="C1767" s="75" t="s">
        <v>4552</v>
      </c>
      <c r="D1767" s="127" t="s">
        <v>4553</v>
      </c>
      <c r="E1767" s="232"/>
    </row>
    <row r="1768" spans="1:5" ht="14.55" customHeight="1" outlineLevel="1" x14ac:dyDescent="0.25">
      <c r="A1768" s="230" t="s">
        <v>1422</v>
      </c>
      <c r="B1768" s="343" t="str">
        <f>"46.9999"</f>
        <v>46.9999</v>
      </c>
      <c r="C1768" s="75" t="s">
        <v>4552</v>
      </c>
      <c r="D1768" s="127" t="s">
        <v>4554</v>
      </c>
      <c r="E1768" s="232"/>
    </row>
    <row r="1769" spans="1:5" ht="14.55" customHeight="1" outlineLevel="1" x14ac:dyDescent="0.25">
      <c r="A1769" s="230" t="s">
        <v>1422</v>
      </c>
      <c r="B1769" s="343" t="str">
        <f>"47"</f>
        <v>47</v>
      </c>
      <c r="C1769" s="75" t="s">
        <v>4555</v>
      </c>
      <c r="D1769" s="127" t="s">
        <v>4556</v>
      </c>
      <c r="E1769" s="232"/>
    </row>
    <row r="1770" spans="1:5" ht="14.55" customHeight="1" outlineLevel="1" x14ac:dyDescent="0.25">
      <c r="A1770" s="230" t="s">
        <v>1422</v>
      </c>
      <c r="B1770" s="343" t="str">
        <f>"47.00"</f>
        <v>47.00</v>
      </c>
      <c r="C1770" s="75" t="s">
        <v>4557</v>
      </c>
      <c r="D1770" s="127" t="s">
        <v>4558</v>
      </c>
      <c r="E1770" s="232"/>
    </row>
    <row r="1771" spans="1:5" ht="14.55" customHeight="1" outlineLevel="1" x14ac:dyDescent="0.25">
      <c r="A1771" s="230" t="s">
        <v>1422</v>
      </c>
      <c r="B1771" s="343" t="str">
        <f>"47.0000"</f>
        <v>47.0000</v>
      </c>
      <c r="C1771" s="75" t="s">
        <v>4557</v>
      </c>
      <c r="D1771" s="127" t="s">
        <v>4559</v>
      </c>
      <c r="E1771" s="232"/>
    </row>
    <row r="1772" spans="1:5" ht="14.55" customHeight="1" outlineLevel="1" x14ac:dyDescent="0.25">
      <c r="A1772" s="230" t="s">
        <v>1422</v>
      </c>
      <c r="B1772" s="343" t="str">
        <f>"47.01"</f>
        <v>47.01</v>
      </c>
      <c r="C1772" s="75" t="s">
        <v>4560</v>
      </c>
      <c r="D1772" s="127" t="s">
        <v>4561</v>
      </c>
      <c r="E1772" s="232"/>
    </row>
    <row r="1773" spans="1:5" ht="14.55" customHeight="1" outlineLevel="1" x14ac:dyDescent="0.25">
      <c r="A1773" s="230" t="s">
        <v>1422</v>
      </c>
      <c r="B1773" s="343" t="str">
        <f>"47.0101"</f>
        <v>47.0101</v>
      </c>
      <c r="C1773" s="75" t="s">
        <v>4562</v>
      </c>
      <c r="D1773" s="127" t="s">
        <v>4563</v>
      </c>
      <c r="E1773" s="232"/>
    </row>
    <row r="1774" spans="1:5" ht="14.55" customHeight="1" outlineLevel="1" x14ac:dyDescent="0.25">
      <c r="A1774" s="230" t="s">
        <v>1422</v>
      </c>
      <c r="B1774" s="343" t="str">
        <f>"47.0102"</f>
        <v>47.0102</v>
      </c>
      <c r="C1774" s="75" t="s">
        <v>4564</v>
      </c>
      <c r="D1774" s="127" t="s">
        <v>4565</v>
      </c>
      <c r="E1774" s="232"/>
    </row>
    <row r="1775" spans="1:5" ht="14.55" customHeight="1" outlineLevel="1" x14ac:dyDescent="0.25">
      <c r="A1775" s="230" t="s">
        <v>1422</v>
      </c>
      <c r="B1775" s="343" t="str">
        <f>"47.0103"</f>
        <v>47.0103</v>
      </c>
      <c r="C1775" s="75" t="s">
        <v>4566</v>
      </c>
      <c r="D1775" s="127" t="s">
        <v>4567</v>
      </c>
      <c r="E1775" s="232"/>
    </row>
    <row r="1776" spans="1:5" ht="14.55" customHeight="1" outlineLevel="1" x14ac:dyDescent="0.25">
      <c r="A1776" s="230" t="s">
        <v>1422</v>
      </c>
      <c r="B1776" s="343" t="str">
        <f>"47.0104"</f>
        <v>47.0104</v>
      </c>
      <c r="C1776" s="75" t="s">
        <v>4568</v>
      </c>
      <c r="D1776" s="127" t="s">
        <v>4569</v>
      </c>
      <c r="E1776" s="232"/>
    </row>
    <row r="1777" spans="1:5" ht="14.55" customHeight="1" outlineLevel="1" x14ac:dyDescent="0.25">
      <c r="A1777" s="230" t="s">
        <v>1422</v>
      </c>
      <c r="B1777" s="343" t="str">
        <f>"47.0105"</f>
        <v>47.0105</v>
      </c>
      <c r="C1777" s="75" t="s">
        <v>4570</v>
      </c>
      <c r="D1777" s="127" t="s">
        <v>4571</v>
      </c>
      <c r="E1777" s="232"/>
    </row>
    <row r="1778" spans="1:5" ht="14.55" customHeight="1" outlineLevel="1" x14ac:dyDescent="0.25">
      <c r="A1778" s="230" t="s">
        <v>1422</v>
      </c>
      <c r="B1778" s="343" t="str">
        <f>"47.0106"</f>
        <v>47.0106</v>
      </c>
      <c r="C1778" s="75" t="s">
        <v>4572</v>
      </c>
      <c r="D1778" s="127" t="s">
        <v>4573</v>
      </c>
      <c r="E1778" s="232"/>
    </row>
    <row r="1779" spans="1:5" ht="14.55" customHeight="1" outlineLevel="1" x14ac:dyDescent="0.25">
      <c r="A1779" s="230" t="s">
        <v>1422</v>
      </c>
      <c r="B1779" s="343" t="str">
        <f>"47.0110"</f>
        <v>47.0110</v>
      </c>
      <c r="C1779" s="75" t="s">
        <v>4574</v>
      </c>
      <c r="D1779" s="127" t="s">
        <v>4575</v>
      </c>
      <c r="E1779" s="232"/>
    </row>
    <row r="1780" spans="1:5" ht="14.55" customHeight="1" outlineLevel="1" x14ac:dyDescent="0.25">
      <c r="A1780" s="230" t="s">
        <v>1422</v>
      </c>
      <c r="B1780" s="343" t="str">
        <f>"47.0199"</f>
        <v>47.0199</v>
      </c>
      <c r="C1780" s="75" t="s">
        <v>4576</v>
      </c>
      <c r="D1780" s="127" t="s">
        <v>4577</v>
      </c>
      <c r="E1780" s="232"/>
    </row>
    <row r="1781" spans="1:5" ht="14.55" customHeight="1" outlineLevel="1" x14ac:dyDescent="0.25">
      <c r="A1781" s="230" t="s">
        <v>1422</v>
      </c>
      <c r="B1781" s="343" t="str">
        <f>"47.02"</f>
        <v>47.02</v>
      </c>
      <c r="C1781" s="75" t="s">
        <v>4578</v>
      </c>
      <c r="D1781" s="127" t="s">
        <v>4579</v>
      </c>
      <c r="E1781" s="232"/>
    </row>
    <row r="1782" spans="1:5" ht="14.55" customHeight="1" outlineLevel="1" x14ac:dyDescent="0.25">
      <c r="A1782" s="230" t="s">
        <v>1422</v>
      </c>
      <c r="B1782" s="343" t="str">
        <f>"47.0201"</f>
        <v>47.0201</v>
      </c>
      <c r="C1782" s="75" t="s">
        <v>4580</v>
      </c>
      <c r="D1782" s="127" t="s">
        <v>4581</v>
      </c>
      <c r="E1782" s="232"/>
    </row>
    <row r="1783" spans="1:5" ht="14.55" customHeight="1" outlineLevel="1" x14ac:dyDescent="0.25">
      <c r="A1783" s="230" t="s">
        <v>1422</v>
      </c>
      <c r="B1783" s="343" t="str">
        <f>"47.03"</f>
        <v>47.03</v>
      </c>
      <c r="C1783" s="75" t="s">
        <v>4582</v>
      </c>
      <c r="D1783" s="127" t="s">
        <v>4583</v>
      </c>
      <c r="E1783" s="232"/>
    </row>
    <row r="1784" spans="1:5" ht="14.55" customHeight="1" outlineLevel="1" x14ac:dyDescent="0.25">
      <c r="A1784" s="230" t="s">
        <v>1422</v>
      </c>
      <c r="B1784" s="343" t="str">
        <f>"47.0302"</f>
        <v>47.0302</v>
      </c>
      <c r="C1784" s="75" t="s">
        <v>4584</v>
      </c>
      <c r="D1784" s="127" t="s">
        <v>4585</v>
      </c>
      <c r="E1784" s="232"/>
    </row>
    <row r="1785" spans="1:5" ht="14.55" customHeight="1" outlineLevel="1" x14ac:dyDescent="0.25">
      <c r="A1785" s="230" t="s">
        <v>1422</v>
      </c>
      <c r="B1785" s="343" t="str">
        <f>"47.0303"</f>
        <v>47.0303</v>
      </c>
      <c r="C1785" s="75" t="s">
        <v>4586</v>
      </c>
      <c r="D1785" s="127" t="s">
        <v>4587</v>
      </c>
      <c r="E1785" s="232"/>
    </row>
    <row r="1786" spans="1:5" ht="14.55" customHeight="1" outlineLevel="1" x14ac:dyDescent="0.25">
      <c r="A1786" s="230" t="s">
        <v>1422</v>
      </c>
      <c r="B1786" s="343" t="str">
        <f>"47.0399"</f>
        <v>47.0399</v>
      </c>
      <c r="C1786" s="75" t="s">
        <v>4588</v>
      </c>
      <c r="D1786" s="127" t="s">
        <v>4589</v>
      </c>
      <c r="E1786" s="232"/>
    </row>
    <row r="1787" spans="1:5" ht="14.55" customHeight="1" outlineLevel="1" x14ac:dyDescent="0.25">
      <c r="A1787" s="230" t="s">
        <v>1422</v>
      </c>
      <c r="B1787" s="343" t="str">
        <f>"47.04"</f>
        <v>47.04</v>
      </c>
      <c r="C1787" s="75" t="s">
        <v>4590</v>
      </c>
      <c r="D1787" s="127" t="s">
        <v>4591</v>
      </c>
      <c r="E1787" s="232"/>
    </row>
    <row r="1788" spans="1:5" ht="14.55" customHeight="1" outlineLevel="1" x14ac:dyDescent="0.25">
      <c r="A1788" s="230" t="s">
        <v>1422</v>
      </c>
      <c r="B1788" s="343" t="str">
        <f>"47.0402"</f>
        <v>47.0402</v>
      </c>
      <c r="C1788" s="75" t="s">
        <v>4592</v>
      </c>
      <c r="D1788" s="127" t="s">
        <v>4593</v>
      </c>
      <c r="E1788" s="232"/>
    </row>
    <row r="1789" spans="1:5" ht="14.55" customHeight="1" outlineLevel="1" x14ac:dyDescent="0.25">
      <c r="A1789" s="230" t="s">
        <v>1422</v>
      </c>
      <c r="B1789" s="343" t="str">
        <f>"47.0403"</f>
        <v>47.0403</v>
      </c>
      <c r="C1789" s="75" t="s">
        <v>4594</v>
      </c>
      <c r="D1789" s="127" t="s">
        <v>4595</v>
      </c>
      <c r="E1789" s="232"/>
    </row>
    <row r="1790" spans="1:5" ht="14.55" customHeight="1" outlineLevel="1" x14ac:dyDescent="0.25">
      <c r="A1790" s="230" t="s">
        <v>1422</v>
      </c>
      <c r="B1790" s="343" t="str">
        <f>"47.0404"</f>
        <v>47.0404</v>
      </c>
      <c r="C1790" s="75" t="s">
        <v>4596</v>
      </c>
      <c r="D1790" s="127" t="s">
        <v>4597</v>
      </c>
      <c r="E1790" s="232"/>
    </row>
    <row r="1791" spans="1:5" ht="14.55" customHeight="1" outlineLevel="1" x14ac:dyDescent="0.25">
      <c r="A1791" s="230" t="s">
        <v>1422</v>
      </c>
      <c r="B1791" s="343" t="str">
        <f>"47.0408"</f>
        <v>47.0408</v>
      </c>
      <c r="C1791" s="75" t="s">
        <v>4598</v>
      </c>
      <c r="D1791" s="127" t="s">
        <v>4599</v>
      </c>
      <c r="E1791" s="232"/>
    </row>
    <row r="1792" spans="1:5" ht="14.55" customHeight="1" outlineLevel="1" x14ac:dyDescent="0.25">
      <c r="A1792" s="230" t="s">
        <v>1422</v>
      </c>
      <c r="B1792" s="343" t="str">
        <f>"47.0409"</f>
        <v>47.0409</v>
      </c>
      <c r="C1792" s="75" t="s">
        <v>4600</v>
      </c>
      <c r="D1792" s="127" t="s">
        <v>4601</v>
      </c>
      <c r="E1792" s="232"/>
    </row>
    <row r="1793" spans="1:5" ht="14.55" customHeight="1" outlineLevel="1" x14ac:dyDescent="0.25">
      <c r="A1793" s="230" t="s">
        <v>1422</v>
      </c>
      <c r="B1793" s="343" t="str">
        <f>"47.0499"</f>
        <v>47.0499</v>
      </c>
      <c r="C1793" s="75" t="s">
        <v>4602</v>
      </c>
      <c r="D1793" s="127" t="s">
        <v>4603</v>
      </c>
      <c r="E1793" s="232"/>
    </row>
    <row r="1794" spans="1:5" ht="14.55" customHeight="1" outlineLevel="1" x14ac:dyDescent="0.25">
      <c r="A1794" s="230" t="s">
        <v>1422</v>
      </c>
      <c r="B1794" s="343" t="str">
        <f>"47.06"</f>
        <v>47.06</v>
      </c>
      <c r="C1794" s="75" t="s">
        <v>4604</v>
      </c>
      <c r="D1794" s="127" t="s">
        <v>4605</v>
      </c>
      <c r="E1794" s="232"/>
    </row>
    <row r="1795" spans="1:5" ht="14.55" customHeight="1" outlineLevel="1" x14ac:dyDescent="0.25">
      <c r="A1795" s="230" t="s">
        <v>1422</v>
      </c>
      <c r="B1795" s="343" t="str">
        <f>"47.0600"</f>
        <v>47.0600</v>
      </c>
      <c r="C1795" s="75" t="s">
        <v>4606</v>
      </c>
      <c r="D1795" s="127" t="s">
        <v>4607</v>
      </c>
      <c r="E1795" s="232"/>
    </row>
    <row r="1796" spans="1:5" ht="14.55" customHeight="1" outlineLevel="1" x14ac:dyDescent="0.25">
      <c r="A1796" s="230" t="s">
        <v>1422</v>
      </c>
      <c r="B1796" s="343" t="str">
        <f>"47.0603"</f>
        <v>47.0603</v>
      </c>
      <c r="C1796" s="75" t="s">
        <v>4608</v>
      </c>
      <c r="D1796" s="127" t="s">
        <v>4609</v>
      </c>
      <c r="E1796" s="232"/>
    </row>
    <row r="1797" spans="1:5" ht="14.55" customHeight="1" outlineLevel="1" x14ac:dyDescent="0.25">
      <c r="A1797" s="230" t="s">
        <v>1422</v>
      </c>
      <c r="B1797" s="343" t="str">
        <f>"47.0604"</f>
        <v>47.0604</v>
      </c>
      <c r="C1797" s="75" t="s">
        <v>4610</v>
      </c>
      <c r="D1797" s="127" t="s">
        <v>4611</v>
      </c>
      <c r="E1797" s="232"/>
    </row>
    <row r="1798" spans="1:5" ht="14.55" customHeight="1" outlineLevel="1" x14ac:dyDescent="0.25">
      <c r="A1798" s="230" t="s">
        <v>1422</v>
      </c>
      <c r="B1798" s="343" t="str">
        <f>"47.0605"</f>
        <v>47.0605</v>
      </c>
      <c r="C1798" s="75" t="s">
        <v>4612</v>
      </c>
      <c r="D1798" s="127" t="s">
        <v>4613</v>
      </c>
      <c r="E1798" s="232"/>
    </row>
    <row r="1799" spans="1:5" ht="14.55" customHeight="1" outlineLevel="1" x14ac:dyDescent="0.25">
      <c r="A1799" s="230" t="s">
        <v>1422</v>
      </c>
      <c r="B1799" s="343" t="str">
        <f>"47.0606"</f>
        <v>47.0606</v>
      </c>
      <c r="C1799" s="75" t="s">
        <v>4614</v>
      </c>
      <c r="D1799" s="127" t="s">
        <v>4615</v>
      </c>
      <c r="E1799" s="232"/>
    </row>
    <row r="1800" spans="1:5" ht="14.55" customHeight="1" outlineLevel="1" x14ac:dyDescent="0.25">
      <c r="A1800" s="230" t="s">
        <v>1422</v>
      </c>
      <c r="B1800" s="343" t="str">
        <f>"47.0607"</f>
        <v>47.0607</v>
      </c>
      <c r="C1800" s="75" t="s">
        <v>4616</v>
      </c>
      <c r="D1800" s="127" t="s">
        <v>4617</v>
      </c>
      <c r="E1800" s="232"/>
    </row>
    <row r="1801" spans="1:5" ht="14.55" customHeight="1" outlineLevel="1" x14ac:dyDescent="0.25">
      <c r="A1801" s="230" t="s">
        <v>1422</v>
      </c>
      <c r="B1801" s="343" t="str">
        <f>"47.0608"</f>
        <v>47.0608</v>
      </c>
      <c r="C1801" s="75" t="s">
        <v>4618</v>
      </c>
      <c r="D1801" s="127" t="s">
        <v>4619</v>
      </c>
      <c r="E1801" s="232"/>
    </row>
    <row r="1802" spans="1:5" ht="14.55" customHeight="1" outlineLevel="1" x14ac:dyDescent="0.25">
      <c r="A1802" s="230" t="s">
        <v>1422</v>
      </c>
      <c r="B1802" s="343" t="str">
        <f>"47.0609"</f>
        <v>47.0609</v>
      </c>
      <c r="C1802" s="75" t="s">
        <v>4620</v>
      </c>
      <c r="D1802" s="127" t="s">
        <v>4621</v>
      </c>
      <c r="E1802" s="232"/>
    </row>
    <row r="1803" spans="1:5" ht="14.55" customHeight="1" outlineLevel="1" x14ac:dyDescent="0.25">
      <c r="A1803" s="230" t="s">
        <v>1422</v>
      </c>
      <c r="B1803" s="343" t="str">
        <f>"47.0610"</f>
        <v>47.0610</v>
      </c>
      <c r="C1803" s="75" t="s">
        <v>4622</v>
      </c>
      <c r="D1803" s="127" t="s">
        <v>4623</v>
      </c>
      <c r="E1803" s="232"/>
    </row>
    <row r="1804" spans="1:5" ht="14.55" customHeight="1" outlineLevel="1" x14ac:dyDescent="0.25">
      <c r="A1804" s="230" t="s">
        <v>1422</v>
      </c>
      <c r="B1804" s="343" t="str">
        <f>"47.0611"</f>
        <v>47.0611</v>
      </c>
      <c r="C1804" s="75" t="s">
        <v>4624</v>
      </c>
      <c r="D1804" s="127" t="s">
        <v>4625</v>
      </c>
      <c r="E1804" s="232"/>
    </row>
    <row r="1805" spans="1:5" ht="14.55" customHeight="1" outlineLevel="1" x14ac:dyDescent="0.25">
      <c r="A1805" s="230" t="s">
        <v>1422</v>
      </c>
      <c r="B1805" s="343" t="str">
        <f>"47.0612"</f>
        <v>47.0612</v>
      </c>
      <c r="C1805" s="75" t="s">
        <v>4626</v>
      </c>
      <c r="D1805" s="127" t="s">
        <v>4627</v>
      </c>
      <c r="E1805" s="232"/>
    </row>
    <row r="1806" spans="1:5" ht="14.55" customHeight="1" outlineLevel="1" x14ac:dyDescent="0.25">
      <c r="A1806" s="230" t="s">
        <v>1422</v>
      </c>
      <c r="B1806" s="343" t="str">
        <f>"47.0613"</f>
        <v>47.0613</v>
      </c>
      <c r="C1806" s="75" t="s">
        <v>4628</v>
      </c>
      <c r="D1806" s="127" t="s">
        <v>4629</v>
      </c>
      <c r="E1806" s="232"/>
    </row>
    <row r="1807" spans="1:5" ht="14.55" customHeight="1" outlineLevel="1" x14ac:dyDescent="0.25">
      <c r="A1807" s="230" t="s">
        <v>1422</v>
      </c>
      <c r="B1807" s="343" t="str">
        <f>"47.0614"</f>
        <v>47.0614</v>
      </c>
      <c r="C1807" s="75" t="s">
        <v>4630</v>
      </c>
      <c r="D1807" s="127" t="s">
        <v>4631</v>
      </c>
      <c r="E1807" s="232"/>
    </row>
    <row r="1808" spans="1:5" ht="14.55" customHeight="1" outlineLevel="1" x14ac:dyDescent="0.25">
      <c r="A1808" s="230" t="s">
        <v>1422</v>
      </c>
      <c r="B1808" s="343" t="str">
        <f>"47.0615"</f>
        <v>47.0615</v>
      </c>
      <c r="C1808" s="75" t="s">
        <v>4632</v>
      </c>
      <c r="D1808" s="127" t="s">
        <v>4633</v>
      </c>
      <c r="E1808" s="232"/>
    </row>
    <row r="1809" spans="1:5" ht="14.55" customHeight="1" outlineLevel="1" x14ac:dyDescent="0.25">
      <c r="A1809" s="230" t="s">
        <v>1422</v>
      </c>
      <c r="B1809" s="343" t="str">
        <f>"47.0616"</f>
        <v>47.0616</v>
      </c>
      <c r="C1809" s="75" t="s">
        <v>4634</v>
      </c>
      <c r="D1809" s="127" t="s">
        <v>4635</v>
      </c>
      <c r="E1809" s="232"/>
    </row>
    <row r="1810" spans="1:5" ht="14.55" customHeight="1" outlineLevel="1" x14ac:dyDescent="0.25">
      <c r="A1810" s="230" t="s">
        <v>1422</v>
      </c>
      <c r="B1810" s="343" t="str">
        <f>"47.0617"</f>
        <v>47.0617</v>
      </c>
      <c r="C1810" s="75" t="s">
        <v>4636</v>
      </c>
      <c r="D1810" s="127" t="s">
        <v>4637</v>
      </c>
      <c r="E1810" s="232"/>
    </row>
    <row r="1811" spans="1:5" ht="14.55" customHeight="1" outlineLevel="1" x14ac:dyDescent="0.25">
      <c r="A1811" s="230" t="s">
        <v>1422</v>
      </c>
      <c r="B1811" s="343" t="str">
        <f>"47.0618"</f>
        <v>47.0618</v>
      </c>
      <c r="C1811" s="75" t="s">
        <v>4638</v>
      </c>
      <c r="D1811" s="127" t="s">
        <v>4639</v>
      </c>
      <c r="E1811" s="232"/>
    </row>
    <row r="1812" spans="1:5" ht="14.55" customHeight="1" outlineLevel="1" x14ac:dyDescent="0.25">
      <c r="A1812" s="230" t="s">
        <v>1422</v>
      </c>
      <c r="B1812" s="343" t="str">
        <f>"47.0699"</f>
        <v>47.0699</v>
      </c>
      <c r="C1812" s="75" t="s">
        <v>4640</v>
      </c>
      <c r="D1812" s="127" t="s">
        <v>4641</v>
      </c>
      <c r="E1812" s="232"/>
    </row>
    <row r="1813" spans="1:5" ht="14.55" customHeight="1" outlineLevel="1" x14ac:dyDescent="0.25">
      <c r="A1813" s="230" t="s">
        <v>1422</v>
      </c>
      <c r="B1813" s="343" t="str">
        <f>"47.07"</f>
        <v>47.07</v>
      </c>
      <c r="C1813" s="75" t="s">
        <v>4642</v>
      </c>
      <c r="D1813" s="127" t="s">
        <v>4643</v>
      </c>
      <c r="E1813" s="232"/>
    </row>
    <row r="1814" spans="1:5" ht="14.55" customHeight="1" outlineLevel="1" x14ac:dyDescent="0.25">
      <c r="A1814" s="230" t="s">
        <v>1422</v>
      </c>
      <c r="B1814" s="343" t="str">
        <f>"47.0701"</f>
        <v>47.0701</v>
      </c>
      <c r="C1814" s="75" t="s">
        <v>4644</v>
      </c>
      <c r="D1814" s="127" t="s">
        <v>4645</v>
      </c>
      <c r="E1814" s="232"/>
    </row>
    <row r="1815" spans="1:5" ht="14.55" customHeight="1" outlineLevel="1" x14ac:dyDescent="0.25">
      <c r="A1815" s="230" t="s">
        <v>1422</v>
      </c>
      <c r="B1815" s="343" t="str">
        <f>"47.0703"</f>
        <v>47.0703</v>
      </c>
      <c r="C1815" s="75" t="s">
        <v>4646</v>
      </c>
      <c r="D1815" s="127" t="s">
        <v>4647</v>
      </c>
      <c r="E1815" s="232"/>
    </row>
    <row r="1816" spans="1:5" ht="14.55" customHeight="1" outlineLevel="1" x14ac:dyDescent="0.25">
      <c r="A1816" s="230" t="s">
        <v>1422</v>
      </c>
      <c r="B1816" s="343" t="str">
        <f>"47.0704"</f>
        <v>47.0704</v>
      </c>
      <c r="C1816" s="75" t="s">
        <v>4648</v>
      </c>
      <c r="D1816" s="127" t="s">
        <v>4649</v>
      </c>
      <c r="E1816" s="232"/>
    </row>
    <row r="1817" spans="1:5" ht="14.55" customHeight="1" outlineLevel="1" x14ac:dyDescent="0.25">
      <c r="A1817" s="230" t="s">
        <v>1422</v>
      </c>
      <c r="B1817" s="343" t="str">
        <f>"47.0705"</f>
        <v>47.0705</v>
      </c>
      <c r="C1817" s="75" t="s">
        <v>4650</v>
      </c>
      <c r="D1817" s="127" t="s">
        <v>4651</v>
      </c>
      <c r="E1817" s="232"/>
    </row>
    <row r="1818" spans="1:5" ht="14.55" customHeight="1" outlineLevel="1" x14ac:dyDescent="0.25">
      <c r="A1818" s="230" t="s">
        <v>1422</v>
      </c>
      <c r="B1818" s="343" t="str">
        <f>"47.0706"</f>
        <v>47.0706</v>
      </c>
      <c r="C1818" s="75" t="s">
        <v>4652</v>
      </c>
      <c r="D1818" s="127" t="s">
        <v>4653</v>
      </c>
      <c r="E1818" s="232"/>
    </row>
    <row r="1819" spans="1:5" ht="14.55" customHeight="1" outlineLevel="1" x14ac:dyDescent="0.25">
      <c r="A1819" s="230" t="s">
        <v>1422</v>
      </c>
      <c r="B1819" s="343" t="str">
        <f>"47.0799"</f>
        <v>47.0799</v>
      </c>
      <c r="C1819" s="75" t="s">
        <v>4654</v>
      </c>
      <c r="D1819" s="127" t="s">
        <v>4655</v>
      </c>
      <c r="E1819" s="232"/>
    </row>
    <row r="1820" spans="1:5" ht="14.55" customHeight="1" outlineLevel="1" x14ac:dyDescent="0.25">
      <c r="A1820" s="230" t="s">
        <v>1422</v>
      </c>
      <c r="B1820" s="343" t="str">
        <f>"47.99"</f>
        <v>47.99</v>
      </c>
      <c r="C1820" s="75" t="s">
        <v>4656</v>
      </c>
      <c r="D1820" s="127" t="s">
        <v>4657</v>
      </c>
      <c r="E1820" s="232"/>
    </row>
    <row r="1821" spans="1:5" ht="14.55" customHeight="1" outlineLevel="1" x14ac:dyDescent="0.25">
      <c r="A1821" s="230" t="s">
        <v>1422</v>
      </c>
      <c r="B1821" s="343" t="str">
        <f>"47.9999"</f>
        <v>47.9999</v>
      </c>
      <c r="C1821" s="75" t="s">
        <v>4656</v>
      </c>
      <c r="D1821" s="127" t="s">
        <v>4658</v>
      </c>
      <c r="E1821" s="232"/>
    </row>
    <row r="1822" spans="1:5" ht="14.55" customHeight="1" outlineLevel="1" x14ac:dyDescent="0.25">
      <c r="A1822" s="230" t="s">
        <v>1422</v>
      </c>
      <c r="B1822" s="343" t="str">
        <f>"48"</f>
        <v>48</v>
      </c>
      <c r="C1822" s="75" t="s">
        <v>4659</v>
      </c>
      <c r="D1822" s="127" t="s">
        <v>4660</v>
      </c>
      <c r="E1822" s="232"/>
    </row>
    <row r="1823" spans="1:5" ht="14.55" customHeight="1" outlineLevel="1" x14ac:dyDescent="0.25">
      <c r="A1823" s="230" t="s">
        <v>1422</v>
      </c>
      <c r="B1823" s="343" t="str">
        <f>"48.00"</f>
        <v>48.00</v>
      </c>
      <c r="C1823" s="75" t="s">
        <v>4661</v>
      </c>
      <c r="D1823" s="127" t="s">
        <v>4662</v>
      </c>
      <c r="E1823" s="232"/>
    </row>
    <row r="1824" spans="1:5" ht="14.55" customHeight="1" outlineLevel="1" x14ac:dyDescent="0.25">
      <c r="A1824" s="230" t="s">
        <v>1422</v>
      </c>
      <c r="B1824" s="343" t="str">
        <f>"48.0000"</f>
        <v>48.0000</v>
      </c>
      <c r="C1824" s="75" t="s">
        <v>4661</v>
      </c>
      <c r="D1824" s="127" t="s">
        <v>4663</v>
      </c>
      <c r="E1824" s="232"/>
    </row>
    <row r="1825" spans="1:5" ht="14.55" customHeight="1" outlineLevel="1" x14ac:dyDescent="0.25">
      <c r="A1825" s="230" t="s">
        <v>1422</v>
      </c>
      <c r="B1825" s="343" t="str">
        <f>"48.03"</f>
        <v>48.03</v>
      </c>
      <c r="C1825" s="75" t="s">
        <v>4664</v>
      </c>
      <c r="D1825" s="127" t="s">
        <v>4665</v>
      </c>
      <c r="E1825" s="232"/>
    </row>
    <row r="1826" spans="1:5" ht="14.55" customHeight="1" outlineLevel="1" x14ac:dyDescent="0.25">
      <c r="A1826" s="230" t="s">
        <v>1422</v>
      </c>
      <c r="B1826" s="343" t="str">
        <f>"48.0303"</f>
        <v>48.0303</v>
      </c>
      <c r="C1826" s="75" t="s">
        <v>4666</v>
      </c>
      <c r="D1826" s="127" t="s">
        <v>4667</v>
      </c>
      <c r="E1826" s="232"/>
    </row>
    <row r="1827" spans="1:5" ht="14.55" customHeight="1" outlineLevel="1" x14ac:dyDescent="0.25">
      <c r="A1827" s="230" t="s">
        <v>1422</v>
      </c>
      <c r="B1827" s="343" t="str">
        <f>"48.0304"</f>
        <v>48.0304</v>
      </c>
      <c r="C1827" s="75" t="s">
        <v>4668</v>
      </c>
      <c r="D1827" s="127" t="s">
        <v>4669</v>
      </c>
      <c r="E1827" s="232"/>
    </row>
    <row r="1828" spans="1:5" ht="14.55" customHeight="1" outlineLevel="1" x14ac:dyDescent="0.25">
      <c r="A1828" s="230" t="s">
        <v>1422</v>
      </c>
      <c r="B1828" s="343" t="str">
        <f>"48.0399"</f>
        <v>48.0399</v>
      </c>
      <c r="C1828" s="75" t="s">
        <v>4670</v>
      </c>
      <c r="D1828" s="127" t="s">
        <v>4671</v>
      </c>
      <c r="E1828" s="232"/>
    </row>
    <row r="1829" spans="1:5" ht="14.55" customHeight="1" outlineLevel="1" x14ac:dyDescent="0.25">
      <c r="A1829" s="230" t="s">
        <v>1422</v>
      </c>
      <c r="B1829" s="343" t="str">
        <f>"48.05"</f>
        <v>48.05</v>
      </c>
      <c r="C1829" s="75" t="s">
        <v>4672</v>
      </c>
      <c r="D1829" s="127" t="s">
        <v>4673</v>
      </c>
      <c r="E1829" s="232"/>
    </row>
    <row r="1830" spans="1:5" ht="14.55" customHeight="1" outlineLevel="1" x14ac:dyDescent="0.25">
      <c r="A1830" s="230" t="s">
        <v>1422</v>
      </c>
      <c r="B1830" s="343" t="str">
        <f>"48.0501"</f>
        <v>48.0501</v>
      </c>
      <c r="C1830" s="75" t="s">
        <v>4674</v>
      </c>
      <c r="D1830" s="127" t="s">
        <v>4675</v>
      </c>
      <c r="E1830" s="232"/>
    </row>
    <row r="1831" spans="1:5" ht="14.55" customHeight="1" outlineLevel="1" x14ac:dyDescent="0.25">
      <c r="A1831" s="230" t="s">
        <v>1422</v>
      </c>
      <c r="B1831" s="343" t="str">
        <f>"48.0503"</f>
        <v>48.0503</v>
      </c>
      <c r="C1831" s="75" t="s">
        <v>4676</v>
      </c>
      <c r="D1831" s="127" t="s">
        <v>4677</v>
      </c>
      <c r="E1831" s="232"/>
    </row>
    <row r="1832" spans="1:5" ht="14.55" customHeight="1" outlineLevel="1" x14ac:dyDescent="0.25">
      <c r="A1832" s="230" t="s">
        <v>1422</v>
      </c>
      <c r="B1832" s="343" t="str">
        <f>"48.0506"</f>
        <v>48.0506</v>
      </c>
      <c r="C1832" s="75" t="s">
        <v>4678</v>
      </c>
      <c r="D1832" s="127" t="s">
        <v>4679</v>
      </c>
      <c r="E1832" s="232"/>
    </row>
    <row r="1833" spans="1:5" ht="14.55" customHeight="1" outlineLevel="1" x14ac:dyDescent="0.25">
      <c r="A1833" s="230" t="s">
        <v>1422</v>
      </c>
      <c r="B1833" s="343" t="str">
        <f>"48.0507"</f>
        <v>48.0507</v>
      </c>
      <c r="C1833" s="75" t="s">
        <v>4680</v>
      </c>
      <c r="D1833" s="127" t="s">
        <v>4681</v>
      </c>
      <c r="E1833" s="232"/>
    </row>
    <row r="1834" spans="1:5" ht="14.55" customHeight="1" outlineLevel="1" x14ac:dyDescent="0.25">
      <c r="A1834" s="230" t="s">
        <v>1422</v>
      </c>
      <c r="B1834" s="343" t="str">
        <f>"48.0508"</f>
        <v>48.0508</v>
      </c>
      <c r="C1834" s="75" t="s">
        <v>4682</v>
      </c>
      <c r="D1834" s="127" t="s">
        <v>4683</v>
      </c>
      <c r="E1834" s="232"/>
    </row>
    <row r="1835" spans="1:5" ht="14.55" customHeight="1" outlineLevel="1" x14ac:dyDescent="0.25">
      <c r="A1835" s="230" t="s">
        <v>1422</v>
      </c>
      <c r="B1835" s="343" t="str">
        <f>"48.0509"</f>
        <v>48.0509</v>
      </c>
      <c r="C1835" s="75" t="s">
        <v>4684</v>
      </c>
      <c r="D1835" s="127" t="s">
        <v>4685</v>
      </c>
      <c r="E1835" s="232"/>
    </row>
    <row r="1836" spans="1:5" ht="14.55" customHeight="1" outlineLevel="1" x14ac:dyDescent="0.25">
      <c r="A1836" s="230" t="s">
        <v>1422</v>
      </c>
      <c r="B1836" s="343" t="str">
        <f>"48.0510"</f>
        <v>48.0510</v>
      </c>
      <c r="C1836" s="75" t="s">
        <v>4686</v>
      </c>
      <c r="D1836" s="127" t="s">
        <v>4687</v>
      </c>
      <c r="E1836" s="232"/>
    </row>
    <row r="1837" spans="1:5" ht="14.55" customHeight="1" outlineLevel="1" x14ac:dyDescent="0.25">
      <c r="A1837" s="230" t="s">
        <v>1422</v>
      </c>
      <c r="B1837" s="343" t="str">
        <f>"48.0511"</f>
        <v>48.0511</v>
      </c>
      <c r="C1837" s="75" t="s">
        <v>4688</v>
      </c>
      <c r="D1837" s="127" t="s">
        <v>4689</v>
      </c>
      <c r="E1837" s="232"/>
    </row>
    <row r="1838" spans="1:5" ht="14.55" customHeight="1" outlineLevel="1" x14ac:dyDescent="0.25">
      <c r="A1838" s="230" t="s">
        <v>1422</v>
      </c>
      <c r="B1838" s="343" t="str">
        <f>"48.0599"</f>
        <v>48.0599</v>
      </c>
      <c r="C1838" s="75" t="s">
        <v>4690</v>
      </c>
      <c r="D1838" s="127" t="s">
        <v>4691</v>
      </c>
      <c r="E1838" s="232"/>
    </row>
    <row r="1839" spans="1:5" ht="14.55" customHeight="1" outlineLevel="1" x14ac:dyDescent="0.25">
      <c r="A1839" s="230" t="s">
        <v>1422</v>
      </c>
      <c r="B1839" s="343" t="str">
        <f>"48.07"</f>
        <v>48.07</v>
      </c>
      <c r="C1839" s="75" t="s">
        <v>4692</v>
      </c>
      <c r="D1839" s="127" t="s">
        <v>4693</v>
      </c>
      <c r="E1839" s="232"/>
    </row>
    <row r="1840" spans="1:5" ht="14.55" customHeight="1" outlineLevel="1" x14ac:dyDescent="0.25">
      <c r="A1840" s="230" t="s">
        <v>1422</v>
      </c>
      <c r="B1840" s="343" t="str">
        <f>"48.0701"</f>
        <v>48.0701</v>
      </c>
      <c r="C1840" s="75" t="s">
        <v>4694</v>
      </c>
      <c r="D1840" s="127" t="s">
        <v>4695</v>
      </c>
      <c r="E1840" s="232"/>
    </row>
    <row r="1841" spans="1:5" ht="14.55" customHeight="1" outlineLevel="1" x14ac:dyDescent="0.25">
      <c r="A1841" s="230" t="s">
        <v>1422</v>
      </c>
      <c r="B1841" s="343" t="str">
        <f>"48.0702"</f>
        <v>48.0702</v>
      </c>
      <c r="C1841" s="75" t="s">
        <v>4696</v>
      </c>
      <c r="D1841" s="127" t="s">
        <v>4697</v>
      </c>
      <c r="E1841" s="232"/>
    </row>
    <row r="1842" spans="1:5" ht="14.55" customHeight="1" outlineLevel="1" x14ac:dyDescent="0.25">
      <c r="A1842" s="230" t="s">
        <v>1422</v>
      </c>
      <c r="B1842" s="343" t="str">
        <f>"48.0703"</f>
        <v>48.0703</v>
      </c>
      <c r="C1842" s="75" t="s">
        <v>4698</v>
      </c>
      <c r="D1842" s="127" t="s">
        <v>4699</v>
      </c>
      <c r="E1842" s="232"/>
    </row>
    <row r="1843" spans="1:5" ht="14.55" customHeight="1" outlineLevel="1" x14ac:dyDescent="0.25">
      <c r="A1843" s="230" t="s">
        <v>1422</v>
      </c>
      <c r="B1843" s="343" t="str">
        <f>"48.0704"</f>
        <v>48.0704</v>
      </c>
      <c r="C1843" s="75" t="s">
        <v>4700</v>
      </c>
      <c r="D1843" s="127" t="s">
        <v>4701</v>
      </c>
      <c r="E1843" s="232"/>
    </row>
    <row r="1844" spans="1:5" ht="14.55" customHeight="1" outlineLevel="1" x14ac:dyDescent="0.25">
      <c r="A1844" s="230" t="s">
        <v>1422</v>
      </c>
      <c r="B1844" s="343" t="str">
        <f>"48.0799"</f>
        <v>48.0799</v>
      </c>
      <c r="C1844" s="75" t="s">
        <v>4702</v>
      </c>
      <c r="D1844" s="127" t="s">
        <v>4703</v>
      </c>
      <c r="E1844" s="232"/>
    </row>
    <row r="1845" spans="1:5" ht="14.55" customHeight="1" outlineLevel="1" x14ac:dyDescent="0.25">
      <c r="A1845" s="230" t="s">
        <v>1422</v>
      </c>
      <c r="B1845" s="343" t="str">
        <f>"48.08"</f>
        <v>48.08</v>
      </c>
      <c r="C1845" s="75" t="s">
        <v>4704</v>
      </c>
      <c r="D1845" s="127" t="s">
        <v>4705</v>
      </c>
      <c r="E1845" s="232"/>
    </row>
    <row r="1846" spans="1:5" ht="14.55" customHeight="1" outlineLevel="1" x14ac:dyDescent="0.25">
      <c r="A1846" s="230" t="s">
        <v>1422</v>
      </c>
      <c r="B1846" s="343" t="str">
        <f>"48.0801"</f>
        <v>48.0801</v>
      </c>
      <c r="C1846" s="75" t="s">
        <v>4704</v>
      </c>
      <c r="D1846" s="127" t="s">
        <v>4706</v>
      </c>
      <c r="E1846" s="232"/>
    </row>
    <row r="1847" spans="1:5" ht="14.55" customHeight="1" outlineLevel="1" x14ac:dyDescent="0.25">
      <c r="A1847" s="230" t="s">
        <v>1422</v>
      </c>
      <c r="B1847" s="343" t="str">
        <f>"48.99"</f>
        <v>48.99</v>
      </c>
      <c r="C1847" s="75" t="s">
        <v>4707</v>
      </c>
      <c r="D1847" s="127" t="s">
        <v>4708</v>
      </c>
      <c r="E1847" s="232"/>
    </row>
    <row r="1848" spans="1:5" ht="14.55" customHeight="1" outlineLevel="1" x14ac:dyDescent="0.25">
      <c r="A1848" s="230" t="s">
        <v>1422</v>
      </c>
      <c r="B1848" s="343" t="str">
        <f>"48.9999"</f>
        <v>48.9999</v>
      </c>
      <c r="C1848" s="75" t="s">
        <v>4707</v>
      </c>
      <c r="D1848" s="127" t="s">
        <v>4709</v>
      </c>
      <c r="E1848" s="232"/>
    </row>
    <row r="1849" spans="1:5" ht="14.55" customHeight="1" outlineLevel="1" x14ac:dyDescent="0.25">
      <c r="A1849" s="230" t="s">
        <v>1422</v>
      </c>
      <c r="B1849" s="343" t="str">
        <f>"49"</f>
        <v>49</v>
      </c>
      <c r="C1849" s="75" t="s">
        <v>4710</v>
      </c>
      <c r="D1849" s="127" t="s">
        <v>4711</v>
      </c>
      <c r="E1849" s="232"/>
    </row>
    <row r="1850" spans="1:5" ht="14.55" customHeight="1" outlineLevel="1" x14ac:dyDescent="0.25">
      <c r="A1850" s="230" t="s">
        <v>1422</v>
      </c>
      <c r="B1850" s="343" t="str">
        <f>"49.01"</f>
        <v>49.01</v>
      </c>
      <c r="C1850" s="75" t="s">
        <v>4712</v>
      </c>
      <c r="D1850" s="127" t="s">
        <v>4713</v>
      </c>
      <c r="E1850" s="232"/>
    </row>
    <row r="1851" spans="1:5" ht="14.55" customHeight="1" outlineLevel="1" x14ac:dyDescent="0.25">
      <c r="A1851" s="230" t="s">
        <v>1422</v>
      </c>
      <c r="B1851" s="343" t="str">
        <f>"49.0101"</f>
        <v>49.0101</v>
      </c>
      <c r="C1851" s="75" t="s">
        <v>4714</v>
      </c>
      <c r="D1851" s="127" t="s">
        <v>4715</v>
      </c>
      <c r="E1851" s="232"/>
    </row>
    <row r="1852" spans="1:5" ht="14.55" customHeight="1" outlineLevel="1" x14ac:dyDescent="0.25">
      <c r="A1852" s="230" t="s">
        <v>1422</v>
      </c>
      <c r="B1852" s="343" t="str">
        <f>"49.0102"</f>
        <v>49.0102</v>
      </c>
      <c r="C1852" s="75" t="s">
        <v>4716</v>
      </c>
      <c r="D1852" s="127" t="s">
        <v>4717</v>
      </c>
      <c r="E1852" s="232"/>
    </row>
    <row r="1853" spans="1:5" ht="14.55" customHeight="1" outlineLevel="1" x14ac:dyDescent="0.25">
      <c r="A1853" s="230" t="s">
        <v>1422</v>
      </c>
      <c r="B1853" s="343" t="str">
        <f>"49.0104"</f>
        <v>49.0104</v>
      </c>
      <c r="C1853" s="75" t="s">
        <v>4718</v>
      </c>
      <c r="D1853" s="127" t="s">
        <v>4719</v>
      </c>
      <c r="E1853" s="232"/>
    </row>
    <row r="1854" spans="1:5" ht="14.55" customHeight="1" outlineLevel="1" x14ac:dyDescent="0.25">
      <c r="A1854" s="230" t="s">
        <v>1422</v>
      </c>
      <c r="B1854" s="343" t="str">
        <f>"49.0105"</f>
        <v>49.0105</v>
      </c>
      <c r="C1854" s="75" t="s">
        <v>4720</v>
      </c>
      <c r="D1854" s="127" t="s">
        <v>4721</v>
      </c>
      <c r="E1854" s="232"/>
    </row>
    <row r="1855" spans="1:5" ht="14.55" customHeight="1" outlineLevel="1" x14ac:dyDescent="0.25">
      <c r="A1855" s="230" t="s">
        <v>1422</v>
      </c>
      <c r="B1855" s="343" t="str">
        <f>"49.0106"</f>
        <v>49.0106</v>
      </c>
      <c r="C1855" s="75" t="s">
        <v>4722</v>
      </c>
      <c r="D1855" s="127" t="s">
        <v>4723</v>
      </c>
      <c r="E1855" s="232"/>
    </row>
    <row r="1856" spans="1:5" ht="14.55" customHeight="1" outlineLevel="1" x14ac:dyDescent="0.25">
      <c r="A1856" s="230" t="s">
        <v>1422</v>
      </c>
      <c r="B1856" s="343" t="str">
        <f>"49.0108"</f>
        <v>49.0108</v>
      </c>
      <c r="C1856" s="75" t="s">
        <v>4724</v>
      </c>
      <c r="D1856" s="127" t="s">
        <v>4725</v>
      </c>
      <c r="E1856" s="232"/>
    </row>
    <row r="1857" spans="1:5" ht="14.55" customHeight="1" outlineLevel="1" x14ac:dyDescent="0.25">
      <c r="A1857" s="230" t="s">
        <v>1422</v>
      </c>
      <c r="B1857" s="343" t="str">
        <f>"49.0199"</f>
        <v>49.0199</v>
      </c>
      <c r="C1857" s="75" t="s">
        <v>4726</v>
      </c>
      <c r="D1857" s="127" t="s">
        <v>4727</v>
      </c>
      <c r="E1857" s="232"/>
    </row>
    <row r="1858" spans="1:5" ht="14.55" customHeight="1" outlineLevel="1" x14ac:dyDescent="0.25">
      <c r="A1858" s="230" t="s">
        <v>1422</v>
      </c>
      <c r="B1858" s="343" t="str">
        <f>"49.02"</f>
        <v>49.02</v>
      </c>
      <c r="C1858" s="75" t="s">
        <v>4728</v>
      </c>
      <c r="D1858" s="127" t="s">
        <v>4729</v>
      </c>
      <c r="E1858" s="232"/>
    </row>
    <row r="1859" spans="1:5" ht="14.55" customHeight="1" outlineLevel="1" x14ac:dyDescent="0.25">
      <c r="A1859" s="230" t="s">
        <v>1422</v>
      </c>
      <c r="B1859" s="343" t="str">
        <f>"49.0202"</f>
        <v>49.0202</v>
      </c>
      <c r="C1859" s="75" t="s">
        <v>4730</v>
      </c>
      <c r="D1859" s="127" t="s">
        <v>13464</v>
      </c>
      <c r="E1859" s="232"/>
    </row>
    <row r="1860" spans="1:5" ht="14.55" customHeight="1" outlineLevel="1" x14ac:dyDescent="0.25">
      <c r="A1860" s="230" t="s">
        <v>1422</v>
      </c>
      <c r="B1860" s="343" t="str">
        <f>"49.0205"</f>
        <v>49.0205</v>
      </c>
      <c r="C1860" s="75" t="s">
        <v>4731</v>
      </c>
      <c r="D1860" s="127" t="s">
        <v>13465</v>
      </c>
      <c r="E1860" s="232"/>
    </row>
    <row r="1861" spans="1:5" ht="14.55" customHeight="1" outlineLevel="1" x14ac:dyDescent="0.25">
      <c r="A1861" s="230" t="s">
        <v>1422</v>
      </c>
      <c r="B1861" s="343" t="str">
        <f>"49.0206"</f>
        <v>49.0206</v>
      </c>
      <c r="C1861" s="75" t="s">
        <v>4732</v>
      </c>
      <c r="D1861" s="127" t="s">
        <v>4733</v>
      </c>
      <c r="E1861" s="232"/>
    </row>
    <row r="1862" spans="1:5" ht="14.55" customHeight="1" outlineLevel="1" x14ac:dyDescent="0.25">
      <c r="A1862" s="230" t="s">
        <v>1422</v>
      </c>
      <c r="B1862" s="343" t="str">
        <f>"49.0207"</f>
        <v>49.0207</v>
      </c>
      <c r="C1862" s="75" t="s">
        <v>4734</v>
      </c>
      <c r="D1862" s="127" t="s">
        <v>4735</v>
      </c>
      <c r="E1862" s="232"/>
    </row>
    <row r="1863" spans="1:5" ht="14.55" customHeight="1" outlineLevel="1" x14ac:dyDescent="0.25">
      <c r="A1863" s="230" t="s">
        <v>1422</v>
      </c>
      <c r="B1863" s="343" t="str">
        <f>"49.0208"</f>
        <v>49.0208</v>
      </c>
      <c r="C1863" s="75" t="s">
        <v>4736</v>
      </c>
      <c r="D1863" s="127" t="s">
        <v>4737</v>
      </c>
      <c r="E1863" s="232"/>
    </row>
    <row r="1864" spans="1:5" ht="14.55" customHeight="1" outlineLevel="1" x14ac:dyDescent="0.25">
      <c r="A1864" s="230" t="s">
        <v>1422</v>
      </c>
      <c r="B1864" s="343" t="str">
        <f>"49.0209"</f>
        <v>49.0209</v>
      </c>
      <c r="C1864" s="75" t="s">
        <v>4738</v>
      </c>
      <c r="D1864" s="127" t="s">
        <v>4739</v>
      </c>
      <c r="E1864" s="232"/>
    </row>
    <row r="1865" spans="1:5" ht="14.55" customHeight="1" outlineLevel="1" x14ac:dyDescent="0.25">
      <c r="A1865" s="230" t="s">
        <v>1422</v>
      </c>
      <c r="B1865" s="343" t="str">
        <f>"49.0299"</f>
        <v>49.0299</v>
      </c>
      <c r="C1865" s="75" t="s">
        <v>4740</v>
      </c>
      <c r="D1865" s="127" t="s">
        <v>4741</v>
      </c>
      <c r="E1865" s="232"/>
    </row>
    <row r="1866" spans="1:5" ht="14.55" customHeight="1" outlineLevel="1" x14ac:dyDescent="0.25">
      <c r="A1866" s="230" t="s">
        <v>1422</v>
      </c>
      <c r="B1866" s="343" t="str">
        <f>"49.03"</f>
        <v>49.03</v>
      </c>
      <c r="C1866" s="75" t="s">
        <v>4742</v>
      </c>
      <c r="D1866" s="127" t="s">
        <v>4743</v>
      </c>
      <c r="E1866" s="232"/>
    </row>
    <row r="1867" spans="1:5" ht="14.55" customHeight="1" outlineLevel="1" x14ac:dyDescent="0.25">
      <c r="A1867" s="230" t="s">
        <v>1422</v>
      </c>
      <c r="B1867" s="343" t="str">
        <f>"49.0303"</f>
        <v>49.0303</v>
      </c>
      <c r="C1867" s="75" t="s">
        <v>4744</v>
      </c>
      <c r="D1867" s="127" t="s">
        <v>4745</v>
      </c>
      <c r="E1867" s="232"/>
    </row>
    <row r="1868" spans="1:5" ht="14.55" customHeight="1" outlineLevel="1" x14ac:dyDescent="0.25">
      <c r="A1868" s="230" t="s">
        <v>1422</v>
      </c>
      <c r="B1868" s="343" t="str">
        <f>"49.0304"</f>
        <v>49.0304</v>
      </c>
      <c r="C1868" s="75" t="s">
        <v>4746</v>
      </c>
      <c r="D1868" s="127" t="s">
        <v>4747</v>
      </c>
      <c r="E1868" s="232"/>
    </row>
    <row r="1869" spans="1:5" ht="14.55" customHeight="1" outlineLevel="1" x14ac:dyDescent="0.25">
      <c r="A1869" s="230" t="s">
        <v>1422</v>
      </c>
      <c r="B1869" s="343" t="str">
        <f>"49.0309"</f>
        <v>49.0309</v>
      </c>
      <c r="C1869" s="75" t="s">
        <v>4748</v>
      </c>
      <c r="D1869" s="127" t="s">
        <v>4749</v>
      </c>
      <c r="E1869" s="232"/>
    </row>
    <row r="1870" spans="1:5" ht="14.55" customHeight="1" outlineLevel="1" x14ac:dyDescent="0.25">
      <c r="A1870" s="230" t="s">
        <v>1422</v>
      </c>
      <c r="B1870" s="343" t="str">
        <f>"49.0399"</f>
        <v>49.0399</v>
      </c>
      <c r="C1870" s="75" t="s">
        <v>4750</v>
      </c>
      <c r="D1870" s="127" t="s">
        <v>4751</v>
      </c>
      <c r="E1870" s="232"/>
    </row>
    <row r="1871" spans="1:5" ht="14.55" customHeight="1" outlineLevel="1" x14ac:dyDescent="0.25">
      <c r="A1871" s="230" t="s">
        <v>1422</v>
      </c>
      <c r="B1871" s="343" t="str">
        <f>"49.99"</f>
        <v>49.99</v>
      </c>
      <c r="C1871" s="75" t="s">
        <v>4752</v>
      </c>
      <c r="D1871" s="127" t="s">
        <v>4753</v>
      </c>
      <c r="E1871" s="232"/>
    </row>
    <row r="1872" spans="1:5" ht="14.55" customHeight="1" outlineLevel="1" x14ac:dyDescent="0.25">
      <c r="A1872" s="230" t="s">
        <v>1422</v>
      </c>
      <c r="B1872" s="343" t="str">
        <f>"49.9999"</f>
        <v>49.9999</v>
      </c>
      <c r="C1872" s="75" t="s">
        <v>4752</v>
      </c>
      <c r="D1872" s="127" t="s">
        <v>4754</v>
      </c>
      <c r="E1872" s="232"/>
    </row>
    <row r="1873" spans="1:5" ht="14.55" customHeight="1" outlineLevel="1" x14ac:dyDescent="0.25">
      <c r="A1873" s="230" t="s">
        <v>1422</v>
      </c>
      <c r="B1873" s="343" t="str">
        <f>"50"</f>
        <v>50</v>
      </c>
      <c r="C1873" s="75" t="s">
        <v>4755</v>
      </c>
      <c r="D1873" s="127" t="s">
        <v>4756</v>
      </c>
      <c r="E1873" s="232"/>
    </row>
    <row r="1874" spans="1:5" ht="14.55" customHeight="1" outlineLevel="1" x14ac:dyDescent="0.25">
      <c r="A1874" s="230" t="s">
        <v>1422</v>
      </c>
      <c r="B1874" s="343" t="str">
        <f>"50.01"</f>
        <v>50.01</v>
      </c>
      <c r="C1874" s="75" t="s">
        <v>4757</v>
      </c>
      <c r="D1874" s="127" t="s">
        <v>4758</v>
      </c>
      <c r="E1874" s="232"/>
    </row>
    <row r="1875" spans="1:5" ht="14.55" customHeight="1" outlineLevel="1" x14ac:dyDescent="0.25">
      <c r="A1875" s="230" t="s">
        <v>1422</v>
      </c>
      <c r="B1875" s="343" t="str">
        <f>"50.0101"</f>
        <v>50.0101</v>
      </c>
      <c r="C1875" s="75" t="s">
        <v>4757</v>
      </c>
      <c r="D1875" s="127" t="s">
        <v>4759</v>
      </c>
      <c r="E1875" s="232"/>
    </row>
    <row r="1876" spans="1:5" ht="14.55" customHeight="1" outlineLevel="1" x14ac:dyDescent="0.25">
      <c r="A1876" s="230" t="s">
        <v>1422</v>
      </c>
      <c r="B1876" s="343" t="str">
        <f>"50.0102"</f>
        <v>50.0102</v>
      </c>
      <c r="C1876" s="75" t="s">
        <v>4760</v>
      </c>
      <c r="D1876" s="127" t="s">
        <v>4761</v>
      </c>
      <c r="E1876" s="232"/>
    </row>
    <row r="1877" spans="1:5" ht="14.55" customHeight="1" outlineLevel="1" x14ac:dyDescent="0.25">
      <c r="A1877" s="230" t="s">
        <v>1422</v>
      </c>
      <c r="B1877" s="343" t="str">
        <f>"50.02"</f>
        <v>50.02</v>
      </c>
      <c r="C1877" s="75" t="s">
        <v>4762</v>
      </c>
      <c r="D1877" s="127" t="s">
        <v>4763</v>
      </c>
      <c r="E1877" s="232"/>
    </row>
    <row r="1878" spans="1:5" ht="14.55" customHeight="1" outlineLevel="1" x14ac:dyDescent="0.25">
      <c r="A1878" s="230" t="s">
        <v>1422</v>
      </c>
      <c r="B1878" s="343" t="str">
        <f>"50.0201"</f>
        <v>50.0201</v>
      </c>
      <c r="C1878" s="75" t="s">
        <v>4762</v>
      </c>
      <c r="D1878" s="127" t="s">
        <v>4764</v>
      </c>
      <c r="E1878" s="232"/>
    </row>
    <row r="1879" spans="1:5" ht="14.55" customHeight="1" outlineLevel="1" x14ac:dyDescent="0.25">
      <c r="A1879" s="230" t="s">
        <v>1422</v>
      </c>
      <c r="B1879" s="343" t="str">
        <f>"50.03"</f>
        <v>50.03</v>
      </c>
      <c r="C1879" s="75" t="s">
        <v>4765</v>
      </c>
      <c r="D1879" s="127" t="s">
        <v>4766</v>
      </c>
      <c r="E1879" s="232"/>
    </row>
    <row r="1880" spans="1:5" ht="14.55" customHeight="1" outlineLevel="1" x14ac:dyDescent="0.25">
      <c r="A1880" s="230" t="s">
        <v>1422</v>
      </c>
      <c r="B1880" s="343" t="str">
        <f>"50.0301"</f>
        <v>50.0301</v>
      </c>
      <c r="C1880" s="75" t="s">
        <v>4767</v>
      </c>
      <c r="D1880" s="127" t="s">
        <v>4768</v>
      </c>
      <c r="E1880" s="232"/>
    </row>
    <row r="1881" spans="1:5" ht="14.55" customHeight="1" outlineLevel="1" x14ac:dyDescent="0.25">
      <c r="A1881" s="230" t="s">
        <v>1422</v>
      </c>
      <c r="B1881" s="343" t="str">
        <f>"50.0302"</f>
        <v>50.0302</v>
      </c>
      <c r="C1881" s="75" t="s">
        <v>4769</v>
      </c>
      <c r="D1881" s="127" t="s">
        <v>4770</v>
      </c>
      <c r="E1881" s="232"/>
    </row>
    <row r="1882" spans="1:5" ht="14.55" customHeight="1" outlineLevel="1" x14ac:dyDescent="0.25">
      <c r="A1882" s="230" t="s">
        <v>1422</v>
      </c>
      <c r="B1882" s="343" t="str">
        <f>"50.0399"</f>
        <v>50.0399</v>
      </c>
      <c r="C1882" s="75" t="s">
        <v>4771</v>
      </c>
      <c r="D1882" s="127" t="s">
        <v>4772</v>
      </c>
      <c r="E1882" s="232"/>
    </row>
    <row r="1883" spans="1:5" ht="14.55" customHeight="1" outlineLevel="1" x14ac:dyDescent="0.25">
      <c r="A1883" s="230" t="s">
        <v>1422</v>
      </c>
      <c r="B1883" s="343" t="str">
        <f>"50.04"</f>
        <v>50.04</v>
      </c>
      <c r="C1883" s="75" t="s">
        <v>4773</v>
      </c>
      <c r="D1883" s="127" t="s">
        <v>4774</v>
      </c>
      <c r="E1883" s="232"/>
    </row>
    <row r="1884" spans="1:5" ht="14.55" customHeight="1" outlineLevel="1" x14ac:dyDescent="0.25">
      <c r="A1884" s="230" t="s">
        <v>1422</v>
      </c>
      <c r="B1884" s="343" t="str">
        <f>"50.0401"</f>
        <v>50.0401</v>
      </c>
      <c r="C1884" s="75" t="s">
        <v>4775</v>
      </c>
      <c r="D1884" s="127" t="s">
        <v>4776</v>
      </c>
      <c r="E1884" s="232"/>
    </row>
    <row r="1885" spans="1:5" ht="14.55" customHeight="1" outlineLevel="1" x14ac:dyDescent="0.25">
      <c r="A1885" s="230" t="s">
        <v>1422</v>
      </c>
      <c r="B1885" s="343" t="str">
        <f>"50.0402"</f>
        <v>50.0402</v>
      </c>
      <c r="C1885" s="75" t="s">
        <v>4777</v>
      </c>
      <c r="D1885" s="127" t="s">
        <v>4778</v>
      </c>
      <c r="E1885" s="232"/>
    </row>
    <row r="1886" spans="1:5" ht="14.55" customHeight="1" outlineLevel="1" x14ac:dyDescent="0.25">
      <c r="A1886" s="230" t="s">
        <v>1422</v>
      </c>
      <c r="B1886" s="343" t="str">
        <f>"50.0404"</f>
        <v>50.0404</v>
      </c>
      <c r="C1886" s="75" t="s">
        <v>4779</v>
      </c>
      <c r="D1886" s="127" t="s">
        <v>4780</v>
      </c>
      <c r="E1886" s="232"/>
    </row>
    <row r="1887" spans="1:5" ht="14.55" customHeight="1" outlineLevel="1" x14ac:dyDescent="0.25">
      <c r="A1887" s="230" t="s">
        <v>1422</v>
      </c>
      <c r="B1887" s="343" t="str">
        <f>"50.0406"</f>
        <v>50.0406</v>
      </c>
      <c r="C1887" s="75" t="s">
        <v>4781</v>
      </c>
      <c r="D1887" s="127" t="s">
        <v>4782</v>
      </c>
      <c r="E1887" s="232"/>
    </row>
    <row r="1888" spans="1:5" ht="14.55" customHeight="1" outlineLevel="1" x14ac:dyDescent="0.25">
      <c r="A1888" s="230" t="s">
        <v>1422</v>
      </c>
      <c r="B1888" s="343" t="str">
        <f>"50.0407"</f>
        <v>50.0407</v>
      </c>
      <c r="C1888" s="75" t="s">
        <v>4783</v>
      </c>
      <c r="D1888" s="127" t="s">
        <v>4784</v>
      </c>
      <c r="E1888" s="232"/>
    </row>
    <row r="1889" spans="1:5" ht="14.55" customHeight="1" outlineLevel="1" x14ac:dyDescent="0.25">
      <c r="A1889" s="230" t="s">
        <v>1422</v>
      </c>
      <c r="B1889" s="343" t="str">
        <f>"50.0408"</f>
        <v>50.0408</v>
      </c>
      <c r="C1889" s="75" t="s">
        <v>4785</v>
      </c>
      <c r="D1889" s="127" t="s">
        <v>4786</v>
      </c>
      <c r="E1889" s="232"/>
    </row>
    <row r="1890" spans="1:5" ht="14.55" customHeight="1" outlineLevel="1" x14ac:dyDescent="0.25">
      <c r="A1890" s="230" t="s">
        <v>1422</v>
      </c>
      <c r="B1890" s="343" t="str">
        <f>"50.0409"</f>
        <v>50.0409</v>
      </c>
      <c r="C1890" s="75" t="s">
        <v>4787</v>
      </c>
      <c r="D1890" s="127" t="s">
        <v>4788</v>
      </c>
      <c r="E1890" s="232"/>
    </row>
    <row r="1891" spans="1:5" ht="14.55" customHeight="1" outlineLevel="1" x14ac:dyDescent="0.25">
      <c r="A1891" s="230" t="s">
        <v>1422</v>
      </c>
      <c r="B1891" s="343" t="str">
        <f>"50.0410"</f>
        <v>50.0410</v>
      </c>
      <c r="C1891" s="75" t="s">
        <v>4789</v>
      </c>
      <c r="D1891" s="127" t="s">
        <v>4790</v>
      </c>
      <c r="E1891" s="232"/>
    </row>
    <row r="1892" spans="1:5" ht="14.55" customHeight="1" outlineLevel="1" x14ac:dyDescent="0.25">
      <c r="A1892" s="230" t="s">
        <v>1422</v>
      </c>
      <c r="B1892" s="343" t="str">
        <f>"50.0411"</f>
        <v>50.0411</v>
      </c>
      <c r="C1892" s="75" t="s">
        <v>4791</v>
      </c>
      <c r="D1892" s="127" t="s">
        <v>4792</v>
      </c>
      <c r="E1892" s="232"/>
    </row>
    <row r="1893" spans="1:5" ht="14.55" customHeight="1" outlineLevel="1" x14ac:dyDescent="0.25">
      <c r="A1893" s="230" t="s">
        <v>1422</v>
      </c>
      <c r="B1893" s="343" t="str">
        <f>"50.0499"</f>
        <v>50.0499</v>
      </c>
      <c r="C1893" s="75" t="s">
        <v>4793</v>
      </c>
      <c r="D1893" s="127" t="s">
        <v>4794</v>
      </c>
      <c r="E1893" s="232"/>
    </row>
    <row r="1894" spans="1:5" ht="14.55" customHeight="1" outlineLevel="1" x14ac:dyDescent="0.25">
      <c r="A1894" s="230" t="s">
        <v>1422</v>
      </c>
      <c r="B1894" s="343" t="str">
        <f>"50.05"</f>
        <v>50.05</v>
      </c>
      <c r="C1894" s="75" t="s">
        <v>4795</v>
      </c>
      <c r="D1894" s="127" t="s">
        <v>4796</v>
      </c>
      <c r="E1894" s="232"/>
    </row>
    <row r="1895" spans="1:5" ht="14.55" customHeight="1" outlineLevel="1" x14ac:dyDescent="0.25">
      <c r="A1895" s="230" t="s">
        <v>1422</v>
      </c>
      <c r="B1895" s="343" t="str">
        <f>"50.0501"</f>
        <v>50.0501</v>
      </c>
      <c r="C1895" s="75" t="s">
        <v>4797</v>
      </c>
      <c r="D1895" s="127" t="s">
        <v>4798</v>
      </c>
      <c r="E1895" s="232"/>
    </row>
    <row r="1896" spans="1:5" ht="14.55" customHeight="1" outlineLevel="1" x14ac:dyDescent="0.25">
      <c r="A1896" s="230" t="s">
        <v>1422</v>
      </c>
      <c r="B1896" s="343" t="str">
        <f>"50.0502"</f>
        <v>50.0502</v>
      </c>
      <c r="C1896" s="75" t="s">
        <v>4799</v>
      </c>
      <c r="D1896" s="127" t="s">
        <v>4800</v>
      </c>
      <c r="E1896" s="232"/>
    </row>
    <row r="1897" spans="1:5" ht="14.55" customHeight="1" outlineLevel="1" x14ac:dyDescent="0.25">
      <c r="A1897" s="230" t="s">
        <v>1422</v>
      </c>
      <c r="B1897" s="343" t="str">
        <f>"50.0504"</f>
        <v>50.0504</v>
      </c>
      <c r="C1897" s="75" t="s">
        <v>4801</v>
      </c>
      <c r="D1897" s="127" t="s">
        <v>4802</v>
      </c>
      <c r="E1897" s="232"/>
    </row>
    <row r="1898" spans="1:5" ht="14.55" customHeight="1" outlineLevel="1" x14ac:dyDescent="0.25">
      <c r="A1898" s="230" t="s">
        <v>1422</v>
      </c>
      <c r="B1898" s="343" t="str">
        <f>"50.0505"</f>
        <v>50.0505</v>
      </c>
      <c r="C1898" s="75" t="s">
        <v>4803</v>
      </c>
      <c r="D1898" s="127" t="s">
        <v>4804</v>
      </c>
      <c r="E1898" s="232"/>
    </row>
    <row r="1899" spans="1:5" ht="14.55" customHeight="1" outlineLevel="1" x14ac:dyDescent="0.25">
      <c r="A1899" s="230" t="s">
        <v>1422</v>
      </c>
      <c r="B1899" s="343" t="str">
        <f>"50.0506"</f>
        <v>50.0506</v>
      </c>
      <c r="C1899" s="75" t="s">
        <v>4805</v>
      </c>
      <c r="D1899" s="127" t="s">
        <v>4806</v>
      </c>
      <c r="E1899" s="232"/>
    </row>
    <row r="1900" spans="1:5" ht="14.55" customHeight="1" outlineLevel="1" x14ac:dyDescent="0.25">
      <c r="A1900" s="230" t="s">
        <v>1422</v>
      </c>
      <c r="B1900" s="343" t="str">
        <f>"50.0507"</f>
        <v>50.0507</v>
      </c>
      <c r="C1900" s="75" t="s">
        <v>4807</v>
      </c>
      <c r="D1900" s="127" t="s">
        <v>4808</v>
      </c>
      <c r="E1900" s="232"/>
    </row>
    <row r="1901" spans="1:5" ht="14.55" customHeight="1" outlineLevel="1" x14ac:dyDescent="0.25">
      <c r="A1901" s="230" t="s">
        <v>1422</v>
      </c>
      <c r="B1901" s="343" t="str">
        <f>"50.0509"</f>
        <v>50.0509</v>
      </c>
      <c r="C1901" s="75" t="s">
        <v>4809</v>
      </c>
      <c r="D1901" s="127" t="s">
        <v>4810</v>
      </c>
      <c r="E1901" s="232"/>
    </row>
    <row r="1902" spans="1:5" ht="14.55" customHeight="1" outlineLevel="1" x14ac:dyDescent="0.25">
      <c r="A1902" s="230" t="s">
        <v>1422</v>
      </c>
      <c r="B1902" s="343" t="str">
        <f>"50.0510"</f>
        <v>50.0510</v>
      </c>
      <c r="C1902" s="75" t="s">
        <v>4811</v>
      </c>
      <c r="D1902" s="127" t="s">
        <v>4812</v>
      </c>
      <c r="E1902" s="232"/>
    </row>
    <row r="1903" spans="1:5" ht="14.55" customHeight="1" outlineLevel="1" x14ac:dyDescent="0.25">
      <c r="A1903" s="230" t="s">
        <v>1422</v>
      </c>
      <c r="B1903" s="343" t="str">
        <f>"50.0511"</f>
        <v>50.0511</v>
      </c>
      <c r="C1903" s="75" t="s">
        <v>4813</v>
      </c>
      <c r="D1903" s="127" t="s">
        <v>4814</v>
      </c>
      <c r="E1903" s="232"/>
    </row>
    <row r="1904" spans="1:5" ht="14.55" customHeight="1" outlineLevel="1" x14ac:dyDescent="0.25">
      <c r="A1904" s="230" t="s">
        <v>1422</v>
      </c>
      <c r="B1904" s="343" t="str">
        <f>"50.0512"</f>
        <v>50.0512</v>
      </c>
      <c r="C1904" s="75" t="s">
        <v>4815</v>
      </c>
      <c r="D1904" s="127" t="s">
        <v>4816</v>
      </c>
      <c r="E1904" s="232"/>
    </row>
    <row r="1905" spans="1:5" ht="14.55" customHeight="1" outlineLevel="1" x14ac:dyDescent="0.25">
      <c r="A1905" s="230" t="s">
        <v>1422</v>
      </c>
      <c r="B1905" s="343" t="str">
        <f>"50.0599"</f>
        <v>50.0599</v>
      </c>
      <c r="C1905" s="75" t="s">
        <v>4817</v>
      </c>
      <c r="D1905" s="127" t="s">
        <v>4818</v>
      </c>
      <c r="E1905" s="232"/>
    </row>
    <row r="1906" spans="1:5" ht="14.55" customHeight="1" outlineLevel="1" x14ac:dyDescent="0.25">
      <c r="A1906" s="230" t="s">
        <v>1422</v>
      </c>
      <c r="B1906" s="343" t="str">
        <f>"50.06"</f>
        <v>50.06</v>
      </c>
      <c r="C1906" s="75" t="s">
        <v>4819</v>
      </c>
      <c r="D1906" s="127" t="s">
        <v>4820</v>
      </c>
      <c r="E1906" s="232"/>
    </row>
    <row r="1907" spans="1:5" ht="14.55" customHeight="1" outlineLevel="1" x14ac:dyDescent="0.25">
      <c r="A1907" s="230" t="s">
        <v>1422</v>
      </c>
      <c r="B1907" s="343" t="str">
        <f>"50.0601"</f>
        <v>50.0601</v>
      </c>
      <c r="C1907" s="75" t="s">
        <v>4821</v>
      </c>
      <c r="D1907" s="127" t="s">
        <v>4822</v>
      </c>
      <c r="E1907" s="232"/>
    </row>
    <row r="1908" spans="1:5" ht="14.55" customHeight="1" outlineLevel="1" x14ac:dyDescent="0.25">
      <c r="A1908" s="230" t="s">
        <v>1422</v>
      </c>
      <c r="B1908" s="343" t="str">
        <f>"50.0602"</f>
        <v>50.0602</v>
      </c>
      <c r="C1908" s="75" t="s">
        <v>4823</v>
      </c>
      <c r="D1908" s="127" t="s">
        <v>4824</v>
      </c>
      <c r="E1908" s="232"/>
    </row>
    <row r="1909" spans="1:5" ht="14.55" customHeight="1" outlineLevel="1" x14ac:dyDescent="0.25">
      <c r="A1909" s="230" t="s">
        <v>1422</v>
      </c>
      <c r="B1909" s="343" t="str">
        <f>"50.0605"</f>
        <v>50.0605</v>
      </c>
      <c r="C1909" s="75" t="s">
        <v>4825</v>
      </c>
      <c r="D1909" s="127" t="s">
        <v>4826</v>
      </c>
      <c r="E1909" s="232"/>
    </row>
    <row r="1910" spans="1:5" ht="14.55" customHeight="1" outlineLevel="1" x14ac:dyDescent="0.25">
      <c r="A1910" s="230" t="s">
        <v>1422</v>
      </c>
      <c r="B1910" s="343" t="str">
        <f>"50.0607"</f>
        <v>50.0607</v>
      </c>
      <c r="C1910" s="75" t="s">
        <v>4827</v>
      </c>
      <c r="D1910" s="127" t="s">
        <v>4828</v>
      </c>
      <c r="E1910" s="232"/>
    </row>
    <row r="1911" spans="1:5" ht="14.55" customHeight="1" outlineLevel="1" x14ac:dyDescent="0.25">
      <c r="A1911" s="230" t="s">
        <v>1422</v>
      </c>
      <c r="B1911" s="343" t="str">
        <f>"50.0699"</f>
        <v>50.0699</v>
      </c>
      <c r="C1911" s="75" t="s">
        <v>4829</v>
      </c>
      <c r="D1911" s="127" t="s">
        <v>4830</v>
      </c>
      <c r="E1911" s="232"/>
    </row>
    <row r="1912" spans="1:5" ht="14.55" customHeight="1" outlineLevel="1" x14ac:dyDescent="0.25">
      <c r="A1912" s="230" t="s">
        <v>1422</v>
      </c>
      <c r="B1912" s="343" t="str">
        <f>"50.07"</f>
        <v>50.07</v>
      </c>
      <c r="C1912" s="75" t="s">
        <v>4831</v>
      </c>
      <c r="D1912" s="127" t="s">
        <v>4832</v>
      </c>
      <c r="E1912" s="232"/>
    </row>
    <row r="1913" spans="1:5" ht="14.55" customHeight="1" outlineLevel="1" x14ac:dyDescent="0.25">
      <c r="A1913" s="230" t="s">
        <v>1422</v>
      </c>
      <c r="B1913" s="343" t="str">
        <f>"50.0701"</f>
        <v>50.0701</v>
      </c>
      <c r="C1913" s="75" t="s">
        <v>4833</v>
      </c>
      <c r="D1913" s="127" t="s">
        <v>4834</v>
      </c>
      <c r="E1913" s="232"/>
    </row>
    <row r="1914" spans="1:5" ht="14.55" customHeight="1" outlineLevel="1" x14ac:dyDescent="0.25">
      <c r="A1914" s="230" t="s">
        <v>1422</v>
      </c>
      <c r="B1914" s="343" t="str">
        <f>"50.0702"</f>
        <v>50.0702</v>
      </c>
      <c r="C1914" s="75" t="s">
        <v>4835</v>
      </c>
      <c r="D1914" s="127" t="s">
        <v>4836</v>
      </c>
      <c r="E1914" s="232"/>
    </row>
    <row r="1915" spans="1:5" ht="14.55" customHeight="1" outlineLevel="1" x14ac:dyDescent="0.25">
      <c r="A1915" s="230" t="s">
        <v>1422</v>
      </c>
      <c r="B1915" s="343" t="str">
        <f>"50.0703"</f>
        <v>50.0703</v>
      </c>
      <c r="C1915" s="75" t="s">
        <v>4837</v>
      </c>
      <c r="D1915" s="127" t="s">
        <v>4838</v>
      </c>
      <c r="E1915" s="232"/>
    </row>
    <row r="1916" spans="1:5" ht="14.55" customHeight="1" outlineLevel="1" x14ac:dyDescent="0.25">
      <c r="A1916" s="230" t="s">
        <v>1422</v>
      </c>
      <c r="B1916" s="343" t="str">
        <f>"50.0705"</f>
        <v>50.0705</v>
      </c>
      <c r="C1916" s="75" t="s">
        <v>4839</v>
      </c>
      <c r="D1916" s="127" t="s">
        <v>4840</v>
      </c>
      <c r="E1916" s="232"/>
    </row>
    <row r="1917" spans="1:5" ht="14.55" customHeight="1" outlineLevel="1" x14ac:dyDescent="0.25">
      <c r="A1917" s="230" t="s">
        <v>1422</v>
      </c>
      <c r="B1917" s="343" t="str">
        <f>"50.0706"</f>
        <v>50.0706</v>
      </c>
      <c r="C1917" s="75" t="s">
        <v>4841</v>
      </c>
      <c r="D1917" s="127" t="s">
        <v>4842</v>
      </c>
      <c r="E1917" s="232"/>
    </row>
    <row r="1918" spans="1:5" ht="14.55" customHeight="1" outlineLevel="1" x14ac:dyDescent="0.25">
      <c r="A1918" s="230" t="s">
        <v>1422</v>
      </c>
      <c r="B1918" s="343" t="str">
        <f>"50.0708"</f>
        <v>50.0708</v>
      </c>
      <c r="C1918" s="75" t="s">
        <v>4843</v>
      </c>
      <c r="D1918" s="127" t="s">
        <v>4844</v>
      </c>
      <c r="E1918" s="232"/>
    </row>
    <row r="1919" spans="1:5" ht="14.55" customHeight="1" outlineLevel="1" x14ac:dyDescent="0.25">
      <c r="A1919" s="230" t="s">
        <v>1422</v>
      </c>
      <c r="B1919" s="343" t="str">
        <f>"50.0709"</f>
        <v>50.0709</v>
      </c>
      <c r="C1919" s="75" t="s">
        <v>4845</v>
      </c>
      <c r="D1919" s="127" t="s">
        <v>4846</v>
      </c>
      <c r="E1919" s="232"/>
    </row>
    <row r="1920" spans="1:5" ht="14.55" customHeight="1" outlineLevel="1" x14ac:dyDescent="0.25">
      <c r="A1920" s="230" t="s">
        <v>1422</v>
      </c>
      <c r="B1920" s="343" t="str">
        <f>"50.0710"</f>
        <v>50.0710</v>
      </c>
      <c r="C1920" s="75" t="s">
        <v>4847</v>
      </c>
      <c r="D1920" s="127" t="s">
        <v>4848</v>
      </c>
      <c r="E1920" s="232"/>
    </row>
    <row r="1921" spans="1:5" ht="14.55" customHeight="1" outlineLevel="1" x14ac:dyDescent="0.25">
      <c r="A1921" s="230" t="s">
        <v>1422</v>
      </c>
      <c r="B1921" s="343" t="str">
        <f>"50.0711"</f>
        <v>50.0711</v>
      </c>
      <c r="C1921" s="75" t="s">
        <v>4849</v>
      </c>
      <c r="D1921" s="127" t="s">
        <v>4850</v>
      </c>
      <c r="E1921" s="232"/>
    </row>
    <row r="1922" spans="1:5" ht="14.55" customHeight="1" outlineLevel="1" x14ac:dyDescent="0.25">
      <c r="A1922" s="230" t="s">
        <v>1422</v>
      </c>
      <c r="B1922" s="343" t="str">
        <f>"50.0712"</f>
        <v>50.0712</v>
      </c>
      <c r="C1922" s="75" t="s">
        <v>4851</v>
      </c>
      <c r="D1922" s="127" t="s">
        <v>4852</v>
      </c>
      <c r="E1922" s="232"/>
    </row>
    <row r="1923" spans="1:5" ht="14.55" customHeight="1" outlineLevel="1" x14ac:dyDescent="0.25">
      <c r="A1923" s="230" t="s">
        <v>1422</v>
      </c>
      <c r="B1923" s="343" t="str">
        <f>"50.0713"</f>
        <v>50.0713</v>
      </c>
      <c r="C1923" s="75" t="s">
        <v>4853</v>
      </c>
      <c r="D1923" s="127" t="s">
        <v>4854</v>
      </c>
      <c r="E1923" s="232"/>
    </row>
    <row r="1924" spans="1:5" ht="14.55" customHeight="1" outlineLevel="1" x14ac:dyDescent="0.25">
      <c r="A1924" s="230" t="s">
        <v>1422</v>
      </c>
      <c r="B1924" s="343" t="str">
        <f>"50.0714"</f>
        <v>50.0714</v>
      </c>
      <c r="C1924" s="75" t="s">
        <v>4855</v>
      </c>
      <c r="D1924" s="127" t="s">
        <v>4856</v>
      </c>
      <c r="E1924" s="232"/>
    </row>
    <row r="1925" spans="1:5" ht="14.55" customHeight="1" outlineLevel="1" x14ac:dyDescent="0.25">
      <c r="A1925" s="230" t="s">
        <v>1422</v>
      </c>
      <c r="B1925" s="343" t="str">
        <f>"50.0799"</f>
        <v>50.0799</v>
      </c>
      <c r="C1925" s="75" t="s">
        <v>4857</v>
      </c>
      <c r="D1925" s="127" t="s">
        <v>4858</v>
      </c>
      <c r="E1925" s="232"/>
    </row>
    <row r="1926" spans="1:5" ht="14.55" customHeight="1" outlineLevel="1" x14ac:dyDescent="0.25">
      <c r="A1926" s="230" t="s">
        <v>1422</v>
      </c>
      <c r="B1926" s="343" t="str">
        <f>"50.09"</f>
        <v>50.09</v>
      </c>
      <c r="C1926" s="75" t="s">
        <v>3904</v>
      </c>
      <c r="D1926" s="127" t="s">
        <v>4859</v>
      </c>
      <c r="E1926" s="232"/>
    </row>
    <row r="1927" spans="1:5" ht="14.55" customHeight="1" outlineLevel="1" x14ac:dyDescent="0.25">
      <c r="A1927" s="230" t="s">
        <v>1422</v>
      </c>
      <c r="B1927" s="343" t="str">
        <f>"50.0901"</f>
        <v>50.0901</v>
      </c>
      <c r="C1927" s="75" t="s">
        <v>4860</v>
      </c>
      <c r="D1927" s="127" t="s">
        <v>4861</v>
      </c>
      <c r="E1927" s="232"/>
    </row>
    <row r="1928" spans="1:5" ht="14.55" customHeight="1" outlineLevel="1" x14ac:dyDescent="0.25">
      <c r="A1928" s="230" t="s">
        <v>1422</v>
      </c>
      <c r="B1928" s="343" t="str">
        <f>"50.0902"</f>
        <v>50.0902</v>
      </c>
      <c r="C1928" s="75" t="s">
        <v>4862</v>
      </c>
      <c r="D1928" s="127" t="s">
        <v>4863</v>
      </c>
      <c r="E1928" s="232"/>
    </row>
    <row r="1929" spans="1:5" ht="14.55" customHeight="1" outlineLevel="1" x14ac:dyDescent="0.25">
      <c r="A1929" s="230" t="s">
        <v>1422</v>
      </c>
      <c r="B1929" s="343" t="str">
        <f>"50.0903"</f>
        <v>50.0903</v>
      </c>
      <c r="C1929" s="75" t="s">
        <v>4864</v>
      </c>
      <c r="D1929" s="127" t="s">
        <v>4865</v>
      </c>
      <c r="E1929" s="232"/>
    </row>
    <row r="1930" spans="1:5" ht="14.55" customHeight="1" outlineLevel="1" x14ac:dyDescent="0.25">
      <c r="A1930" s="230" t="s">
        <v>1422</v>
      </c>
      <c r="B1930" s="343" t="str">
        <f>"50.0904"</f>
        <v>50.0904</v>
      </c>
      <c r="C1930" s="75" t="s">
        <v>4866</v>
      </c>
      <c r="D1930" s="127" t="s">
        <v>4867</v>
      </c>
      <c r="E1930" s="232"/>
    </row>
    <row r="1931" spans="1:5" ht="14.55" customHeight="1" outlineLevel="1" x14ac:dyDescent="0.25">
      <c r="A1931" s="230" t="s">
        <v>1422</v>
      </c>
      <c r="B1931" s="343" t="str">
        <f>"50.0905"</f>
        <v>50.0905</v>
      </c>
      <c r="C1931" s="75" t="s">
        <v>4868</v>
      </c>
      <c r="D1931" s="127" t="s">
        <v>4869</v>
      </c>
      <c r="E1931" s="232"/>
    </row>
    <row r="1932" spans="1:5" ht="14.55" customHeight="1" outlineLevel="1" x14ac:dyDescent="0.25">
      <c r="A1932" s="230" t="s">
        <v>1422</v>
      </c>
      <c r="B1932" s="343" t="str">
        <f>"50.0906"</f>
        <v>50.0906</v>
      </c>
      <c r="C1932" s="75" t="s">
        <v>4870</v>
      </c>
      <c r="D1932" s="127" t="s">
        <v>4871</v>
      </c>
      <c r="E1932" s="232"/>
    </row>
    <row r="1933" spans="1:5" ht="14.55" customHeight="1" outlineLevel="1" x14ac:dyDescent="0.25">
      <c r="A1933" s="230" t="s">
        <v>1422</v>
      </c>
      <c r="B1933" s="343" t="str">
        <f>"50.0907"</f>
        <v>50.0907</v>
      </c>
      <c r="C1933" s="75" t="s">
        <v>4872</v>
      </c>
      <c r="D1933" s="127" t="s">
        <v>4873</v>
      </c>
      <c r="E1933" s="232"/>
    </row>
    <row r="1934" spans="1:5" ht="14.55" customHeight="1" outlineLevel="1" x14ac:dyDescent="0.25">
      <c r="A1934" s="230" t="s">
        <v>1422</v>
      </c>
      <c r="B1934" s="343" t="str">
        <f>"50.0908"</f>
        <v>50.0908</v>
      </c>
      <c r="C1934" s="75" t="s">
        <v>4874</v>
      </c>
      <c r="D1934" s="127" t="s">
        <v>4875</v>
      </c>
      <c r="E1934" s="232"/>
    </row>
    <row r="1935" spans="1:5" ht="14.55" customHeight="1" outlineLevel="1" x14ac:dyDescent="0.25">
      <c r="A1935" s="230" t="s">
        <v>1422</v>
      </c>
      <c r="B1935" s="343" t="str">
        <f>"50.0910"</f>
        <v>50.0910</v>
      </c>
      <c r="C1935" s="75" t="s">
        <v>4876</v>
      </c>
      <c r="D1935" s="127" t="s">
        <v>4877</v>
      </c>
      <c r="E1935" s="232"/>
    </row>
    <row r="1936" spans="1:5" ht="14.55" customHeight="1" outlineLevel="1" x14ac:dyDescent="0.25">
      <c r="A1936" s="230" t="s">
        <v>1422</v>
      </c>
      <c r="B1936" s="343" t="str">
        <f>"50.0911"</f>
        <v>50.0911</v>
      </c>
      <c r="C1936" s="75" t="s">
        <v>4878</v>
      </c>
      <c r="D1936" s="127" t="s">
        <v>4879</v>
      </c>
      <c r="E1936" s="232"/>
    </row>
    <row r="1937" spans="1:5" ht="14.55" customHeight="1" outlineLevel="1" x14ac:dyDescent="0.25">
      <c r="A1937" s="230" t="s">
        <v>1422</v>
      </c>
      <c r="B1937" s="343" t="str">
        <f>"50.0912"</f>
        <v>50.0912</v>
      </c>
      <c r="C1937" s="75" t="s">
        <v>4880</v>
      </c>
      <c r="D1937" s="127" t="s">
        <v>4881</v>
      </c>
      <c r="E1937" s="232"/>
    </row>
    <row r="1938" spans="1:5" ht="14.55" customHeight="1" outlineLevel="1" x14ac:dyDescent="0.25">
      <c r="A1938" s="230" t="s">
        <v>1422</v>
      </c>
      <c r="B1938" s="343" t="str">
        <f>"50.0913"</f>
        <v>50.0913</v>
      </c>
      <c r="C1938" s="75" t="s">
        <v>4882</v>
      </c>
      <c r="D1938" s="127" t="s">
        <v>4883</v>
      </c>
      <c r="E1938" s="232"/>
    </row>
    <row r="1939" spans="1:5" ht="14.55" customHeight="1" outlineLevel="1" x14ac:dyDescent="0.25">
      <c r="A1939" s="230" t="s">
        <v>1422</v>
      </c>
      <c r="B1939" s="343" t="str">
        <f>"50.0914"</f>
        <v>50.0914</v>
      </c>
      <c r="C1939" s="75" t="s">
        <v>4884</v>
      </c>
      <c r="D1939" s="127" t="s">
        <v>4885</v>
      </c>
      <c r="E1939" s="232"/>
    </row>
    <row r="1940" spans="1:5" ht="14.55" customHeight="1" outlineLevel="1" x14ac:dyDescent="0.25">
      <c r="A1940" s="230" t="s">
        <v>1422</v>
      </c>
      <c r="B1940" s="343" t="str">
        <f>"50.0915"</f>
        <v>50.0915</v>
      </c>
      <c r="C1940" s="75" t="s">
        <v>4886</v>
      </c>
      <c r="D1940" s="127" t="s">
        <v>4887</v>
      </c>
      <c r="E1940" s="232"/>
    </row>
    <row r="1941" spans="1:5" ht="14.55" customHeight="1" outlineLevel="1" x14ac:dyDescent="0.25">
      <c r="A1941" s="230" t="s">
        <v>1422</v>
      </c>
      <c r="B1941" s="343" t="str">
        <f>"50.0916"</f>
        <v>50.0916</v>
      </c>
      <c r="C1941" s="75" t="s">
        <v>4888</v>
      </c>
      <c r="D1941" s="127" t="s">
        <v>4889</v>
      </c>
      <c r="E1941" s="232"/>
    </row>
    <row r="1942" spans="1:5" ht="14.55" customHeight="1" outlineLevel="1" x14ac:dyDescent="0.25">
      <c r="A1942" s="230" t="s">
        <v>1422</v>
      </c>
      <c r="B1942" s="343" t="str">
        <f>"50.0917"</f>
        <v>50.0917</v>
      </c>
      <c r="C1942" s="75" t="s">
        <v>4890</v>
      </c>
      <c r="D1942" s="127" t="s">
        <v>4891</v>
      </c>
      <c r="E1942" s="232"/>
    </row>
    <row r="1943" spans="1:5" ht="14.55" customHeight="1" outlineLevel="1" x14ac:dyDescent="0.25">
      <c r="A1943" s="230" t="s">
        <v>1422</v>
      </c>
      <c r="B1943" s="343" t="str">
        <f>"50.0999"</f>
        <v>50.0999</v>
      </c>
      <c r="C1943" s="75" t="s">
        <v>4892</v>
      </c>
      <c r="D1943" s="127" t="s">
        <v>4893</v>
      </c>
      <c r="E1943" s="232"/>
    </row>
    <row r="1944" spans="1:5" ht="14.55" customHeight="1" outlineLevel="1" x14ac:dyDescent="0.25">
      <c r="A1944" s="230" t="s">
        <v>1422</v>
      </c>
      <c r="B1944" s="343" t="str">
        <f>"50.10"</f>
        <v>50.10</v>
      </c>
      <c r="C1944" s="75" t="s">
        <v>4894</v>
      </c>
      <c r="D1944" s="127" t="s">
        <v>4895</v>
      </c>
      <c r="E1944" s="232"/>
    </row>
    <row r="1945" spans="1:5" ht="14.55" customHeight="1" outlineLevel="1" x14ac:dyDescent="0.25">
      <c r="A1945" s="230" t="s">
        <v>1422</v>
      </c>
      <c r="B1945" s="343" t="str">
        <f>"50.1001"</f>
        <v>50.1001</v>
      </c>
      <c r="C1945" s="75" t="s">
        <v>4896</v>
      </c>
      <c r="D1945" s="127" t="s">
        <v>4897</v>
      </c>
      <c r="E1945" s="232"/>
    </row>
    <row r="1946" spans="1:5" ht="14.55" customHeight="1" outlineLevel="1" x14ac:dyDescent="0.25">
      <c r="A1946" s="230" t="s">
        <v>1422</v>
      </c>
      <c r="B1946" s="343" t="str">
        <f>"50.1002"</f>
        <v>50.1002</v>
      </c>
      <c r="C1946" s="75" t="s">
        <v>4898</v>
      </c>
      <c r="D1946" s="127" t="s">
        <v>4899</v>
      </c>
      <c r="E1946" s="232"/>
    </row>
    <row r="1947" spans="1:5" ht="14.55" customHeight="1" outlineLevel="1" x14ac:dyDescent="0.25">
      <c r="A1947" s="230" t="s">
        <v>1422</v>
      </c>
      <c r="B1947" s="343" t="str">
        <f>"50.1003"</f>
        <v>50.1003</v>
      </c>
      <c r="C1947" s="75" t="s">
        <v>4900</v>
      </c>
      <c r="D1947" s="127" t="s">
        <v>4901</v>
      </c>
      <c r="E1947" s="232"/>
    </row>
    <row r="1948" spans="1:5" ht="14.55" customHeight="1" outlineLevel="1" x14ac:dyDescent="0.25">
      <c r="A1948" s="230" t="s">
        <v>1422</v>
      </c>
      <c r="B1948" s="343" t="str">
        <f>"50.1004"</f>
        <v>50.1004</v>
      </c>
      <c r="C1948" s="75" t="s">
        <v>4902</v>
      </c>
      <c r="D1948" s="127" t="s">
        <v>4903</v>
      </c>
      <c r="E1948" s="232"/>
    </row>
    <row r="1949" spans="1:5" ht="14.55" customHeight="1" outlineLevel="1" x14ac:dyDescent="0.25">
      <c r="A1949" s="230" t="s">
        <v>1422</v>
      </c>
      <c r="B1949" s="343" t="str">
        <f>"50.1099"</f>
        <v>50.1099</v>
      </c>
      <c r="C1949" s="75" t="s">
        <v>4904</v>
      </c>
      <c r="D1949" s="127" t="s">
        <v>4905</v>
      </c>
      <c r="E1949" s="232"/>
    </row>
    <row r="1950" spans="1:5" ht="14.55" customHeight="1" outlineLevel="1" x14ac:dyDescent="0.25">
      <c r="A1950" s="230" t="s">
        <v>1422</v>
      </c>
      <c r="B1950" s="343" t="str">
        <f>"50.11"</f>
        <v>50.11</v>
      </c>
      <c r="C1950" s="75" t="s">
        <v>4906</v>
      </c>
      <c r="D1950" s="127" t="s">
        <v>4907</v>
      </c>
      <c r="E1950" s="232"/>
    </row>
    <row r="1951" spans="1:5" ht="14.55" customHeight="1" outlineLevel="1" x14ac:dyDescent="0.25">
      <c r="A1951" s="230" t="s">
        <v>1422</v>
      </c>
      <c r="B1951" s="343" t="str">
        <f>"50.1101"</f>
        <v>50.1101</v>
      </c>
      <c r="C1951" s="75" t="s">
        <v>4906</v>
      </c>
      <c r="D1951" s="127" t="s">
        <v>4908</v>
      </c>
      <c r="E1951" s="232"/>
    </row>
    <row r="1952" spans="1:5" ht="14.55" customHeight="1" outlineLevel="1" x14ac:dyDescent="0.25">
      <c r="A1952" s="230" t="s">
        <v>1422</v>
      </c>
      <c r="B1952" s="343" t="str">
        <f>"50.99"</f>
        <v>50.99</v>
      </c>
      <c r="C1952" s="75" t="s">
        <v>4909</v>
      </c>
      <c r="D1952" s="127" t="s">
        <v>4910</v>
      </c>
      <c r="E1952" s="232"/>
    </row>
    <row r="1953" spans="1:5" ht="14.55" customHeight="1" outlineLevel="1" x14ac:dyDescent="0.25">
      <c r="A1953" s="230" t="s">
        <v>1422</v>
      </c>
      <c r="B1953" s="343" t="str">
        <f>"50.9999"</f>
        <v>50.9999</v>
      </c>
      <c r="C1953" s="75" t="s">
        <v>4909</v>
      </c>
      <c r="D1953" s="127" t="s">
        <v>4911</v>
      </c>
      <c r="E1953" s="232"/>
    </row>
    <row r="1954" spans="1:5" ht="14.55" customHeight="1" outlineLevel="1" x14ac:dyDescent="0.25">
      <c r="A1954" s="230" t="s">
        <v>1422</v>
      </c>
      <c r="B1954" s="343" t="str">
        <f>"51"</f>
        <v>51</v>
      </c>
      <c r="C1954" s="75" t="s">
        <v>4912</v>
      </c>
      <c r="D1954" s="127" t="s">
        <v>4913</v>
      </c>
      <c r="E1954" s="232"/>
    </row>
    <row r="1955" spans="1:5" ht="14.55" customHeight="1" outlineLevel="1" x14ac:dyDescent="0.25">
      <c r="A1955" s="230" t="s">
        <v>1422</v>
      </c>
      <c r="B1955" s="343" t="str">
        <f>"51.00"</f>
        <v>51.00</v>
      </c>
      <c r="C1955" s="75" t="s">
        <v>4914</v>
      </c>
      <c r="D1955" s="127" t="s">
        <v>4915</v>
      </c>
      <c r="E1955" s="232"/>
    </row>
    <row r="1956" spans="1:5" ht="14.55" customHeight="1" outlineLevel="1" x14ac:dyDescent="0.25">
      <c r="A1956" s="230" t="s">
        <v>1422</v>
      </c>
      <c r="B1956" s="343" t="str">
        <f>"51.0000"</f>
        <v>51.0000</v>
      </c>
      <c r="C1956" s="75" t="s">
        <v>4914</v>
      </c>
      <c r="D1956" s="127" t="s">
        <v>4916</v>
      </c>
      <c r="E1956" s="232"/>
    </row>
    <row r="1957" spans="1:5" ht="14.55" customHeight="1" outlineLevel="1" x14ac:dyDescent="0.25">
      <c r="A1957" s="230" t="s">
        <v>1422</v>
      </c>
      <c r="B1957" s="343" t="str">
        <f>"51.0001"</f>
        <v>51.0001</v>
      </c>
      <c r="C1957" s="75" t="s">
        <v>4917</v>
      </c>
      <c r="D1957" s="127" t="s">
        <v>4918</v>
      </c>
      <c r="E1957" s="232"/>
    </row>
    <row r="1958" spans="1:5" ht="14.55" customHeight="1" outlineLevel="1" x14ac:dyDescent="0.25">
      <c r="A1958" s="230" t="s">
        <v>1422</v>
      </c>
      <c r="B1958" s="343" t="str">
        <f>"51.01"</f>
        <v>51.01</v>
      </c>
      <c r="C1958" s="75" t="s">
        <v>4919</v>
      </c>
      <c r="D1958" s="127" t="s">
        <v>4920</v>
      </c>
      <c r="E1958" s="232"/>
    </row>
    <row r="1959" spans="1:5" ht="14.55" customHeight="1" outlineLevel="1" x14ac:dyDescent="0.25">
      <c r="A1959" s="230" t="s">
        <v>1422</v>
      </c>
      <c r="B1959" s="343" t="str">
        <f>"51.0101"</f>
        <v>51.0101</v>
      </c>
      <c r="C1959" s="75" t="s">
        <v>4919</v>
      </c>
      <c r="D1959" s="127" t="s">
        <v>4921</v>
      </c>
      <c r="E1959" s="232"/>
    </row>
    <row r="1960" spans="1:5" ht="14.55" customHeight="1" outlineLevel="1" x14ac:dyDescent="0.25">
      <c r="A1960" s="230" t="s">
        <v>1422</v>
      </c>
      <c r="B1960" s="343" t="str">
        <f>"51.02"</f>
        <v>51.02</v>
      </c>
      <c r="C1960" s="75" t="s">
        <v>4922</v>
      </c>
      <c r="D1960" s="127" t="s">
        <v>4923</v>
      </c>
      <c r="E1960" s="232"/>
    </row>
    <row r="1961" spans="1:5" ht="14.55" customHeight="1" outlineLevel="1" x14ac:dyDescent="0.25">
      <c r="A1961" s="230" t="s">
        <v>1422</v>
      </c>
      <c r="B1961" s="343" t="str">
        <f>"51.0201"</f>
        <v>51.0201</v>
      </c>
      <c r="C1961" s="75" t="s">
        <v>4924</v>
      </c>
      <c r="D1961" s="127" t="s">
        <v>4925</v>
      </c>
      <c r="E1961" s="232"/>
    </row>
    <row r="1962" spans="1:5" ht="14.55" customHeight="1" outlineLevel="1" x14ac:dyDescent="0.25">
      <c r="A1962" s="230" t="s">
        <v>1422</v>
      </c>
      <c r="B1962" s="343" t="str">
        <f>"51.0202"</f>
        <v>51.0202</v>
      </c>
      <c r="C1962" s="75" t="s">
        <v>4926</v>
      </c>
      <c r="D1962" s="127" t="s">
        <v>4927</v>
      </c>
      <c r="E1962" s="232"/>
    </row>
    <row r="1963" spans="1:5" ht="14.55" customHeight="1" outlineLevel="1" x14ac:dyDescent="0.25">
      <c r="A1963" s="230" t="s">
        <v>1422</v>
      </c>
      <c r="B1963" s="343" t="str">
        <f>"51.0203"</f>
        <v>51.0203</v>
      </c>
      <c r="C1963" s="75" t="s">
        <v>4928</v>
      </c>
      <c r="D1963" s="127" t="s">
        <v>4929</v>
      </c>
      <c r="E1963" s="232"/>
    </row>
    <row r="1964" spans="1:5" ht="14.55" customHeight="1" outlineLevel="1" x14ac:dyDescent="0.25">
      <c r="A1964" s="230" t="s">
        <v>1422</v>
      </c>
      <c r="B1964" s="343" t="str">
        <f>"51.0204"</f>
        <v>51.0204</v>
      </c>
      <c r="C1964" s="75" t="s">
        <v>4930</v>
      </c>
      <c r="D1964" s="127" t="s">
        <v>4931</v>
      </c>
      <c r="E1964" s="232"/>
    </row>
    <row r="1965" spans="1:5" ht="14.55" customHeight="1" outlineLevel="1" x14ac:dyDescent="0.25">
      <c r="A1965" s="230" t="s">
        <v>1422</v>
      </c>
      <c r="B1965" s="343" t="str">
        <f>"51.0299"</f>
        <v>51.0299</v>
      </c>
      <c r="C1965" s="75" t="s">
        <v>4932</v>
      </c>
      <c r="D1965" s="127" t="s">
        <v>4933</v>
      </c>
      <c r="E1965" s="232"/>
    </row>
    <row r="1966" spans="1:5" ht="14.55" customHeight="1" outlineLevel="1" x14ac:dyDescent="0.25">
      <c r="A1966" s="230" t="s">
        <v>1422</v>
      </c>
      <c r="B1966" s="343" t="str">
        <f>"51.04"</f>
        <v>51.04</v>
      </c>
      <c r="C1966" s="75" t="s">
        <v>4934</v>
      </c>
      <c r="D1966" s="127" t="s">
        <v>4935</v>
      </c>
      <c r="E1966" s="232"/>
    </row>
    <row r="1967" spans="1:5" ht="14.55" customHeight="1" outlineLevel="1" x14ac:dyDescent="0.25">
      <c r="A1967" s="230" t="s">
        <v>1422</v>
      </c>
      <c r="B1967" s="343" t="str">
        <f>"51.0401"</f>
        <v>51.0401</v>
      </c>
      <c r="C1967" s="75" t="s">
        <v>4934</v>
      </c>
      <c r="D1967" s="127" t="s">
        <v>4936</v>
      </c>
      <c r="E1967" s="232"/>
    </row>
    <row r="1968" spans="1:5" ht="14.55" customHeight="1" outlineLevel="1" x14ac:dyDescent="0.25">
      <c r="A1968" s="230" t="s">
        <v>1422</v>
      </c>
      <c r="B1968" s="343" t="str">
        <f>"51.05"</f>
        <v>51.05</v>
      </c>
      <c r="C1968" s="75" t="s">
        <v>4937</v>
      </c>
      <c r="D1968" s="127" t="s">
        <v>4938</v>
      </c>
      <c r="E1968" s="232"/>
    </row>
    <row r="1969" spans="1:5" ht="14.55" customHeight="1" outlineLevel="1" x14ac:dyDescent="0.25">
      <c r="A1969" s="230" t="s">
        <v>1422</v>
      </c>
      <c r="B1969" s="343" t="str">
        <f>"51.0501"</f>
        <v>51.0501</v>
      </c>
      <c r="C1969" s="75" t="s">
        <v>4939</v>
      </c>
      <c r="D1969" s="127" t="s">
        <v>4940</v>
      </c>
      <c r="E1969" s="232"/>
    </row>
    <row r="1970" spans="1:5" ht="14.55" customHeight="1" outlineLevel="1" x14ac:dyDescent="0.25">
      <c r="A1970" s="230" t="s">
        <v>1422</v>
      </c>
      <c r="B1970" s="343" t="str">
        <f>"51.0502"</f>
        <v>51.0502</v>
      </c>
      <c r="C1970" s="75" t="s">
        <v>4941</v>
      </c>
      <c r="D1970" s="127" t="s">
        <v>4942</v>
      </c>
      <c r="E1970" s="232"/>
    </row>
    <row r="1971" spans="1:5" ht="14.55" customHeight="1" outlineLevel="1" x14ac:dyDescent="0.25">
      <c r="A1971" s="230" t="s">
        <v>1422</v>
      </c>
      <c r="B1971" s="343" t="str">
        <f>"51.0503"</f>
        <v>51.0503</v>
      </c>
      <c r="C1971" s="75" t="s">
        <v>4943</v>
      </c>
      <c r="D1971" s="127" t="s">
        <v>4944</v>
      </c>
      <c r="E1971" s="232"/>
    </row>
    <row r="1972" spans="1:5" ht="14.55" customHeight="1" outlineLevel="1" x14ac:dyDescent="0.25">
      <c r="A1972" s="230" t="s">
        <v>1422</v>
      </c>
      <c r="B1972" s="343" t="str">
        <f>"51.0504"</f>
        <v>51.0504</v>
      </c>
      <c r="C1972" s="75" t="s">
        <v>4945</v>
      </c>
      <c r="D1972" s="127" t="s">
        <v>4946</v>
      </c>
      <c r="E1972" s="232"/>
    </row>
    <row r="1973" spans="1:5" ht="14.55" customHeight="1" outlineLevel="1" x14ac:dyDescent="0.25">
      <c r="A1973" s="230" t="s">
        <v>1422</v>
      </c>
      <c r="B1973" s="343" t="str">
        <f>"51.0505"</f>
        <v>51.0505</v>
      </c>
      <c r="C1973" s="75" t="s">
        <v>4947</v>
      </c>
      <c r="D1973" s="127" t="s">
        <v>4948</v>
      </c>
      <c r="E1973" s="232"/>
    </row>
    <row r="1974" spans="1:5" ht="14.55" customHeight="1" outlineLevel="1" x14ac:dyDescent="0.25">
      <c r="A1974" s="230" t="s">
        <v>1422</v>
      </c>
      <c r="B1974" s="343" t="str">
        <f>"51.0506"</f>
        <v>51.0506</v>
      </c>
      <c r="C1974" s="75" t="s">
        <v>4949</v>
      </c>
      <c r="D1974" s="127" t="s">
        <v>4950</v>
      </c>
      <c r="E1974" s="232"/>
    </row>
    <row r="1975" spans="1:5" ht="14.55" customHeight="1" outlineLevel="1" x14ac:dyDescent="0.25">
      <c r="A1975" s="230" t="s">
        <v>1422</v>
      </c>
      <c r="B1975" s="343" t="str">
        <f>"51.0507"</f>
        <v>51.0507</v>
      </c>
      <c r="C1975" s="75" t="s">
        <v>4951</v>
      </c>
      <c r="D1975" s="127" t="s">
        <v>4952</v>
      </c>
      <c r="E1975" s="232"/>
    </row>
    <row r="1976" spans="1:5" ht="14.55" customHeight="1" outlineLevel="1" x14ac:dyDescent="0.25">
      <c r="A1976" s="230" t="s">
        <v>1422</v>
      </c>
      <c r="B1976" s="343" t="str">
        <f>"51.0508"</f>
        <v>51.0508</v>
      </c>
      <c r="C1976" s="75" t="s">
        <v>4953</v>
      </c>
      <c r="D1976" s="127" t="s">
        <v>4954</v>
      </c>
      <c r="E1976" s="232"/>
    </row>
    <row r="1977" spans="1:5" ht="14.55" customHeight="1" outlineLevel="1" x14ac:dyDescent="0.25">
      <c r="A1977" s="230" t="s">
        <v>1422</v>
      </c>
      <c r="B1977" s="343" t="str">
        <f>"51.0509"</f>
        <v>51.0509</v>
      </c>
      <c r="C1977" s="75" t="s">
        <v>4955</v>
      </c>
      <c r="D1977" s="127" t="s">
        <v>4956</v>
      </c>
      <c r="E1977" s="232"/>
    </row>
    <row r="1978" spans="1:5" ht="14.55" customHeight="1" outlineLevel="1" x14ac:dyDescent="0.25">
      <c r="A1978" s="230" t="s">
        <v>1422</v>
      </c>
      <c r="B1978" s="343" t="str">
        <f>"51.0510"</f>
        <v>51.0510</v>
      </c>
      <c r="C1978" s="75" t="s">
        <v>4957</v>
      </c>
      <c r="D1978" s="127" t="s">
        <v>13466</v>
      </c>
      <c r="E1978" s="232"/>
    </row>
    <row r="1979" spans="1:5" ht="14.55" customHeight="1" outlineLevel="1" x14ac:dyDescent="0.25">
      <c r="A1979" s="230" t="s">
        <v>1422</v>
      </c>
      <c r="B1979" s="343" t="str">
        <f>"51.0511"</f>
        <v>51.0511</v>
      </c>
      <c r="C1979" s="75" t="s">
        <v>4958</v>
      </c>
      <c r="D1979" s="127" t="s">
        <v>13467</v>
      </c>
      <c r="E1979" s="232"/>
    </row>
    <row r="1980" spans="1:5" ht="14.55" customHeight="1" outlineLevel="1" x14ac:dyDescent="0.25">
      <c r="A1980" s="230" t="s">
        <v>1422</v>
      </c>
      <c r="B1980" s="343" t="str">
        <f>"51.0512"</f>
        <v>51.0512</v>
      </c>
      <c r="C1980" s="75" t="s">
        <v>4959</v>
      </c>
      <c r="D1980" s="127" t="s">
        <v>4960</v>
      </c>
      <c r="E1980" s="232"/>
    </row>
    <row r="1981" spans="1:5" ht="14.55" customHeight="1" outlineLevel="1" x14ac:dyDescent="0.25">
      <c r="A1981" s="230" t="s">
        <v>1422</v>
      </c>
      <c r="B1981" s="343" t="str">
        <f>"51.0513"</f>
        <v>51.0513</v>
      </c>
      <c r="C1981" s="75" t="s">
        <v>4961</v>
      </c>
      <c r="D1981" s="127" t="s">
        <v>4962</v>
      </c>
      <c r="E1981" s="232"/>
    </row>
    <row r="1982" spans="1:5" ht="14.55" customHeight="1" outlineLevel="1" x14ac:dyDescent="0.25">
      <c r="A1982" s="230" t="s">
        <v>1422</v>
      </c>
      <c r="B1982" s="343" t="str">
        <f>"51.0514"</f>
        <v>51.0514</v>
      </c>
      <c r="C1982" s="75" t="s">
        <v>4963</v>
      </c>
      <c r="D1982" s="127" t="s">
        <v>4964</v>
      </c>
      <c r="E1982" s="232"/>
    </row>
    <row r="1983" spans="1:5" ht="14.55" customHeight="1" outlineLevel="1" x14ac:dyDescent="0.25">
      <c r="A1983" s="230" t="s">
        <v>1422</v>
      </c>
      <c r="B1983" s="343" t="str">
        <f>"51.0599"</f>
        <v>51.0599</v>
      </c>
      <c r="C1983" s="75" t="s">
        <v>4965</v>
      </c>
      <c r="D1983" s="127" t="s">
        <v>4966</v>
      </c>
      <c r="E1983" s="232"/>
    </row>
    <row r="1984" spans="1:5" ht="14.55" customHeight="1" outlineLevel="1" x14ac:dyDescent="0.25">
      <c r="A1984" s="230" t="s">
        <v>1422</v>
      </c>
      <c r="B1984" s="343" t="str">
        <f>"51.06"</f>
        <v>51.06</v>
      </c>
      <c r="C1984" s="75" t="s">
        <v>4967</v>
      </c>
      <c r="D1984" s="127" t="s">
        <v>4968</v>
      </c>
      <c r="E1984" s="232"/>
    </row>
    <row r="1985" spans="1:5" ht="14.55" customHeight="1" outlineLevel="1" x14ac:dyDescent="0.25">
      <c r="A1985" s="230" t="s">
        <v>1422</v>
      </c>
      <c r="B1985" s="343" t="str">
        <f>"51.0601"</f>
        <v>51.0601</v>
      </c>
      <c r="C1985" s="75" t="s">
        <v>4969</v>
      </c>
      <c r="D1985" s="127" t="s">
        <v>4970</v>
      </c>
      <c r="E1985" s="232"/>
    </row>
    <row r="1986" spans="1:5" ht="14.55" customHeight="1" outlineLevel="1" x14ac:dyDescent="0.25">
      <c r="A1986" s="230" t="s">
        <v>1422</v>
      </c>
      <c r="B1986" s="343" t="str">
        <f>"51.0602"</f>
        <v>51.0602</v>
      </c>
      <c r="C1986" s="75" t="s">
        <v>4971</v>
      </c>
      <c r="D1986" s="127" t="s">
        <v>4972</v>
      </c>
      <c r="E1986" s="232"/>
    </row>
    <row r="1987" spans="1:5" ht="14.55" customHeight="1" outlineLevel="1" x14ac:dyDescent="0.25">
      <c r="A1987" s="230" t="s">
        <v>1422</v>
      </c>
      <c r="B1987" s="343" t="str">
        <f>"51.0603"</f>
        <v>51.0603</v>
      </c>
      <c r="C1987" s="75" t="s">
        <v>4973</v>
      </c>
      <c r="D1987" s="127" t="s">
        <v>4974</v>
      </c>
      <c r="E1987" s="232"/>
    </row>
    <row r="1988" spans="1:5" ht="14.55" customHeight="1" outlineLevel="1" x14ac:dyDescent="0.25">
      <c r="A1988" s="230" t="s">
        <v>1422</v>
      </c>
      <c r="B1988" s="343" t="str">
        <f>"51.0699"</f>
        <v>51.0699</v>
      </c>
      <c r="C1988" s="75" t="s">
        <v>4975</v>
      </c>
      <c r="D1988" s="127" t="s">
        <v>4976</v>
      </c>
      <c r="E1988" s="232"/>
    </row>
    <row r="1989" spans="1:5" ht="14.55" customHeight="1" outlineLevel="1" x14ac:dyDescent="0.25">
      <c r="A1989" s="230" t="s">
        <v>1422</v>
      </c>
      <c r="B1989" s="343" t="str">
        <f>"51.07"</f>
        <v>51.07</v>
      </c>
      <c r="C1989" s="75" t="s">
        <v>4977</v>
      </c>
      <c r="D1989" s="127" t="s">
        <v>4978</v>
      </c>
      <c r="E1989" s="232"/>
    </row>
    <row r="1990" spans="1:5" ht="14.55" customHeight="1" outlineLevel="1" x14ac:dyDescent="0.25">
      <c r="A1990" s="230" t="s">
        <v>1422</v>
      </c>
      <c r="B1990" s="343" t="str">
        <f>"51.0701"</f>
        <v>51.0701</v>
      </c>
      <c r="C1990" s="75" t="s">
        <v>4979</v>
      </c>
      <c r="D1990" s="127" t="s">
        <v>4980</v>
      </c>
      <c r="E1990" s="232"/>
    </row>
    <row r="1991" spans="1:5" ht="14.55" customHeight="1" outlineLevel="1" x14ac:dyDescent="0.25">
      <c r="A1991" s="230" t="s">
        <v>1422</v>
      </c>
      <c r="B1991" s="343" t="str">
        <f>"51.0702"</f>
        <v>51.0702</v>
      </c>
      <c r="C1991" s="75" t="s">
        <v>4981</v>
      </c>
      <c r="D1991" s="127" t="s">
        <v>4982</v>
      </c>
      <c r="E1991" s="232"/>
    </row>
    <row r="1992" spans="1:5" ht="14.55" customHeight="1" outlineLevel="1" x14ac:dyDescent="0.25">
      <c r="A1992" s="230" t="s">
        <v>1422</v>
      </c>
      <c r="B1992" s="343" t="str">
        <f>"51.0703"</f>
        <v>51.0703</v>
      </c>
      <c r="C1992" s="75" t="s">
        <v>4983</v>
      </c>
      <c r="D1992" s="127" t="s">
        <v>4984</v>
      </c>
      <c r="E1992" s="232"/>
    </row>
    <row r="1993" spans="1:5" ht="14.55" customHeight="1" outlineLevel="1" x14ac:dyDescent="0.25">
      <c r="A1993" s="230" t="s">
        <v>1422</v>
      </c>
      <c r="B1993" s="343" t="str">
        <f>"51.0704"</f>
        <v>51.0704</v>
      </c>
      <c r="C1993" s="75" t="s">
        <v>4985</v>
      </c>
      <c r="D1993" s="127" t="s">
        <v>4986</v>
      </c>
      <c r="E1993" s="232"/>
    </row>
    <row r="1994" spans="1:5" ht="14.55" customHeight="1" outlineLevel="1" x14ac:dyDescent="0.25">
      <c r="A1994" s="230" t="s">
        <v>1422</v>
      </c>
      <c r="B1994" s="343" t="str">
        <f>"51.0705"</f>
        <v>51.0705</v>
      </c>
      <c r="C1994" s="75" t="s">
        <v>4987</v>
      </c>
      <c r="D1994" s="127" t="s">
        <v>4988</v>
      </c>
      <c r="E1994" s="232"/>
    </row>
    <row r="1995" spans="1:5" ht="14.55" customHeight="1" outlineLevel="1" x14ac:dyDescent="0.25">
      <c r="A1995" s="230" t="s">
        <v>1422</v>
      </c>
      <c r="B1995" s="343" t="str">
        <f>"51.0706"</f>
        <v>51.0706</v>
      </c>
      <c r="C1995" s="75" t="s">
        <v>4989</v>
      </c>
      <c r="D1995" s="127" t="s">
        <v>4990</v>
      </c>
      <c r="E1995" s="232"/>
    </row>
    <row r="1996" spans="1:5" ht="14.55" customHeight="1" outlineLevel="1" x14ac:dyDescent="0.25">
      <c r="A1996" s="230" t="s">
        <v>1422</v>
      </c>
      <c r="B1996" s="343" t="str">
        <f>"51.0707"</f>
        <v>51.0707</v>
      </c>
      <c r="C1996" s="75" t="s">
        <v>4991</v>
      </c>
      <c r="D1996" s="127" t="s">
        <v>4992</v>
      </c>
      <c r="E1996" s="232"/>
    </row>
    <row r="1997" spans="1:5" ht="14.55" customHeight="1" outlineLevel="1" x14ac:dyDescent="0.25">
      <c r="A1997" s="230" t="s">
        <v>1422</v>
      </c>
      <c r="B1997" s="343" t="str">
        <f>"51.0708"</f>
        <v>51.0708</v>
      </c>
      <c r="C1997" s="75" t="s">
        <v>4993</v>
      </c>
      <c r="D1997" s="127" t="s">
        <v>4994</v>
      </c>
      <c r="E1997" s="232"/>
    </row>
    <row r="1998" spans="1:5" ht="14.55" customHeight="1" outlineLevel="1" x14ac:dyDescent="0.25">
      <c r="A1998" s="230" t="s">
        <v>1422</v>
      </c>
      <c r="B1998" s="343" t="str">
        <f>"51.0709"</f>
        <v>51.0709</v>
      </c>
      <c r="C1998" s="75" t="s">
        <v>4995</v>
      </c>
      <c r="D1998" s="127" t="s">
        <v>4996</v>
      </c>
      <c r="E1998" s="232"/>
    </row>
    <row r="1999" spans="1:5" ht="14.55" customHeight="1" outlineLevel="1" x14ac:dyDescent="0.25">
      <c r="A1999" s="230" t="s">
        <v>1422</v>
      </c>
      <c r="B1999" s="343" t="str">
        <f>"51.0710"</f>
        <v>51.0710</v>
      </c>
      <c r="C1999" s="75" t="s">
        <v>4997</v>
      </c>
      <c r="D1999" s="127" t="s">
        <v>4998</v>
      </c>
      <c r="E1999" s="232"/>
    </row>
    <row r="2000" spans="1:5" ht="14.55" customHeight="1" outlineLevel="1" x14ac:dyDescent="0.25">
      <c r="A2000" s="230" t="s">
        <v>1422</v>
      </c>
      <c r="B2000" s="343" t="str">
        <f>"51.0711"</f>
        <v>51.0711</v>
      </c>
      <c r="C2000" s="75" t="s">
        <v>4999</v>
      </c>
      <c r="D2000" s="127" t="s">
        <v>5000</v>
      </c>
      <c r="E2000" s="232"/>
    </row>
    <row r="2001" spans="1:5" ht="14.55" customHeight="1" outlineLevel="1" x14ac:dyDescent="0.25">
      <c r="A2001" s="230" t="s">
        <v>1422</v>
      </c>
      <c r="B2001" s="343" t="str">
        <f>"51.0712"</f>
        <v>51.0712</v>
      </c>
      <c r="C2001" s="75" t="s">
        <v>5001</v>
      </c>
      <c r="D2001" s="127" t="s">
        <v>5002</v>
      </c>
      <c r="E2001" s="232"/>
    </row>
    <row r="2002" spans="1:5" ht="14.55" customHeight="1" outlineLevel="1" x14ac:dyDescent="0.25">
      <c r="A2002" s="230" t="s">
        <v>1422</v>
      </c>
      <c r="B2002" s="343" t="str">
        <f>"51.0713"</f>
        <v>51.0713</v>
      </c>
      <c r="C2002" s="75" t="s">
        <v>5003</v>
      </c>
      <c r="D2002" s="127" t="s">
        <v>5004</v>
      </c>
      <c r="E2002" s="232"/>
    </row>
    <row r="2003" spans="1:5" ht="14.55" customHeight="1" outlineLevel="1" x14ac:dyDescent="0.25">
      <c r="A2003" s="230" t="s">
        <v>1422</v>
      </c>
      <c r="B2003" s="343" t="str">
        <f>"51.0714"</f>
        <v>51.0714</v>
      </c>
      <c r="C2003" s="75" t="s">
        <v>5005</v>
      </c>
      <c r="D2003" s="127" t="s">
        <v>5006</v>
      </c>
      <c r="E2003" s="232"/>
    </row>
    <row r="2004" spans="1:5" ht="14.55" customHeight="1" outlineLevel="1" x14ac:dyDescent="0.25">
      <c r="A2004" s="230" t="s">
        <v>1422</v>
      </c>
      <c r="B2004" s="343" t="str">
        <f>"51.0715"</f>
        <v>51.0715</v>
      </c>
      <c r="C2004" s="75" t="s">
        <v>5007</v>
      </c>
      <c r="D2004" s="127" t="s">
        <v>5008</v>
      </c>
      <c r="E2004" s="232"/>
    </row>
    <row r="2005" spans="1:5" ht="14.55" customHeight="1" outlineLevel="1" x14ac:dyDescent="0.25">
      <c r="A2005" s="230" t="s">
        <v>1422</v>
      </c>
      <c r="B2005" s="343" t="str">
        <f>"51.0716"</f>
        <v>51.0716</v>
      </c>
      <c r="C2005" s="75" t="s">
        <v>5009</v>
      </c>
      <c r="D2005" s="127" t="s">
        <v>5010</v>
      </c>
      <c r="E2005" s="232"/>
    </row>
    <row r="2006" spans="1:5" ht="14.55" customHeight="1" outlineLevel="1" x14ac:dyDescent="0.25">
      <c r="A2006" s="230" t="s">
        <v>1422</v>
      </c>
      <c r="B2006" s="343" t="str">
        <f>"51.0717"</f>
        <v>51.0717</v>
      </c>
      <c r="C2006" s="75" t="s">
        <v>5011</v>
      </c>
      <c r="D2006" s="127" t="s">
        <v>5012</v>
      </c>
      <c r="E2006" s="232"/>
    </row>
    <row r="2007" spans="1:5" ht="14.55" customHeight="1" outlineLevel="1" x14ac:dyDescent="0.25">
      <c r="A2007" s="230" t="s">
        <v>1422</v>
      </c>
      <c r="B2007" s="343" t="str">
        <f>"51.0718"</f>
        <v>51.0718</v>
      </c>
      <c r="C2007" s="75" t="s">
        <v>5013</v>
      </c>
      <c r="D2007" s="127" t="s">
        <v>5014</v>
      </c>
      <c r="E2007" s="232"/>
    </row>
    <row r="2008" spans="1:5" ht="14.55" customHeight="1" outlineLevel="1" x14ac:dyDescent="0.25">
      <c r="A2008" s="230" t="s">
        <v>1422</v>
      </c>
      <c r="B2008" s="343" t="str">
        <f>"51.0719"</f>
        <v>51.0719</v>
      </c>
      <c r="C2008" s="75" t="s">
        <v>5015</v>
      </c>
      <c r="D2008" s="127" t="s">
        <v>5016</v>
      </c>
      <c r="E2008" s="232"/>
    </row>
    <row r="2009" spans="1:5" ht="14.55" customHeight="1" outlineLevel="1" x14ac:dyDescent="0.25">
      <c r="A2009" s="230" t="s">
        <v>1422</v>
      </c>
      <c r="B2009" s="343" t="str">
        <f>"51.0720"</f>
        <v>51.0720</v>
      </c>
      <c r="C2009" s="75" t="s">
        <v>5017</v>
      </c>
      <c r="D2009" s="127" t="s">
        <v>5018</v>
      </c>
      <c r="E2009" s="232"/>
    </row>
    <row r="2010" spans="1:5" ht="14.55" customHeight="1" outlineLevel="1" x14ac:dyDescent="0.25">
      <c r="A2010" s="230" t="s">
        <v>1422</v>
      </c>
      <c r="B2010" s="343" t="str">
        <f>"51.0721"</f>
        <v>51.0721</v>
      </c>
      <c r="C2010" s="75" t="s">
        <v>5019</v>
      </c>
      <c r="D2010" s="127" t="s">
        <v>5020</v>
      </c>
      <c r="E2010" s="232"/>
    </row>
    <row r="2011" spans="1:5" ht="14.55" customHeight="1" outlineLevel="1" x14ac:dyDescent="0.25">
      <c r="A2011" s="230" t="s">
        <v>1422</v>
      </c>
      <c r="B2011" s="343" t="str">
        <f>"51.0722"</f>
        <v>51.0722</v>
      </c>
      <c r="C2011" s="75" t="s">
        <v>5021</v>
      </c>
      <c r="D2011" s="127" t="s">
        <v>5022</v>
      </c>
      <c r="E2011" s="232"/>
    </row>
    <row r="2012" spans="1:5" ht="14.55" customHeight="1" outlineLevel="1" x14ac:dyDescent="0.25">
      <c r="A2012" s="230" t="s">
        <v>1422</v>
      </c>
      <c r="B2012" s="343" t="str">
        <f>"51.0723"</f>
        <v>51.0723</v>
      </c>
      <c r="C2012" s="75" t="s">
        <v>5023</v>
      </c>
      <c r="D2012" s="127" t="s">
        <v>5024</v>
      </c>
      <c r="E2012" s="232"/>
    </row>
    <row r="2013" spans="1:5" ht="14.55" customHeight="1" outlineLevel="1" x14ac:dyDescent="0.25">
      <c r="A2013" s="230" t="s">
        <v>1422</v>
      </c>
      <c r="B2013" s="343" t="str">
        <f>"51.0799"</f>
        <v>51.0799</v>
      </c>
      <c r="C2013" s="75" t="s">
        <v>5025</v>
      </c>
      <c r="D2013" s="127" t="s">
        <v>5026</v>
      </c>
      <c r="E2013" s="232"/>
    </row>
    <row r="2014" spans="1:5" ht="14.55" customHeight="1" outlineLevel="1" x14ac:dyDescent="0.25">
      <c r="A2014" s="230" t="s">
        <v>1422</v>
      </c>
      <c r="B2014" s="343" t="str">
        <f>"51.08"</f>
        <v>51.08</v>
      </c>
      <c r="C2014" s="75" t="s">
        <v>5027</v>
      </c>
      <c r="D2014" s="127" t="s">
        <v>5028</v>
      </c>
      <c r="E2014" s="232"/>
    </row>
    <row r="2015" spans="1:5" ht="14.55" customHeight="1" outlineLevel="1" x14ac:dyDescent="0.25">
      <c r="A2015" s="230" t="s">
        <v>1422</v>
      </c>
      <c r="B2015" s="343" t="str">
        <f>"51.0801"</f>
        <v>51.0801</v>
      </c>
      <c r="C2015" s="75" t="s">
        <v>5029</v>
      </c>
      <c r="D2015" s="127" t="s">
        <v>5030</v>
      </c>
      <c r="E2015" s="232"/>
    </row>
    <row r="2016" spans="1:5" ht="14.55" customHeight="1" outlineLevel="1" x14ac:dyDescent="0.25">
      <c r="A2016" s="230" t="s">
        <v>1422</v>
      </c>
      <c r="B2016" s="343" t="str">
        <f>"51.0802"</f>
        <v>51.0802</v>
      </c>
      <c r="C2016" s="75" t="s">
        <v>5031</v>
      </c>
      <c r="D2016" s="127" t="s">
        <v>5032</v>
      </c>
      <c r="E2016" s="232"/>
    </row>
    <row r="2017" spans="1:5" ht="14.55" customHeight="1" outlineLevel="1" x14ac:dyDescent="0.25">
      <c r="A2017" s="230" t="s">
        <v>1422</v>
      </c>
      <c r="B2017" s="343" t="str">
        <f>"51.0803"</f>
        <v>51.0803</v>
      </c>
      <c r="C2017" s="75" t="s">
        <v>5033</v>
      </c>
      <c r="D2017" s="127" t="s">
        <v>5034</v>
      </c>
      <c r="E2017" s="232"/>
    </row>
    <row r="2018" spans="1:5" ht="14.55" customHeight="1" outlineLevel="1" x14ac:dyDescent="0.25">
      <c r="A2018" s="230" t="s">
        <v>1422</v>
      </c>
      <c r="B2018" s="343" t="str">
        <f>"51.0805"</f>
        <v>51.0805</v>
      </c>
      <c r="C2018" s="75" t="s">
        <v>5035</v>
      </c>
      <c r="D2018" s="127" t="s">
        <v>5036</v>
      </c>
      <c r="E2018" s="232"/>
    </row>
    <row r="2019" spans="1:5" ht="14.55" customHeight="1" outlineLevel="1" x14ac:dyDescent="0.25">
      <c r="A2019" s="230" t="s">
        <v>1422</v>
      </c>
      <c r="B2019" s="343" t="str">
        <f>"51.0806"</f>
        <v>51.0806</v>
      </c>
      <c r="C2019" s="75" t="s">
        <v>5037</v>
      </c>
      <c r="D2019" s="127" t="s">
        <v>5038</v>
      </c>
      <c r="E2019" s="232"/>
    </row>
    <row r="2020" spans="1:5" ht="14.55" customHeight="1" outlineLevel="1" x14ac:dyDescent="0.25">
      <c r="A2020" s="230" t="s">
        <v>1422</v>
      </c>
      <c r="B2020" s="343" t="str">
        <f>"51.0809"</f>
        <v>51.0809</v>
      </c>
      <c r="C2020" s="75" t="s">
        <v>5039</v>
      </c>
      <c r="D2020" s="127" t="s">
        <v>5040</v>
      </c>
      <c r="E2020" s="232"/>
    </row>
    <row r="2021" spans="1:5" ht="14.55" customHeight="1" outlineLevel="1" x14ac:dyDescent="0.25">
      <c r="A2021" s="230" t="s">
        <v>1422</v>
      </c>
      <c r="B2021" s="343" t="str">
        <f>"51.0810"</f>
        <v>51.0810</v>
      </c>
      <c r="C2021" s="75" t="s">
        <v>5041</v>
      </c>
      <c r="D2021" s="127" t="s">
        <v>5042</v>
      </c>
      <c r="E2021" s="232"/>
    </row>
    <row r="2022" spans="1:5" ht="14.55" customHeight="1" outlineLevel="1" x14ac:dyDescent="0.25">
      <c r="A2022" s="230" t="s">
        <v>1422</v>
      </c>
      <c r="B2022" s="343" t="str">
        <f>"51.0811"</f>
        <v>51.0811</v>
      </c>
      <c r="C2022" s="75" t="s">
        <v>5043</v>
      </c>
      <c r="D2022" s="127" t="s">
        <v>5044</v>
      </c>
      <c r="E2022" s="232"/>
    </row>
    <row r="2023" spans="1:5" ht="14.55" customHeight="1" outlineLevel="1" x14ac:dyDescent="0.25">
      <c r="A2023" s="230" t="s">
        <v>1422</v>
      </c>
      <c r="B2023" s="343" t="str">
        <f>"51.0812"</f>
        <v>51.0812</v>
      </c>
      <c r="C2023" s="75" t="s">
        <v>5045</v>
      </c>
      <c r="D2023" s="127" t="s">
        <v>5046</v>
      </c>
      <c r="E2023" s="232"/>
    </row>
    <row r="2024" spans="1:5" ht="14.55" customHeight="1" outlineLevel="1" x14ac:dyDescent="0.25">
      <c r="A2024" s="230" t="s">
        <v>1422</v>
      </c>
      <c r="B2024" s="343" t="str">
        <f>"51.0813"</f>
        <v>51.0813</v>
      </c>
      <c r="C2024" s="75" t="s">
        <v>5047</v>
      </c>
      <c r="D2024" s="127" t="s">
        <v>5048</v>
      </c>
      <c r="E2024" s="232"/>
    </row>
    <row r="2025" spans="1:5" ht="14.55" customHeight="1" outlineLevel="1" x14ac:dyDescent="0.25">
      <c r="A2025" s="230" t="s">
        <v>1422</v>
      </c>
      <c r="B2025" s="343" t="str">
        <f>"51.0814"</f>
        <v>51.0814</v>
      </c>
      <c r="C2025" s="75" t="s">
        <v>5049</v>
      </c>
      <c r="D2025" s="127" t="s">
        <v>5050</v>
      </c>
      <c r="E2025" s="232"/>
    </row>
    <row r="2026" spans="1:5" ht="14.55" customHeight="1" outlineLevel="1" x14ac:dyDescent="0.25">
      <c r="A2026" s="230" t="s">
        <v>1422</v>
      </c>
      <c r="B2026" s="343" t="str">
        <f>"51.0815"</f>
        <v>51.0815</v>
      </c>
      <c r="C2026" s="75" t="s">
        <v>5051</v>
      </c>
      <c r="D2026" s="127" t="s">
        <v>5052</v>
      </c>
      <c r="E2026" s="232"/>
    </row>
    <row r="2027" spans="1:5" ht="14.55" customHeight="1" outlineLevel="1" x14ac:dyDescent="0.25">
      <c r="A2027" s="230" t="s">
        <v>1422</v>
      </c>
      <c r="B2027" s="343" t="str">
        <f>"51.0816"</f>
        <v>51.0816</v>
      </c>
      <c r="C2027" s="75" t="s">
        <v>5053</v>
      </c>
      <c r="D2027" s="127" t="s">
        <v>5054</v>
      </c>
      <c r="E2027" s="232"/>
    </row>
    <row r="2028" spans="1:5" ht="14.55" customHeight="1" outlineLevel="1" x14ac:dyDescent="0.25">
      <c r="A2028" s="230" t="s">
        <v>1422</v>
      </c>
      <c r="B2028" s="343" t="str">
        <f>"51.0817"</f>
        <v>51.0817</v>
      </c>
      <c r="C2028" s="75" t="s">
        <v>1479</v>
      </c>
      <c r="D2028" s="127" t="s">
        <v>1480</v>
      </c>
      <c r="E2028" s="232"/>
    </row>
    <row r="2029" spans="1:5" ht="14.55" customHeight="1" outlineLevel="1" x14ac:dyDescent="0.25">
      <c r="A2029" s="230" t="s">
        <v>1422</v>
      </c>
      <c r="B2029" s="343" t="str">
        <f>"51.0899"</f>
        <v>51.0899</v>
      </c>
      <c r="C2029" s="75" t="s">
        <v>5055</v>
      </c>
      <c r="D2029" s="127" t="s">
        <v>5056</v>
      </c>
      <c r="E2029" s="232"/>
    </row>
    <row r="2030" spans="1:5" ht="14.55" customHeight="1" outlineLevel="1" x14ac:dyDescent="0.25">
      <c r="A2030" s="230" t="s">
        <v>1422</v>
      </c>
      <c r="B2030" s="343" t="str">
        <f>"51.09"</f>
        <v>51.09</v>
      </c>
      <c r="C2030" s="75" t="s">
        <v>5057</v>
      </c>
      <c r="D2030" s="127" t="s">
        <v>5058</v>
      </c>
      <c r="E2030" s="232"/>
    </row>
    <row r="2031" spans="1:5" ht="14.55" customHeight="1" outlineLevel="1" x14ac:dyDescent="0.25">
      <c r="A2031" s="230" t="s">
        <v>1422</v>
      </c>
      <c r="B2031" s="343" t="str">
        <f>"51.0901"</f>
        <v>51.0901</v>
      </c>
      <c r="C2031" s="75" t="s">
        <v>5059</v>
      </c>
      <c r="D2031" s="127" t="s">
        <v>5060</v>
      </c>
      <c r="E2031" s="232"/>
    </row>
    <row r="2032" spans="1:5" ht="14.55" customHeight="1" outlineLevel="1" x14ac:dyDescent="0.25">
      <c r="A2032" s="230" t="s">
        <v>1422</v>
      </c>
      <c r="B2032" s="343" t="str">
        <f>"51.0902"</f>
        <v>51.0902</v>
      </c>
      <c r="C2032" s="75" t="s">
        <v>5061</v>
      </c>
      <c r="D2032" s="127" t="s">
        <v>5062</v>
      </c>
      <c r="E2032" s="232"/>
    </row>
    <row r="2033" spans="1:5" ht="14.55" customHeight="1" outlineLevel="1" x14ac:dyDescent="0.25">
      <c r="A2033" s="230" t="s">
        <v>1422</v>
      </c>
      <c r="B2033" s="343" t="str">
        <f>"51.0903"</f>
        <v>51.0903</v>
      </c>
      <c r="C2033" s="75" t="s">
        <v>5063</v>
      </c>
      <c r="D2033" s="127" t="s">
        <v>5064</v>
      </c>
      <c r="E2033" s="232"/>
    </row>
    <row r="2034" spans="1:5" ht="14.55" customHeight="1" outlineLevel="1" x14ac:dyDescent="0.25">
      <c r="A2034" s="230" t="s">
        <v>1422</v>
      </c>
      <c r="B2034" s="343" t="str">
        <f>"51.0904"</f>
        <v>51.0904</v>
      </c>
      <c r="C2034" s="75" t="s">
        <v>5065</v>
      </c>
      <c r="D2034" s="127" t="s">
        <v>5066</v>
      </c>
      <c r="E2034" s="232"/>
    </row>
    <row r="2035" spans="1:5" ht="14.55" customHeight="1" outlineLevel="1" x14ac:dyDescent="0.25">
      <c r="A2035" s="230" t="s">
        <v>1422</v>
      </c>
      <c r="B2035" s="343" t="str">
        <f>"51.0905"</f>
        <v>51.0905</v>
      </c>
      <c r="C2035" s="75" t="s">
        <v>5067</v>
      </c>
      <c r="D2035" s="127" t="s">
        <v>5068</v>
      </c>
      <c r="E2035" s="232"/>
    </row>
    <row r="2036" spans="1:5" ht="14.55" customHeight="1" outlineLevel="1" x14ac:dyDescent="0.25">
      <c r="A2036" s="230" t="s">
        <v>1422</v>
      </c>
      <c r="B2036" s="343" t="str">
        <f>"51.0906"</f>
        <v>51.0906</v>
      </c>
      <c r="C2036" s="75" t="s">
        <v>5069</v>
      </c>
      <c r="D2036" s="127" t="s">
        <v>5070</v>
      </c>
      <c r="E2036" s="232"/>
    </row>
    <row r="2037" spans="1:5" ht="14.55" customHeight="1" outlineLevel="1" x14ac:dyDescent="0.25">
      <c r="A2037" s="230" t="s">
        <v>1422</v>
      </c>
      <c r="B2037" s="343" t="str">
        <f>"51.0907"</f>
        <v>51.0907</v>
      </c>
      <c r="C2037" s="75" t="s">
        <v>5071</v>
      </c>
      <c r="D2037" s="127" t="s">
        <v>5072</v>
      </c>
      <c r="E2037" s="232"/>
    </row>
    <row r="2038" spans="1:5" ht="14.55" customHeight="1" outlineLevel="1" x14ac:dyDescent="0.25">
      <c r="A2038" s="230" t="s">
        <v>1422</v>
      </c>
      <c r="B2038" s="343" t="str">
        <f>"51.0908"</f>
        <v>51.0908</v>
      </c>
      <c r="C2038" s="75" t="s">
        <v>5073</v>
      </c>
      <c r="D2038" s="127" t="s">
        <v>5074</v>
      </c>
      <c r="E2038" s="232"/>
    </row>
    <row r="2039" spans="1:5" ht="14.55" customHeight="1" outlineLevel="1" x14ac:dyDescent="0.25">
      <c r="A2039" s="230" t="s">
        <v>1422</v>
      </c>
      <c r="B2039" s="343" t="str">
        <f>"51.0909"</f>
        <v>51.0909</v>
      </c>
      <c r="C2039" s="75" t="s">
        <v>5075</v>
      </c>
      <c r="D2039" s="127" t="s">
        <v>5076</v>
      </c>
      <c r="E2039" s="232"/>
    </row>
    <row r="2040" spans="1:5" ht="14.55" customHeight="1" outlineLevel="1" x14ac:dyDescent="0.25">
      <c r="A2040" s="230" t="s">
        <v>1422</v>
      </c>
      <c r="B2040" s="343" t="str">
        <f>"51.0910"</f>
        <v>51.0910</v>
      </c>
      <c r="C2040" s="75" t="s">
        <v>5077</v>
      </c>
      <c r="D2040" s="127" t="s">
        <v>5078</v>
      </c>
      <c r="E2040" s="232"/>
    </row>
    <row r="2041" spans="1:5" ht="14.55" customHeight="1" outlineLevel="1" x14ac:dyDescent="0.25">
      <c r="A2041" s="230" t="s">
        <v>1422</v>
      </c>
      <c r="B2041" s="343" t="str">
        <f>"51.0911"</f>
        <v>51.0911</v>
      </c>
      <c r="C2041" s="75" t="s">
        <v>5079</v>
      </c>
      <c r="D2041" s="127" t="s">
        <v>5080</v>
      </c>
      <c r="E2041" s="232"/>
    </row>
    <row r="2042" spans="1:5" ht="14.55" customHeight="1" outlineLevel="1" x14ac:dyDescent="0.25">
      <c r="A2042" s="230" t="s">
        <v>1422</v>
      </c>
      <c r="B2042" s="343" t="str">
        <f>"51.0912"</f>
        <v>51.0912</v>
      </c>
      <c r="C2042" s="75" t="s">
        <v>5081</v>
      </c>
      <c r="D2042" s="127" t="s">
        <v>5082</v>
      </c>
      <c r="E2042" s="232"/>
    </row>
    <row r="2043" spans="1:5" ht="14.55" customHeight="1" outlineLevel="1" x14ac:dyDescent="0.25">
      <c r="A2043" s="230" t="s">
        <v>1422</v>
      </c>
      <c r="B2043" s="343" t="str">
        <f>"51.0913"</f>
        <v>51.0913</v>
      </c>
      <c r="C2043" s="75" t="s">
        <v>5083</v>
      </c>
      <c r="D2043" s="127" t="s">
        <v>5084</v>
      </c>
      <c r="E2043" s="232"/>
    </row>
    <row r="2044" spans="1:5" ht="14.55" customHeight="1" outlineLevel="1" x14ac:dyDescent="0.25">
      <c r="A2044" s="230" t="s">
        <v>1422</v>
      </c>
      <c r="B2044" s="343" t="str">
        <f>"51.0914"</f>
        <v>51.0914</v>
      </c>
      <c r="C2044" s="75" t="s">
        <v>5085</v>
      </c>
      <c r="D2044" s="127" t="s">
        <v>5086</v>
      </c>
      <c r="E2044" s="232"/>
    </row>
    <row r="2045" spans="1:5" ht="14.55" customHeight="1" outlineLevel="1" x14ac:dyDescent="0.25">
      <c r="A2045" s="230" t="s">
        <v>1422</v>
      </c>
      <c r="B2045" s="343" t="str">
        <f>"51.0915"</f>
        <v>51.0915</v>
      </c>
      <c r="C2045" s="75" t="s">
        <v>5087</v>
      </c>
      <c r="D2045" s="127" t="s">
        <v>5088</v>
      </c>
      <c r="E2045" s="232"/>
    </row>
    <row r="2046" spans="1:5" ht="14.55" customHeight="1" outlineLevel="1" x14ac:dyDescent="0.25">
      <c r="A2046" s="230" t="s">
        <v>1422</v>
      </c>
      <c r="B2046" s="343" t="str">
        <f>"51.0916"</f>
        <v>51.0916</v>
      </c>
      <c r="C2046" s="75" t="s">
        <v>5089</v>
      </c>
      <c r="D2046" s="127" t="s">
        <v>5090</v>
      </c>
      <c r="E2046" s="232"/>
    </row>
    <row r="2047" spans="1:5" ht="14.55" customHeight="1" outlineLevel="1" x14ac:dyDescent="0.25">
      <c r="A2047" s="230" t="s">
        <v>1422</v>
      </c>
      <c r="B2047" s="343" t="str">
        <f>"51.0917"</f>
        <v>51.0917</v>
      </c>
      <c r="C2047" s="75" t="s">
        <v>5091</v>
      </c>
      <c r="D2047" s="127" t="s">
        <v>5092</v>
      </c>
      <c r="E2047" s="232"/>
    </row>
    <row r="2048" spans="1:5" ht="14.55" customHeight="1" outlineLevel="1" x14ac:dyDescent="0.25">
      <c r="A2048" s="230" t="s">
        <v>1422</v>
      </c>
      <c r="B2048" s="343" t="str">
        <f>"51.0918"</f>
        <v>51.0918</v>
      </c>
      <c r="C2048" s="75" t="s">
        <v>5093</v>
      </c>
      <c r="D2048" s="127" t="s">
        <v>5094</v>
      </c>
      <c r="E2048" s="232"/>
    </row>
    <row r="2049" spans="1:5" ht="14.55" customHeight="1" outlineLevel="1" x14ac:dyDescent="0.25">
      <c r="A2049" s="230" t="s">
        <v>1422</v>
      </c>
      <c r="B2049" s="343" t="str">
        <f>"51.0919"</f>
        <v>51.0919</v>
      </c>
      <c r="C2049" s="75" t="s">
        <v>5095</v>
      </c>
      <c r="D2049" s="127" t="s">
        <v>5096</v>
      </c>
      <c r="E2049" s="232"/>
    </row>
    <row r="2050" spans="1:5" ht="14.55" customHeight="1" outlineLevel="1" x14ac:dyDescent="0.25">
      <c r="A2050" s="230" t="s">
        <v>1422</v>
      </c>
      <c r="B2050" s="343" t="str">
        <f>"51.0920"</f>
        <v>51.0920</v>
      </c>
      <c r="C2050" s="75" t="s">
        <v>5097</v>
      </c>
      <c r="D2050" s="127" t="s">
        <v>5098</v>
      </c>
      <c r="E2050" s="232"/>
    </row>
    <row r="2051" spans="1:5" ht="14.55" customHeight="1" outlineLevel="1" x14ac:dyDescent="0.25">
      <c r="A2051" s="230" t="s">
        <v>1422</v>
      </c>
      <c r="B2051" s="343" t="str">
        <f>"51.0921"</f>
        <v>51.0921</v>
      </c>
      <c r="C2051" s="75" t="s">
        <v>5099</v>
      </c>
      <c r="D2051" s="127" t="s">
        <v>5100</v>
      </c>
      <c r="E2051" s="232"/>
    </row>
    <row r="2052" spans="1:5" ht="14.55" customHeight="1" outlineLevel="1" x14ac:dyDescent="0.25">
      <c r="A2052" s="230" t="s">
        <v>1422</v>
      </c>
      <c r="B2052" s="343" t="str">
        <f>"51.0922"</f>
        <v>51.0922</v>
      </c>
      <c r="C2052" s="75" t="s">
        <v>5101</v>
      </c>
      <c r="D2052" s="127" t="s">
        <v>5102</v>
      </c>
      <c r="E2052" s="232"/>
    </row>
    <row r="2053" spans="1:5" ht="14.55" customHeight="1" outlineLevel="1" x14ac:dyDescent="0.25">
      <c r="A2053" s="230" t="s">
        <v>1422</v>
      </c>
      <c r="B2053" s="343" t="str">
        <f>"51.0923"</f>
        <v>51.0923</v>
      </c>
      <c r="C2053" s="75" t="s">
        <v>5103</v>
      </c>
      <c r="D2053" s="127" t="s">
        <v>5104</v>
      </c>
      <c r="E2053" s="232"/>
    </row>
    <row r="2054" spans="1:5" ht="14.55" customHeight="1" outlineLevel="1" x14ac:dyDescent="0.25">
      <c r="A2054" s="230" t="s">
        <v>1422</v>
      </c>
      <c r="B2054" s="343" t="str">
        <f>"51.0924"</f>
        <v>51.0924</v>
      </c>
      <c r="C2054" s="75" t="s">
        <v>1479</v>
      </c>
      <c r="D2054" s="127" t="s">
        <v>1480</v>
      </c>
      <c r="E2054" s="232"/>
    </row>
    <row r="2055" spans="1:5" ht="14.55" customHeight="1" outlineLevel="1" x14ac:dyDescent="0.25">
      <c r="A2055" s="230" t="s">
        <v>1422</v>
      </c>
      <c r="B2055" s="343" t="str">
        <f>"51.0999"</f>
        <v>51.0999</v>
      </c>
      <c r="C2055" s="75" t="s">
        <v>5105</v>
      </c>
      <c r="D2055" s="127" t="s">
        <v>5106</v>
      </c>
      <c r="E2055" s="232"/>
    </row>
    <row r="2056" spans="1:5" ht="14.55" customHeight="1" outlineLevel="1" x14ac:dyDescent="0.25">
      <c r="A2056" s="230" t="s">
        <v>1422</v>
      </c>
      <c r="B2056" s="343" t="str">
        <f>"51.10"</f>
        <v>51.10</v>
      </c>
      <c r="C2056" s="75" t="s">
        <v>5107</v>
      </c>
      <c r="D2056" s="127" t="s">
        <v>5108</v>
      </c>
      <c r="E2056" s="232"/>
    </row>
    <row r="2057" spans="1:5" ht="14.55" customHeight="1" outlineLevel="1" x14ac:dyDescent="0.25">
      <c r="A2057" s="230" t="s">
        <v>1422</v>
      </c>
      <c r="B2057" s="343" t="str">
        <f>"51.1001"</f>
        <v>51.1001</v>
      </c>
      <c r="C2057" s="75" t="s">
        <v>5109</v>
      </c>
      <c r="D2057" s="127" t="s">
        <v>5110</v>
      </c>
      <c r="E2057" s="232"/>
    </row>
    <row r="2058" spans="1:5" ht="14.55" customHeight="1" outlineLevel="1" x14ac:dyDescent="0.25">
      <c r="A2058" s="230" t="s">
        <v>1422</v>
      </c>
      <c r="B2058" s="343" t="str">
        <f>"51.1002"</f>
        <v>51.1002</v>
      </c>
      <c r="C2058" s="75" t="s">
        <v>5111</v>
      </c>
      <c r="D2058" s="127" t="s">
        <v>5112</v>
      </c>
      <c r="E2058" s="232"/>
    </row>
    <row r="2059" spans="1:5" ht="14.55" customHeight="1" outlineLevel="1" x14ac:dyDescent="0.25">
      <c r="A2059" s="230" t="s">
        <v>1422</v>
      </c>
      <c r="B2059" s="343" t="str">
        <f>"51.1003"</f>
        <v>51.1003</v>
      </c>
      <c r="C2059" s="75" t="s">
        <v>5113</v>
      </c>
      <c r="D2059" s="127" t="s">
        <v>5114</v>
      </c>
      <c r="E2059" s="232"/>
    </row>
    <row r="2060" spans="1:5" ht="14.55" customHeight="1" outlineLevel="1" x14ac:dyDescent="0.25">
      <c r="A2060" s="230" t="s">
        <v>1422</v>
      </c>
      <c r="B2060" s="343" t="str">
        <f>"51.1004"</f>
        <v>51.1004</v>
      </c>
      <c r="C2060" s="75" t="s">
        <v>5115</v>
      </c>
      <c r="D2060" s="127" t="s">
        <v>5116</v>
      </c>
      <c r="E2060" s="232"/>
    </row>
    <row r="2061" spans="1:5" ht="14.55" customHeight="1" outlineLevel="1" x14ac:dyDescent="0.25">
      <c r="A2061" s="230" t="s">
        <v>1422</v>
      </c>
      <c r="B2061" s="343" t="str">
        <f>"51.1005"</f>
        <v>51.1005</v>
      </c>
      <c r="C2061" s="75" t="s">
        <v>5117</v>
      </c>
      <c r="D2061" s="127" t="s">
        <v>5118</v>
      </c>
      <c r="E2061" s="232"/>
    </row>
    <row r="2062" spans="1:5" ht="14.55" customHeight="1" outlineLevel="1" x14ac:dyDescent="0.25">
      <c r="A2062" s="230" t="s">
        <v>1422</v>
      </c>
      <c r="B2062" s="343" t="str">
        <f>"51.1006"</f>
        <v>51.1006</v>
      </c>
      <c r="C2062" s="75" t="s">
        <v>5119</v>
      </c>
      <c r="D2062" s="127" t="s">
        <v>5120</v>
      </c>
      <c r="E2062" s="232"/>
    </row>
    <row r="2063" spans="1:5" ht="14.55" customHeight="1" outlineLevel="1" x14ac:dyDescent="0.25">
      <c r="A2063" s="230" t="s">
        <v>1422</v>
      </c>
      <c r="B2063" s="343" t="str">
        <f>"51.1007"</f>
        <v>51.1007</v>
      </c>
      <c r="C2063" s="75" t="s">
        <v>5121</v>
      </c>
      <c r="D2063" s="127" t="s">
        <v>5122</v>
      </c>
      <c r="E2063" s="232"/>
    </row>
    <row r="2064" spans="1:5" ht="14.55" customHeight="1" outlineLevel="1" x14ac:dyDescent="0.25">
      <c r="A2064" s="230" t="s">
        <v>1422</v>
      </c>
      <c r="B2064" s="343" t="str">
        <f>"51.1008"</f>
        <v>51.1008</v>
      </c>
      <c r="C2064" s="75" t="s">
        <v>5123</v>
      </c>
      <c r="D2064" s="127" t="s">
        <v>5124</v>
      </c>
      <c r="E2064" s="232"/>
    </row>
    <row r="2065" spans="1:5" ht="14.55" customHeight="1" outlineLevel="1" x14ac:dyDescent="0.25">
      <c r="A2065" s="230" t="s">
        <v>1422</v>
      </c>
      <c r="B2065" s="343" t="str">
        <f>"51.1009"</f>
        <v>51.1009</v>
      </c>
      <c r="C2065" s="75" t="s">
        <v>5125</v>
      </c>
      <c r="D2065" s="127" t="s">
        <v>5126</v>
      </c>
      <c r="E2065" s="232"/>
    </row>
    <row r="2066" spans="1:5" ht="14.55" customHeight="1" outlineLevel="1" x14ac:dyDescent="0.25">
      <c r="A2066" s="230" t="s">
        <v>1422</v>
      </c>
      <c r="B2066" s="343" t="str">
        <f>"51.1010"</f>
        <v>51.1010</v>
      </c>
      <c r="C2066" s="75" t="s">
        <v>5127</v>
      </c>
      <c r="D2066" s="127" t="s">
        <v>5128</v>
      </c>
      <c r="E2066" s="232"/>
    </row>
    <row r="2067" spans="1:5" ht="14.55" customHeight="1" outlineLevel="1" x14ac:dyDescent="0.25">
      <c r="A2067" s="230" t="s">
        <v>1422</v>
      </c>
      <c r="B2067" s="343" t="str">
        <f>"51.1011"</f>
        <v>51.1011</v>
      </c>
      <c r="C2067" s="75" t="s">
        <v>5129</v>
      </c>
      <c r="D2067" s="127" t="s">
        <v>5130</v>
      </c>
      <c r="E2067" s="232"/>
    </row>
    <row r="2068" spans="1:5" ht="14.55" customHeight="1" outlineLevel="1" x14ac:dyDescent="0.25">
      <c r="A2068" s="230" t="s">
        <v>1422</v>
      </c>
      <c r="B2068" s="343" t="str">
        <f>"51.1012"</f>
        <v>51.1012</v>
      </c>
      <c r="C2068" s="75" t="s">
        <v>5131</v>
      </c>
      <c r="D2068" s="127" t="s">
        <v>5132</v>
      </c>
      <c r="E2068" s="232"/>
    </row>
    <row r="2069" spans="1:5" ht="14.55" customHeight="1" outlineLevel="1" x14ac:dyDescent="0.25">
      <c r="A2069" s="230" t="s">
        <v>1422</v>
      </c>
      <c r="B2069" s="343" t="str">
        <f>"51.1099"</f>
        <v>51.1099</v>
      </c>
      <c r="C2069" s="75" t="s">
        <v>5133</v>
      </c>
      <c r="D2069" s="127" t="s">
        <v>5134</v>
      </c>
      <c r="E2069" s="232"/>
    </row>
    <row r="2070" spans="1:5" ht="14.55" customHeight="1" outlineLevel="1" x14ac:dyDescent="0.25">
      <c r="A2070" s="230" t="s">
        <v>1422</v>
      </c>
      <c r="B2070" s="343" t="str">
        <f>"51.11"</f>
        <v>51.11</v>
      </c>
      <c r="C2070" s="75" t="s">
        <v>5135</v>
      </c>
      <c r="D2070" s="127" t="s">
        <v>5136</v>
      </c>
      <c r="E2070" s="232"/>
    </row>
    <row r="2071" spans="1:5" ht="14.55" customHeight="1" outlineLevel="1" x14ac:dyDescent="0.25">
      <c r="A2071" s="230" t="s">
        <v>1422</v>
      </c>
      <c r="B2071" s="343" t="str">
        <f>"51.1101"</f>
        <v>51.1101</v>
      </c>
      <c r="C2071" s="75" t="s">
        <v>5137</v>
      </c>
      <c r="D2071" s="127" t="s">
        <v>5138</v>
      </c>
      <c r="E2071" s="232"/>
    </row>
    <row r="2072" spans="1:5" ht="14.55" customHeight="1" outlineLevel="1" x14ac:dyDescent="0.25">
      <c r="A2072" s="230" t="s">
        <v>1422</v>
      </c>
      <c r="B2072" s="343" t="str">
        <f>"51.1102"</f>
        <v>51.1102</v>
      </c>
      <c r="C2072" s="75" t="s">
        <v>5139</v>
      </c>
      <c r="D2072" s="127" t="s">
        <v>5140</v>
      </c>
      <c r="E2072" s="232"/>
    </row>
    <row r="2073" spans="1:5" ht="14.55" customHeight="1" outlineLevel="1" x14ac:dyDescent="0.25">
      <c r="A2073" s="230" t="s">
        <v>1422</v>
      </c>
      <c r="B2073" s="343" t="str">
        <f>"51.1103"</f>
        <v>51.1103</v>
      </c>
      <c r="C2073" s="75" t="s">
        <v>5141</v>
      </c>
      <c r="D2073" s="127" t="s">
        <v>5142</v>
      </c>
      <c r="E2073" s="232"/>
    </row>
    <row r="2074" spans="1:5" ht="14.55" customHeight="1" outlineLevel="1" x14ac:dyDescent="0.25">
      <c r="A2074" s="230" t="s">
        <v>1422</v>
      </c>
      <c r="B2074" s="343" t="str">
        <f>"51.1105"</f>
        <v>51.1105</v>
      </c>
      <c r="C2074" s="75" t="s">
        <v>5143</v>
      </c>
      <c r="D2074" s="127" t="s">
        <v>5144</v>
      </c>
      <c r="E2074" s="232"/>
    </row>
    <row r="2075" spans="1:5" ht="14.55" customHeight="1" outlineLevel="1" x14ac:dyDescent="0.25">
      <c r="A2075" s="230" t="s">
        <v>1422</v>
      </c>
      <c r="B2075" s="343" t="str">
        <f>"51.1106"</f>
        <v>51.1106</v>
      </c>
      <c r="C2075" s="75" t="s">
        <v>5145</v>
      </c>
      <c r="D2075" s="127" t="s">
        <v>5146</v>
      </c>
      <c r="E2075" s="232"/>
    </row>
    <row r="2076" spans="1:5" ht="14.55" customHeight="1" outlineLevel="1" x14ac:dyDescent="0.25">
      <c r="A2076" s="230" t="s">
        <v>1422</v>
      </c>
      <c r="B2076" s="343" t="str">
        <f>"51.1107"</f>
        <v>51.1107</v>
      </c>
      <c r="C2076" s="75" t="s">
        <v>5147</v>
      </c>
      <c r="D2076" s="127" t="s">
        <v>5148</v>
      </c>
      <c r="E2076" s="232"/>
    </row>
    <row r="2077" spans="1:5" ht="14.55" customHeight="1" outlineLevel="1" x14ac:dyDescent="0.25">
      <c r="A2077" s="230" t="s">
        <v>1422</v>
      </c>
      <c r="B2077" s="343" t="str">
        <f>"51.1108"</f>
        <v>51.1108</v>
      </c>
      <c r="C2077" s="75" t="s">
        <v>5149</v>
      </c>
      <c r="D2077" s="127" t="s">
        <v>5150</v>
      </c>
      <c r="E2077" s="232"/>
    </row>
    <row r="2078" spans="1:5" ht="14.55" customHeight="1" outlineLevel="1" x14ac:dyDescent="0.25">
      <c r="A2078" s="230" t="s">
        <v>1422</v>
      </c>
      <c r="B2078" s="343" t="str">
        <f>"51.1109"</f>
        <v>51.1109</v>
      </c>
      <c r="C2078" s="75" t="s">
        <v>5151</v>
      </c>
      <c r="D2078" s="127" t="s">
        <v>5152</v>
      </c>
      <c r="E2078" s="232"/>
    </row>
    <row r="2079" spans="1:5" ht="14.55" customHeight="1" outlineLevel="1" x14ac:dyDescent="0.25">
      <c r="A2079" s="230" t="s">
        <v>1422</v>
      </c>
      <c r="B2079" s="343" t="str">
        <f>"51.1110"</f>
        <v>51.1110</v>
      </c>
      <c r="C2079" s="75" t="s">
        <v>5153</v>
      </c>
      <c r="D2079" s="127" t="s">
        <v>5154</v>
      </c>
      <c r="E2079" s="232"/>
    </row>
    <row r="2080" spans="1:5" ht="14.55" customHeight="1" outlineLevel="1" x14ac:dyDescent="0.25">
      <c r="A2080" s="230" t="s">
        <v>1422</v>
      </c>
      <c r="B2080" s="343" t="str">
        <f>"51.1111"</f>
        <v>51.1111</v>
      </c>
      <c r="C2080" s="75" t="s">
        <v>5155</v>
      </c>
      <c r="D2080" s="127" t="s">
        <v>5156</v>
      </c>
      <c r="E2080" s="232"/>
    </row>
    <row r="2081" spans="1:5" ht="14.55" customHeight="1" outlineLevel="1" x14ac:dyDescent="0.25">
      <c r="A2081" s="230" t="s">
        <v>1422</v>
      </c>
      <c r="B2081" s="343" t="str">
        <f>"51.1199"</f>
        <v>51.1199</v>
      </c>
      <c r="C2081" s="75" t="s">
        <v>5157</v>
      </c>
      <c r="D2081" s="127" t="s">
        <v>5158</v>
      </c>
      <c r="E2081" s="232"/>
    </row>
    <row r="2082" spans="1:5" ht="14.55" customHeight="1" outlineLevel="1" x14ac:dyDescent="0.25">
      <c r="A2082" s="230" t="s">
        <v>1422</v>
      </c>
      <c r="B2082" s="343" t="str">
        <f>"51.12"</f>
        <v>51.12</v>
      </c>
      <c r="C2082" s="75" t="s">
        <v>5159</v>
      </c>
      <c r="D2082" s="127" t="s">
        <v>5160</v>
      </c>
      <c r="E2082" s="232"/>
    </row>
    <row r="2083" spans="1:5" ht="14.55" customHeight="1" outlineLevel="1" x14ac:dyDescent="0.25">
      <c r="A2083" s="230" t="s">
        <v>1422</v>
      </c>
      <c r="B2083" s="343" t="str">
        <f>"51.1201"</f>
        <v>51.1201</v>
      </c>
      <c r="C2083" s="75" t="s">
        <v>5159</v>
      </c>
      <c r="D2083" s="127" t="s">
        <v>5161</v>
      </c>
      <c r="E2083" s="232"/>
    </row>
    <row r="2084" spans="1:5" ht="14.55" customHeight="1" outlineLevel="1" x14ac:dyDescent="0.25">
      <c r="A2084" s="230" t="s">
        <v>1422</v>
      </c>
      <c r="B2084" s="343" t="str">
        <f>"51.1202"</f>
        <v>51.1202</v>
      </c>
      <c r="C2084" s="75" t="s">
        <v>5162</v>
      </c>
      <c r="D2084" s="127" t="s">
        <v>5163</v>
      </c>
      <c r="E2084" s="232"/>
    </row>
    <row r="2085" spans="1:5" ht="14.55" customHeight="1" outlineLevel="1" x14ac:dyDescent="0.25">
      <c r="A2085" s="230" t="s">
        <v>1422</v>
      </c>
      <c r="B2085" s="343" t="str">
        <f>"51.1203"</f>
        <v>51.1203</v>
      </c>
      <c r="C2085" s="75" t="s">
        <v>5164</v>
      </c>
      <c r="D2085" s="127" t="s">
        <v>5165</v>
      </c>
      <c r="E2085" s="232"/>
    </row>
    <row r="2086" spans="1:5" ht="14.55" customHeight="1" outlineLevel="1" x14ac:dyDescent="0.25">
      <c r="A2086" s="230" t="s">
        <v>1422</v>
      </c>
      <c r="B2086" s="343" t="str">
        <f>"51.1299"</f>
        <v>51.1299</v>
      </c>
      <c r="C2086" s="75" t="s">
        <v>5166</v>
      </c>
      <c r="D2086" s="127" t="s">
        <v>5167</v>
      </c>
      <c r="E2086" s="232"/>
    </row>
    <row r="2087" spans="1:5" ht="14.55" customHeight="1" outlineLevel="1" x14ac:dyDescent="0.25">
      <c r="A2087" s="230" t="s">
        <v>1422</v>
      </c>
      <c r="B2087" s="343" t="str">
        <f>"51.14"</f>
        <v>51.14</v>
      </c>
      <c r="C2087" s="75" t="s">
        <v>5168</v>
      </c>
      <c r="D2087" s="127" t="s">
        <v>5169</v>
      </c>
      <c r="E2087" s="232"/>
    </row>
    <row r="2088" spans="1:5" ht="14.55" customHeight="1" outlineLevel="1" x14ac:dyDescent="0.25">
      <c r="A2088" s="230" t="s">
        <v>1422</v>
      </c>
      <c r="B2088" s="343" t="str">
        <f>"51.1401"</f>
        <v>51.1401</v>
      </c>
      <c r="C2088" s="75" t="s">
        <v>5170</v>
      </c>
      <c r="D2088" s="127" t="s">
        <v>5171</v>
      </c>
      <c r="E2088" s="232"/>
    </row>
    <row r="2089" spans="1:5" ht="14.55" customHeight="1" outlineLevel="1" x14ac:dyDescent="0.25">
      <c r="A2089" s="230" t="s">
        <v>1422</v>
      </c>
      <c r="B2089" s="343" t="str">
        <f>"51.1402"</f>
        <v>51.1402</v>
      </c>
      <c r="C2089" s="75" t="s">
        <v>5172</v>
      </c>
      <c r="D2089" s="127" t="s">
        <v>5173</v>
      </c>
      <c r="E2089" s="232"/>
    </row>
    <row r="2090" spans="1:5" ht="14.55" customHeight="1" outlineLevel="1" x14ac:dyDescent="0.25">
      <c r="A2090" s="230" t="s">
        <v>1422</v>
      </c>
      <c r="B2090" s="343" t="str">
        <f>"51.1403"</f>
        <v>51.1403</v>
      </c>
      <c r="C2090" s="75" t="s">
        <v>5174</v>
      </c>
      <c r="D2090" s="127" t="s">
        <v>5175</v>
      </c>
      <c r="E2090" s="232"/>
    </row>
    <row r="2091" spans="1:5" ht="14.55" customHeight="1" outlineLevel="1" x14ac:dyDescent="0.25">
      <c r="A2091" s="230" t="s">
        <v>1422</v>
      </c>
      <c r="B2091" s="343" t="str">
        <f>"51.1404"</f>
        <v>51.1404</v>
      </c>
      <c r="C2091" s="75" t="s">
        <v>5176</v>
      </c>
      <c r="D2091" s="127" t="s">
        <v>5177</v>
      </c>
      <c r="E2091" s="232"/>
    </row>
    <row r="2092" spans="1:5" ht="14.55" customHeight="1" outlineLevel="1" x14ac:dyDescent="0.25">
      <c r="A2092" s="230" t="s">
        <v>1422</v>
      </c>
      <c r="B2092" s="343" t="str">
        <f>"51.1405"</f>
        <v>51.1405</v>
      </c>
      <c r="C2092" s="75" t="s">
        <v>5178</v>
      </c>
      <c r="D2092" s="127" t="s">
        <v>5179</v>
      </c>
      <c r="E2092" s="232"/>
    </row>
    <row r="2093" spans="1:5" ht="14.55" customHeight="1" outlineLevel="1" x14ac:dyDescent="0.25">
      <c r="A2093" s="230" t="s">
        <v>1422</v>
      </c>
      <c r="B2093" s="343" t="str">
        <f>"51.1499"</f>
        <v>51.1499</v>
      </c>
      <c r="C2093" s="75" t="s">
        <v>5180</v>
      </c>
      <c r="D2093" s="127" t="s">
        <v>5181</v>
      </c>
      <c r="E2093" s="232"/>
    </row>
    <row r="2094" spans="1:5" ht="14.55" customHeight="1" outlineLevel="1" x14ac:dyDescent="0.25">
      <c r="A2094" s="230" t="s">
        <v>1422</v>
      </c>
      <c r="B2094" s="343" t="str">
        <f>"51.15"</f>
        <v>51.15</v>
      </c>
      <c r="C2094" s="75" t="s">
        <v>5182</v>
      </c>
      <c r="D2094" s="127" t="s">
        <v>5183</v>
      </c>
      <c r="E2094" s="232"/>
    </row>
    <row r="2095" spans="1:5" ht="14.55" customHeight="1" outlineLevel="1" x14ac:dyDescent="0.25">
      <c r="A2095" s="230" t="s">
        <v>1422</v>
      </c>
      <c r="B2095" s="343" t="str">
        <f>"51.1501"</f>
        <v>51.1501</v>
      </c>
      <c r="C2095" s="75" t="s">
        <v>5184</v>
      </c>
      <c r="D2095" s="127" t="s">
        <v>5185</v>
      </c>
      <c r="E2095" s="232"/>
    </row>
    <row r="2096" spans="1:5" ht="14.55" customHeight="1" outlineLevel="1" x14ac:dyDescent="0.25">
      <c r="A2096" s="230" t="s">
        <v>1422</v>
      </c>
      <c r="B2096" s="343" t="str">
        <f>"51.1502"</f>
        <v>51.1502</v>
      </c>
      <c r="C2096" s="75" t="s">
        <v>5186</v>
      </c>
      <c r="D2096" s="127" t="s">
        <v>5187</v>
      </c>
      <c r="E2096" s="232"/>
    </row>
    <row r="2097" spans="1:5" ht="14.55" customHeight="1" outlineLevel="1" x14ac:dyDescent="0.25">
      <c r="A2097" s="230" t="s">
        <v>1422</v>
      </c>
      <c r="B2097" s="343" t="str">
        <f>"51.1503"</f>
        <v>51.1503</v>
      </c>
      <c r="C2097" s="75" t="s">
        <v>5188</v>
      </c>
      <c r="D2097" s="127" t="s">
        <v>5189</v>
      </c>
      <c r="E2097" s="232"/>
    </row>
    <row r="2098" spans="1:5" ht="14.55" customHeight="1" outlineLevel="1" x14ac:dyDescent="0.25">
      <c r="A2098" s="230" t="s">
        <v>1422</v>
      </c>
      <c r="B2098" s="343" t="str">
        <f>"51.1504"</f>
        <v>51.1504</v>
      </c>
      <c r="C2098" s="75" t="s">
        <v>5190</v>
      </c>
      <c r="D2098" s="127" t="s">
        <v>5191</v>
      </c>
      <c r="E2098" s="232"/>
    </row>
    <row r="2099" spans="1:5" ht="14.55" customHeight="1" outlineLevel="1" x14ac:dyDescent="0.25">
      <c r="A2099" s="230" t="s">
        <v>1422</v>
      </c>
      <c r="B2099" s="343" t="str">
        <f>"51.1505"</f>
        <v>51.1505</v>
      </c>
      <c r="C2099" s="75" t="s">
        <v>5192</v>
      </c>
      <c r="D2099" s="127" t="s">
        <v>5193</v>
      </c>
      <c r="E2099" s="232"/>
    </row>
    <row r="2100" spans="1:5" ht="14.55" customHeight="1" outlineLevel="1" x14ac:dyDescent="0.25">
      <c r="A2100" s="230" t="s">
        <v>1422</v>
      </c>
      <c r="B2100" s="343" t="str">
        <f>"51.1506"</f>
        <v>51.1506</v>
      </c>
      <c r="C2100" s="75" t="s">
        <v>5194</v>
      </c>
      <c r="D2100" s="127" t="s">
        <v>5195</v>
      </c>
      <c r="E2100" s="232"/>
    </row>
    <row r="2101" spans="1:5" ht="14.55" customHeight="1" outlineLevel="1" x14ac:dyDescent="0.25">
      <c r="A2101" s="230" t="s">
        <v>1422</v>
      </c>
      <c r="B2101" s="343" t="str">
        <f>"51.1507"</f>
        <v>51.1507</v>
      </c>
      <c r="C2101" s="75" t="s">
        <v>5196</v>
      </c>
      <c r="D2101" s="127" t="s">
        <v>5197</v>
      </c>
      <c r="E2101" s="232"/>
    </row>
    <row r="2102" spans="1:5" ht="14.55" customHeight="1" outlineLevel="1" x14ac:dyDescent="0.25">
      <c r="A2102" s="230" t="s">
        <v>1422</v>
      </c>
      <c r="B2102" s="343" t="str">
        <f>"51.1508"</f>
        <v>51.1508</v>
      </c>
      <c r="C2102" s="75" t="s">
        <v>5198</v>
      </c>
      <c r="D2102" s="127" t="s">
        <v>5199</v>
      </c>
      <c r="E2102" s="232"/>
    </row>
    <row r="2103" spans="1:5" ht="14.55" customHeight="1" outlineLevel="1" x14ac:dyDescent="0.25">
      <c r="A2103" s="230" t="s">
        <v>1422</v>
      </c>
      <c r="B2103" s="343" t="str">
        <f>"51.1509"</f>
        <v>51.1509</v>
      </c>
      <c r="C2103" s="75" t="s">
        <v>5200</v>
      </c>
      <c r="D2103" s="127" t="s">
        <v>5201</v>
      </c>
      <c r="E2103" s="232"/>
    </row>
    <row r="2104" spans="1:5" ht="14.55" customHeight="1" outlineLevel="1" x14ac:dyDescent="0.25">
      <c r="A2104" s="230" t="s">
        <v>1422</v>
      </c>
      <c r="B2104" s="343" t="str">
        <f>"51.1510"</f>
        <v>51.1510</v>
      </c>
      <c r="C2104" s="75" t="s">
        <v>5202</v>
      </c>
      <c r="D2104" s="127" t="s">
        <v>5203</v>
      </c>
      <c r="E2104" s="232"/>
    </row>
    <row r="2105" spans="1:5" ht="14.55" customHeight="1" outlineLevel="1" x14ac:dyDescent="0.25">
      <c r="A2105" s="230" t="s">
        <v>1422</v>
      </c>
      <c r="B2105" s="343" t="str">
        <f>"51.1511"</f>
        <v>51.1511</v>
      </c>
      <c r="C2105" s="75" t="s">
        <v>5204</v>
      </c>
      <c r="D2105" s="127" t="s">
        <v>5205</v>
      </c>
      <c r="E2105" s="232"/>
    </row>
    <row r="2106" spans="1:5" ht="14.55" customHeight="1" outlineLevel="1" x14ac:dyDescent="0.25">
      <c r="A2106" s="230" t="s">
        <v>1422</v>
      </c>
      <c r="B2106" s="343" t="str">
        <f>"51.1512"</f>
        <v>51.1512</v>
      </c>
      <c r="C2106" s="75" t="s">
        <v>5206</v>
      </c>
      <c r="D2106" s="127" t="s">
        <v>5207</v>
      </c>
      <c r="E2106" s="232"/>
    </row>
    <row r="2107" spans="1:5" ht="14.55" customHeight="1" outlineLevel="1" x14ac:dyDescent="0.25">
      <c r="A2107" s="230" t="s">
        <v>1422</v>
      </c>
      <c r="B2107" s="343" t="str">
        <f>"51.1513"</f>
        <v>51.1513</v>
      </c>
      <c r="C2107" s="75" t="s">
        <v>5208</v>
      </c>
      <c r="D2107" s="127" t="s">
        <v>5209</v>
      </c>
      <c r="E2107" s="232"/>
    </row>
    <row r="2108" spans="1:5" ht="14.55" customHeight="1" outlineLevel="1" x14ac:dyDescent="0.25">
      <c r="A2108" s="230" t="s">
        <v>1422</v>
      </c>
      <c r="B2108" s="343" t="str">
        <f>"51.1580"</f>
        <v>51.1580</v>
      </c>
      <c r="C2108" s="75" t="s">
        <v>1479</v>
      </c>
      <c r="D2108" s="127" t="s">
        <v>1480</v>
      </c>
      <c r="E2108" s="232"/>
    </row>
    <row r="2109" spans="1:5" ht="14.55" customHeight="1" outlineLevel="1" x14ac:dyDescent="0.25">
      <c r="A2109" s="230" t="s">
        <v>1422</v>
      </c>
      <c r="B2109" s="343" t="str">
        <f>"51.1599"</f>
        <v>51.1599</v>
      </c>
      <c r="C2109" s="75" t="s">
        <v>5210</v>
      </c>
      <c r="D2109" s="127" t="s">
        <v>5211</v>
      </c>
      <c r="E2109" s="232"/>
    </row>
    <row r="2110" spans="1:5" ht="14.55" customHeight="1" outlineLevel="1" x14ac:dyDescent="0.25">
      <c r="A2110" s="230" t="s">
        <v>1422</v>
      </c>
      <c r="B2110" s="343" t="str">
        <f>"51.17"</f>
        <v>51.17</v>
      </c>
      <c r="C2110" s="75" t="s">
        <v>5212</v>
      </c>
      <c r="D2110" s="127" t="s">
        <v>5213</v>
      </c>
      <c r="E2110" s="232"/>
    </row>
    <row r="2111" spans="1:5" ht="14.55" customHeight="1" outlineLevel="1" x14ac:dyDescent="0.25">
      <c r="A2111" s="230" t="s">
        <v>1422</v>
      </c>
      <c r="B2111" s="343" t="str">
        <f>"51.1701"</f>
        <v>51.1701</v>
      </c>
      <c r="C2111" s="75" t="s">
        <v>5212</v>
      </c>
      <c r="D2111" s="127" t="s">
        <v>5214</v>
      </c>
      <c r="E2111" s="232"/>
    </row>
    <row r="2112" spans="1:5" ht="14.55" customHeight="1" outlineLevel="1" x14ac:dyDescent="0.25">
      <c r="A2112" s="230" t="s">
        <v>1422</v>
      </c>
      <c r="B2112" s="343" t="str">
        <f>"51.18"</f>
        <v>51.18</v>
      </c>
      <c r="C2112" s="75" t="s">
        <v>5215</v>
      </c>
      <c r="D2112" s="127" t="s">
        <v>5216</v>
      </c>
      <c r="E2112" s="232"/>
    </row>
    <row r="2113" spans="1:5" ht="14.55" customHeight="1" outlineLevel="1" x14ac:dyDescent="0.25">
      <c r="A2113" s="230" t="s">
        <v>1422</v>
      </c>
      <c r="B2113" s="343" t="str">
        <f>"51.1801"</f>
        <v>51.1801</v>
      </c>
      <c r="C2113" s="75" t="s">
        <v>5217</v>
      </c>
      <c r="D2113" s="127" t="s">
        <v>5218</v>
      </c>
      <c r="E2113" s="232"/>
    </row>
    <row r="2114" spans="1:5" ht="14.55" customHeight="1" outlineLevel="1" x14ac:dyDescent="0.25">
      <c r="A2114" s="230" t="s">
        <v>1422</v>
      </c>
      <c r="B2114" s="343" t="str">
        <f>"51.1802"</f>
        <v>51.1802</v>
      </c>
      <c r="C2114" s="75" t="s">
        <v>5219</v>
      </c>
      <c r="D2114" s="127" t="s">
        <v>5220</v>
      </c>
      <c r="E2114" s="232"/>
    </row>
    <row r="2115" spans="1:5" ht="14.55" customHeight="1" outlineLevel="1" x14ac:dyDescent="0.25">
      <c r="A2115" s="230" t="s">
        <v>1422</v>
      </c>
      <c r="B2115" s="343" t="str">
        <f>"51.1803"</f>
        <v>51.1803</v>
      </c>
      <c r="C2115" s="75" t="s">
        <v>5221</v>
      </c>
      <c r="D2115" s="127" t="s">
        <v>5222</v>
      </c>
      <c r="E2115" s="232"/>
    </row>
    <row r="2116" spans="1:5" ht="14.55" customHeight="1" outlineLevel="1" x14ac:dyDescent="0.25">
      <c r="A2116" s="230" t="s">
        <v>1422</v>
      </c>
      <c r="B2116" s="343" t="str">
        <f>"51.1804"</f>
        <v>51.1804</v>
      </c>
      <c r="C2116" s="75" t="s">
        <v>5223</v>
      </c>
      <c r="D2116" s="127" t="s">
        <v>5224</v>
      </c>
      <c r="E2116" s="232"/>
    </row>
    <row r="2117" spans="1:5" ht="14.55" customHeight="1" outlineLevel="1" x14ac:dyDescent="0.25">
      <c r="A2117" s="230" t="s">
        <v>1422</v>
      </c>
      <c r="B2117" s="343" t="str">
        <f>"51.1899"</f>
        <v>51.1899</v>
      </c>
      <c r="C2117" s="75" t="s">
        <v>5225</v>
      </c>
      <c r="D2117" s="127" t="s">
        <v>5226</v>
      </c>
      <c r="E2117" s="232"/>
    </row>
    <row r="2118" spans="1:5" ht="14.55" customHeight="1" outlineLevel="1" x14ac:dyDescent="0.25">
      <c r="A2118" s="230" t="s">
        <v>1422</v>
      </c>
      <c r="B2118" s="343" t="str">
        <f>"51.20"</f>
        <v>51.20</v>
      </c>
      <c r="C2118" s="75" t="s">
        <v>5227</v>
      </c>
      <c r="D2118" s="127" t="s">
        <v>5228</v>
      </c>
      <c r="E2118" s="232"/>
    </row>
    <row r="2119" spans="1:5" ht="14.55" customHeight="1" outlineLevel="1" x14ac:dyDescent="0.25">
      <c r="A2119" s="230" t="s">
        <v>1422</v>
      </c>
      <c r="B2119" s="343" t="str">
        <f>"51.2001"</f>
        <v>51.2001</v>
      </c>
      <c r="C2119" s="75" t="s">
        <v>5229</v>
      </c>
      <c r="D2119" s="127" t="s">
        <v>5230</v>
      </c>
      <c r="E2119" s="232"/>
    </row>
    <row r="2120" spans="1:5" ht="14.55" customHeight="1" outlineLevel="1" x14ac:dyDescent="0.25">
      <c r="A2120" s="230" t="s">
        <v>1422</v>
      </c>
      <c r="B2120" s="343" t="str">
        <f>"51.2002"</f>
        <v>51.2002</v>
      </c>
      <c r="C2120" s="75" t="s">
        <v>5231</v>
      </c>
      <c r="D2120" s="127" t="s">
        <v>5232</v>
      </c>
      <c r="E2120" s="232"/>
    </row>
    <row r="2121" spans="1:5" ht="14.55" customHeight="1" outlineLevel="1" x14ac:dyDescent="0.25">
      <c r="A2121" s="230" t="s">
        <v>1422</v>
      </c>
      <c r="B2121" s="343" t="str">
        <f>"51.2003"</f>
        <v>51.2003</v>
      </c>
      <c r="C2121" s="75" t="s">
        <v>5233</v>
      </c>
      <c r="D2121" s="127" t="s">
        <v>5234</v>
      </c>
      <c r="E2121" s="232"/>
    </row>
    <row r="2122" spans="1:5" ht="14.55" customHeight="1" outlineLevel="1" x14ac:dyDescent="0.25">
      <c r="A2122" s="230" t="s">
        <v>1422</v>
      </c>
      <c r="B2122" s="343" t="str">
        <f>"51.2004"</f>
        <v>51.2004</v>
      </c>
      <c r="C2122" s="75" t="s">
        <v>5235</v>
      </c>
      <c r="D2122" s="127" t="s">
        <v>5236</v>
      </c>
      <c r="E2122" s="232"/>
    </row>
    <row r="2123" spans="1:5" ht="14.55" customHeight="1" outlineLevel="1" x14ac:dyDescent="0.25">
      <c r="A2123" s="230" t="s">
        <v>1422</v>
      </c>
      <c r="B2123" s="343" t="str">
        <f>"51.2005"</f>
        <v>51.2005</v>
      </c>
      <c r="C2123" s="75" t="s">
        <v>5237</v>
      </c>
      <c r="D2123" s="127" t="s">
        <v>5238</v>
      </c>
      <c r="E2123" s="232"/>
    </row>
    <row r="2124" spans="1:5" ht="14.55" customHeight="1" outlineLevel="1" x14ac:dyDescent="0.25">
      <c r="A2124" s="230" t="s">
        <v>1422</v>
      </c>
      <c r="B2124" s="343" t="str">
        <f>"51.2006"</f>
        <v>51.2006</v>
      </c>
      <c r="C2124" s="75" t="s">
        <v>5239</v>
      </c>
      <c r="D2124" s="127" t="s">
        <v>5240</v>
      </c>
      <c r="E2124" s="232"/>
    </row>
    <row r="2125" spans="1:5" ht="14.55" customHeight="1" outlineLevel="1" x14ac:dyDescent="0.25">
      <c r="A2125" s="230" t="s">
        <v>1422</v>
      </c>
      <c r="B2125" s="343" t="str">
        <f>"51.2007"</f>
        <v>51.2007</v>
      </c>
      <c r="C2125" s="75" t="s">
        <v>5241</v>
      </c>
      <c r="D2125" s="127" t="s">
        <v>5242</v>
      </c>
      <c r="E2125" s="232"/>
    </row>
    <row r="2126" spans="1:5" ht="14.55" customHeight="1" outlineLevel="1" x14ac:dyDescent="0.25">
      <c r="A2126" s="230" t="s">
        <v>1422</v>
      </c>
      <c r="B2126" s="343" t="str">
        <f>"51.2008"</f>
        <v>51.2008</v>
      </c>
      <c r="C2126" s="75" t="s">
        <v>5243</v>
      </c>
      <c r="D2126" s="127" t="s">
        <v>5244</v>
      </c>
      <c r="E2126" s="232"/>
    </row>
    <row r="2127" spans="1:5" ht="14.55" customHeight="1" outlineLevel="1" x14ac:dyDescent="0.25">
      <c r="A2127" s="230" t="s">
        <v>1422</v>
      </c>
      <c r="B2127" s="343" t="str">
        <f>"51.2009"</f>
        <v>51.2009</v>
      </c>
      <c r="C2127" s="75" t="s">
        <v>5245</v>
      </c>
      <c r="D2127" s="127" t="s">
        <v>5246</v>
      </c>
      <c r="E2127" s="232"/>
    </row>
    <row r="2128" spans="1:5" ht="14.55" customHeight="1" outlineLevel="1" x14ac:dyDescent="0.25">
      <c r="A2128" s="230" t="s">
        <v>1422</v>
      </c>
      <c r="B2128" s="343" t="str">
        <f>"51.2010"</f>
        <v>51.2010</v>
      </c>
      <c r="C2128" s="75" t="s">
        <v>5247</v>
      </c>
      <c r="D2128" s="127" t="s">
        <v>5248</v>
      </c>
      <c r="E2128" s="232"/>
    </row>
    <row r="2129" spans="1:5" ht="14.55" customHeight="1" outlineLevel="1" x14ac:dyDescent="0.25">
      <c r="A2129" s="230" t="s">
        <v>1422</v>
      </c>
      <c r="B2129" s="343" t="str">
        <f>"51.2011"</f>
        <v>51.2011</v>
      </c>
      <c r="C2129" s="75" t="s">
        <v>5249</v>
      </c>
      <c r="D2129" s="127" t="s">
        <v>5250</v>
      </c>
      <c r="E2129" s="232"/>
    </row>
    <row r="2130" spans="1:5" ht="14.55" customHeight="1" outlineLevel="1" x14ac:dyDescent="0.25">
      <c r="A2130" s="230" t="s">
        <v>1422</v>
      </c>
      <c r="B2130" s="343" t="str">
        <f>"51.2099"</f>
        <v>51.2099</v>
      </c>
      <c r="C2130" s="75" t="s">
        <v>5251</v>
      </c>
      <c r="D2130" s="127" t="s">
        <v>5252</v>
      </c>
      <c r="E2130" s="232"/>
    </row>
    <row r="2131" spans="1:5" ht="14.55" customHeight="1" outlineLevel="1" x14ac:dyDescent="0.25">
      <c r="A2131" s="230" t="s">
        <v>1422</v>
      </c>
      <c r="B2131" s="343" t="str">
        <f>"51.22"</f>
        <v>51.22</v>
      </c>
      <c r="C2131" s="75" t="s">
        <v>5253</v>
      </c>
      <c r="D2131" s="127" t="s">
        <v>5254</v>
      </c>
      <c r="E2131" s="232"/>
    </row>
    <row r="2132" spans="1:5" ht="14.55" customHeight="1" outlineLevel="1" x14ac:dyDescent="0.25">
      <c r="A2132" s="230" t="s">
        <v>1422</v>
      </c>
      <c r="B2132" s="343" t="str">
        <f>"51.2201"</f>
        <v>51.2201</v>
      </c>
      <c r="C2132" s="75" t="s">
        <v>5255</v>
      </c>
      <c r="D2132" s="127" t="s">
        <v>5256</v>
      </c>
      <c r="E2132" s="232"/>
    </row>
    <row r="2133" spans="1:5" ht="14.55" customHeight="1" outlineLevel="1" x14ac:dyDescent="0.25">
      <c r="A2133" s="230" t="s">
        <v>1422</v>
      </c>
      <c r="B2133" s="343" t="str">
        <f>"51.2202"</f>
        <v>51.2202</v>
      </c>
      <c r="C2133" s="75" t="s">
        <v>5257</v>
      </c>
      <c r="D2133" s="127" t="s">
        <v>5258</v>
      </c>
      <c r="E2133" s="232"/>
    </row>
    <row r="2134" spans="1:5" ht="14.55" customHeight="1" outlineLevel="1" x14ac:dyDescent="0.25">
      <c r="A2134" s="230" t="s">
        <v>1422</v>
      </c>
      <c r="B2134" s="343" t="str">
        <f>"51.2205"</f>
        <v>51.2205</v>
      </c>
      <c r="C2134" s="75" t="s">
        <v>5259</v>
      </c>
      <c r="D2134" s="127" t="s">
        <v>5260</v>
      </c>
      <c r="E2134" s="232"/>
    </row>
    <row r="2135" spans="1:5" ht="14.55" customHeight="1" outlineLevel="1" x14ac:dyDescent="0.25">
      <c r="A2135" s="230" t="s">
        <v>1422</v>
      </c>
      <c r="B2135" s="343" t="str">
        <f>"51.2206"</f>
        <v>51.2206</v>
      </c>
      <c r="C2135" s="75" t="s">
        <v>5261</v>
      </c>
      <c r="D2135" s="127" t="s">
        <v>5262</v>
      </c>
      <c r="E2135" s="232"/>
    </row>
    <row r="2136" spans="1:5" ht="14.55" customHeight="1" outlineLevel="1" x14ac:dyDescent="0.25">
      <c r="A2136" s="230" t="s">
        <v>1422</v>
      </c>
      <c r="B2136" s="343" t="str">
        <f>"51.2207"</f>
        <v>51.2207</v>
      </c>
      <c r="C2136" s="75" t="s">
        <v>5263</v>
      </c>
      <c r="D2136" s="127" t="s">
        <v>5264</v>
      </c>
      <c r="E2136" s="232"/>
    </row>
    <row r="2137" spans="1:5" ht="14.55" customHeight="1" outlineLevel="1" x14ac:dyDescent="0.25">
      <c r="A2137" s="230" t="s">
        <v>1422</v>
      </c>
      <c r="B2137" s="343" t="str">
        <f>"51.2208"</f>
        <v>51.2208</v>
      </c>
      <c r="C2137" s="75" t="s">
        <v>5265</v>
      </c>
      <c r="D2137" s="127" t="s">
        <v>5266</v>
      </c>
      <c r="E2137" s="232"/>
    </row>
    <row r="2138" spans="1:5" ht="14.55" customHeight="1" outlineLevel="1" x14ac:dyDescent="0.25">
      <c r="A2138" s="230" t="s">
        <v>1422</v>
      </c>
      <c r="B2138" s="343" t="str">
        <f>"51.2209"</f>
        <v>51.2209</v>
      </c>
      <c r="C2138" s="75" t="s">
        <v>5267</v>
      </c>
      <c r="D2138" s="127" t="s">
        <v>5268</v>
      </c>
      <c r="E2138" s="232"/>
    </row>
    <row r="2139" spans="1:5" ht="14.55" customHeight="1" outlineLevel="1" x14ac:dyDescent="0.25">
      <c r="A2139" s="230" t="s">
        <v>1422</v>
      </c>
      <c r="B2139" s="343" t="str">
        <f>"51.2210"</f>
        <v>51.2210</v>
      </c>
      <c r="C2139" s="75" t="s">
        <v>5269</v>
      </c>
      <c r="D2139" s="127" t="s">
        <v>5270</v>
      </c>
      <c r="E2139" s="232"/>
    </row>
    <row r="2140" spans="1:5" ht="14.55" customHeight="1" outlineLevel="1" x14ac:dyDescent="0.25">
      <c r="A2140" s="230" t="s">
        <v>1422</v>
      </c>
      <c r="B2140" s="343" t="str">
        <f>"51.2211"</f>
        <v>51.2211</v>
      </c>
      <c r="C2140" s="75" t="s">
        <v>5271</v>
      </c>
      <c r="D2140" s="127" t="s">
        <v>5272</v>
      </c>
      <c r="E2140" s="232"/>
    </row>
    <row r="2141" spans="1:5" ht="14.55" customHeight="1" outlineLevel="1" x14ac:dyDescent="0.25">
      <c r="A2141" s="230" t="s">
        <v>1422</v>
      </c>
      <c r="B2141" s="343" t="str">
        <f>"51.2212"</f>
        <v>51.2212</v>
      </c>
      <c r="C2141" s="75" t="s">
        <v>5273</v>
      </c>
      <c r="D2141" s="127" t="s">
        <v>5274</v>
      </c>
      <c r="E2141" s="232"/>
    </row>
    <row r="2142" spans="1:5" ht="14.55" customHeight="1" outlineLevel="1" x14ac:dyDescent="0.25">
      <c r="A2142" s="230" t="s">
        <v>1422</v>
      </c>
      <c r="B2142" s="343" t="str">
        <f>"51.2213"</f>
        <v>51.2213</v>
      </c>
      <c r="C2142" s="75" t="s">
        <v>5275</v>
      </c>
      <c r="D2142" s="127" t="s">
        <v>5276</v>
      </c>
      <c r="E2142" s="232"/>
    </row>
    <row r="2143" spans="1:5" ht="14.55" customHeight="1" outlineLevel="1" x14ac:dyDescent="0.25">
      <c r="A2143" s="230" t="s">
        <v>1422</v>
      </c>
      <c r="B2143" s="343" t="str">
        <f>"51.2214"</f>
        <v>51.2214</v>
      </c>
      <c r="C2143" s="75" t="s">
        <v>5277</v>
      </c>
      <c r="D2143" s="127" t="s">
        <v>5278</v>
      </c>
      <c r="E2143" s="232"/>
    </row>
    <row r="2144" spans="1:5" ht="14.55" customHeight="1" outlineLevel="1" x14ac:dyDescent="0.25">
      <c r="A2144" s="230" t="s">
        <v>1422</v>
      </c>
      <c r="B2144" s="343" t="str">
        <f>"51.2280"</f>
        <v>51.2280</v>
      </c>
      <c r="C2144" s="75" t="s">
        <v>1479</v>
      </c>
      <c r="D2144" s="127" t="s">
        <v>1480</v>
      </c>
      <c r="E2144" s="232"/>
    </row>
    <row r="2145" spans="1:5" ht="14.55" customHeight="1" outlineLevel="1" x14ac:dyDescent="0.25">
      <c r="A2145" s="230" t="s">
        <v>1422</v>
      </c>
      <c r="B2145" s="343" t="str">
        <f>"51.2299"</f>
        <v>51.2299</v>
      </c>
      <c r="C2145" s="75" t="s">
        <v>5279</v>
      </c>
      <c r="D2145" s="127" t="s">
        <v>5280</v>
      </c>
      <c r="E2145" s="232"/>
    </row>
    <row r="2146" spans="1:5" ht="14.55" customHeight="1" outlineLevel="1" x14ac:dyDescent="0.25">
      <c r="A2146" s="230" t="s">
        <v>1422</v>
      </c>
      <c r="B2146" s="343" t="str">
        <f>"51.23"</f>
        <v>51.23</v>
      </c>
      <c r="C2146" s="75" t="s">
        <v>5281</v>
      </c>
      <c r="D2146" s="127" t="s">
        <v>5282</v>
      </c>
      <c r="E2146" s="232"/>
    </row>
    <row r="2147" spans="1:5" ht="14.55" customHeight="1" outlineLevel="1" x14ac:dyDescent="0.25">
      <c r="A2147" s="230" t="s">
        <v>1422</v>
      </c>
      <c r="B2147" s="343" t="str">
        <f>"51.2300"</f>
        <v>51.2300</v>
      </c>
      <c r="C2147" s="75" t="s">
        <v>5283</v>
      </c>
      <c r="D2147" s="127" t="s">
        <v>5284</v>
      </c>
      <c r="E2147" s="232"/>
    </row>
    <row r="2148" spans="1:5" ht="14.55" customHeight="1" outlineLevel="1" x14ac:dyDescent="0.25">
      <c r="A2148" s="230" t="s">
        <v>1422</v>
      </c>
      <c r="B2148" s="343" t="str">
        <f>"51.2301"</f>
        <v>51.2301</v>
      </c>
      <c r="C2148" s="75" t="s">
        <v>5285</v>
      </c>
      <c r="D2148" s="127" t="s">
        <v>5286</v>
      </c>
      <c r="E2148" s="232"/>
    </row>
    <row r="2149" spans="1:5" ht="14.55" customHeight="1" outlineLevel="1" x14ac:dyDescent="0.25">
      <c r="A2149" s="230" t="s">
        <v>1422</v>
      </c>
      <c r="B2149" s="343" t="str">
        <f>"51.2302"</f>
        <v>51.2302</v>
      </c>
      <c r="C2149" s="75" t="s">
        <v>5287</v>
      </c>
      <c r="D2149" s="127" t="s">
        <v>5288</v>
      </c>
      <c r="E2149" s="232"/>
    </row>
    <row r="2150" spans="1:5" ht="14.55" customHeight="1" outlineLevel="1" x14ac:dyDescent="0.25">
      <c r="A2150" s="230" t="s">
        <v>1422</v>
      </c>
      <c r="B2150" s="343" t="str">
        <f>"51.2305"</f>
        <v>51.2305</v>
      </c>
      <c r="C2150" s="75" t="s">
        <v>5289</v>
      </c>
      <c r="D2150" s="127" t="s">
        <v>5290</v>
      </c>
      <c r="E2150" s="232"/>
    </row>
    <row r="2151" spans="1:5" ht="14.55" customHeight="1" outlineLevel="1" x14ac:dyDescent="0.25">
      <c r="A2151" s="230" t="s">
        <v>1422</v>
      </c>
      <c r="B2151" s="343" t="str">
        <f>"51.2306"</f>
        <v>51.2306</v>
      </c>
      <c r="C2151" s="75" t="s">
        <v>5291</v>
      </c>
      <c r="D2151" s="127" t="s">
        <v>5292</v>
      </c>
      <c r="E2151" s="232"/>
    </row>
    <row r="2152" spans="1:5" ht="14.55" customHeight="1" outlineLevel="1" x14ac:dyDescent="0.25">
      <c r="A2152" s="230" t="s">
        <v>1422</v>
      </c>
      <c r="B2152" s="343" t="str">
        <f>"51.2307"</f>
        <v>51.2307</v>
      </c>
      <c r="C2152" s="75" t="s">
        <v>5293</v>
      </c>
      <c r="D2152" s="127" t="s">
        <v>5294</v>
      </c>
      <c r="E2152" s="232"/>
    </row>
    <row r="2153" spans="1:5" ht="14.55" customHeight="1" outlineLevel="1" x14ac:dyDescent="0.25">
      <c r="A2153" s="230" t="s">
        <v>1422</v>
      </c>
      <c r="B2153" s="343" t="str">
        <f>"51.2308"</f>
        <v>51.2308</v>
      </c>
      <c r="C2153" s="75" t="s">
        <v>5295</v>
      </c>
      <c r="D2153" s="127" t="s">
        <v>5296</v>
      </c>
      <c r="E2153" s="232"/>
    </row>
    <row r="2154" spans="1:5" ht="14.55" customHeight="1" outlineLevel="1" x14ac:dyDescent="0.25">
      <c r="A2154" s="230" t="s">
        <v>1422</v>
      </c>
      <c r="B2154" s="343" t="str">
        <f>"51.2309"</f>
        <v>51.2309</v>
      </c>
      <c r="C2154" s="75" t="s">
        <v>5297</v>
      </c>
      <c r="D2154" s="127" t="s">
        <v>5298</v>
      </c>
      <c r="E2154" s="232"/>
    </row>
    <row r="2155" spans="1:5" ht="14.55" customHeight="1" outlineLevel="1" x14ac:dyDescent="0.25">
      <c r="A2155" s="230" t="s">
        <v>1422</v>
      </c>
      <c r="B2155" s="343" t="str">
        <f>"51.2310"</f>
        <v>51.2310</v>
      </c>
      <c r="C2155" s="75" t="s">
        <v>5299</v>
      </c>
      <c r="D2155" s="127" t="s">
        <v>5300</v>
      </c>
      <c r="E2155" s="232"/>
    </row>
    <row r="2156" spans="1:5" ht="14.55" customHeight="1" outlineLevel="1" x14ac:dyDescent="0.25">
      <c r="A2156" s="230" t="s">
        <v>1422</v>
      </c>
      <c r="B2156" s="343" t="str">
        <f>"51.2311"</f>
        <v>51.2311</v>
      </c>
      <c r="C2156" s="75" t="s">
        <v>5301</v>
      </c>
      <c r="D2156" s="127" t="s">
        <v>5302</v>
      </c>
      <c r="E2156" s="232"/>
    </row>
    <row r="2157" spans="1:5" ht="14.55" customHeight="1" outlineLevel="1" x14ac:dyDescent="0.25">
      <c r="A2157" s="230" t="s">
        <v>1422</v>
      </c>
      <c r="B2157" s="343" t="str">
        <f>"51.2312"</f>
        <v>51.2312</v>
      </c>
      <c r="C2157" s="75" t="s">
        <v>5303</v>
      </c>
      <c r="D2157" s="127" t="s">
        <v>5304</v>
      </c>
      <c r="E2157" s="232"/>
    </row>
    <row r="2158" spans="1:5" ht="14.55" customHeight="1" outlineLevel="1" x14ac:dyDescent="0.25">
      <c r="A2158" s="230" t="s">
        <v>1422</v>
      </c>
      <c r="B2158" s="343" t="str">
        <f>"51.2313"</f>
        <v>51.2313</v>
      </c>
      <c r="C2158" s="75" t="s">
        <v>5305</v>
      </c>
      <c r="D2158" s="127" t="s">
        <v>5306</v>
      </c>
      <c r="E2158" s="232"/>
    </row>
    <row r="2159" spans="1:5" ht="14.55" customHeight="1" outlineLevel="1" x14ac:dyDescent="0.25">
      <c r="A2159" s="230" t="s">
        <v>1422</v>
      </c>
      <c r="B2159" s="343" t="str">
        <f>"51.2314"</f>
        <v>51.2314</v>
      </c>
      <c r="C2159" s="75" t="s">
        <v>5307</v>
      </c>
      <c r="D2159" s="127" t="s">
        <v>5308</v>
      </c>
      <c r="E2159" s="232"/>
    </row>
    <row r="2160" spans="1:5" ht="14.55" customHeight="1" outlineLevel="1" x14ac:dyDescent="0.25">
      <c r="A2160" s="230" t="s">
        <v>1422</v>
      </c>
      <c r="B2160" s="343" t="str">
        <f>"51.2315"</f>
        <v>51.2315</v>
      </c>
      <c r="C2160" s="75" t="s">
        <v>5309</v>
      </c>
      <c r="D2160" s="127" t="s">
        <v>5310</v>
      </c>
      <c r="E2160" s="232"/>
    </row>
    <row r="2161" spans="1:5" ht="14.55" customHeight="1" outlineLevel="1" x14ac:dyDescent="0.25">
      <c r="A2161" s="230" t="s">
        <v>1422</v>
      </c>
      <c r="B2161" s="343" t="str">
        <f>"51.2316"</f>
        <v>51.2316</v>
      </c>
      <c r="C2161" s="75" t="s">
        <v>5311</v>
      </c>
      <c r="D2161" s="127" t="s">
        <v>5312</v>
      </c>
      <c r="E2161" s="232"/>
    </row>
    <row r="2162" spans="1:5" ht="14.55" customHeight="1" outlineLevel="1" x14ac:dyDescent="0.25">
      <c r="A2162" s="230" t="s">
        <v>1422</v>
      </c>
      <c r="B2162" s="343" t="str">
        <f>"51.2317"</f>
        <v>51.2317</v>
      </c>
      <c r="C2162" s="75" t="s">
        <v>5313</v>
      </c>
      <c r="D2162" s="127" t="s">
        <v>5314</v>
      </c>
      <c r="E2162" s="232"/>
    </row>
    <row r="2163" spans="1:5" ht="14.55" customHeight="1" outlineLevel="1" x14ac:dyDescent="0.25">
      <c r="A2163" s="230" t="s">
        <v>1422</v>
      </c>
      <c r="B2163" s="343" t="str">
        <f>"51.2399"</f>
        <v>51.2399</v>
      </c>
      <c r="C2163" s="75" t="s">
        <v>5315</v>
      </c>
      <c r="D2163" s="127" t="s">
        <v>5316</v>
      </c>
      <c r="E2163" s="232"/>
    </row>
    <row r="2164" spans="1:5" ht="14.55" customHeight="1" outlineLevel="1" x14ac:dyDescent="0.25">
      <c r="A2164" s="230" t="s">
        <v>1422</v>
      </c>
      <c r="B2164" s="343" t="str">
        <f>"51.26"</f>
        <v>51.26</v>
      </c>
      <c r="C2164" s="75" t="s">
        <v>5317</v>
      </c>
      <c r="D2164" s="127" t="s">
        <v>5318</v>
      </c>
      <c r="E2164" s="232"/>
    </row>
    <row r="2165" spans="1:5" ht="14.55" customHeight="1" outlineLevel="1" x14ac:dyDescent="0.25">
      <c r="A2165" s="230" t="s">
        <v>1422</v>
      </c>
      <c r="B2165" s="343" t="str">
        <f>"51.2601"</f>
        <v>51.2601</v>
      </c>
      <c r="C2165" s="75" t="s">
        <v>5319</v>
      </c>
      <c r="D2165" s="127" t="s">
        <v>5320</v>
      </c>
      <c r="E2165" s="232"/>
    </row>
    <row r="2166" spans="1:5" ht="14.55" customHeight="1" outlineLevel="1" x14ac:dyDescent="0.25">
      <c r="A2166" s="230" t="s">
        <v>1422</v>
      </c>
      <c r="B2166" s="343" t="str">
        <f>"51.2602"</f>
        <v>51.2602</v>
      </c>
      <c r="C2166" s="75" t="s">
        <v>5321</v>
      </c>
      <c r="D2166" s="127" t="s">
        <v>5322</v>
      </c>
      <c r="E2166" s="232"/>
    </row>
    <row r="2167" spans="1:5" ht="14.55" customHeight="1" outlineLevel="1" x14ac:dyDescent="0.25">
      <c r="A2167" s="230" t="s">
        <v>1422</v>
      </c>
      <c r="B2167" s="343" t="str">
        <f>"51.2603"</f>
        <v>51.2603</v>
      </c>
      <c r="C2167" s="75" t="s">
        <v>5323</v>
      </c>
      <c r="D2167" s="127" t="s">
        <v>5324</v>
      </c>
      <c r="E2167" s="232"/>
    </row>
    <row r="2168" spans="1:5" ht="14.55" customHeight="1" outlineLevel="1" x14ac:dyDescent="0.25">
      <c r="A2168" s="230" t="s">
        <v>1422</v>
      </c>
      <c r="B2168" s="343" t="str">
        <f>"51.2604"</f>
        <v>51.2604</v>
      </c>
      <c r="C2168" s="75" t="s">
        <v>5325</v>
      </c>
      <c r="D2168" s="127" t="s">
        <v>5326</v>
      </c>
      <c r="E2168" s="232"/>
    </row>
    <row r="2169" spans="1:5" ht="14.55" customHeight="1" outlineLevel="1" x14ac:dyDescent="0.25">
      <c r="A2169" s="230" t="s">
        <v>1422</v>
      </c>
      <c r="B2169" s="343" t="str">
        <f>"51.2605"</f>
        <v>51.2605</v>
      </c>
      <c r="C2169" s="75" t="s">
        <v>5327</v>
      </c>
      <c r="D2169" s="127" t="s">
        <v>5328</v>
      </c>
      <c r="E2169" s="232"/>
    </row>
    <row r="2170" spans="1:5" ht="14.55" customHeight="1" outlineLevel="1" x14ac:dyDescent="0.25">
      <c r="A2170" s="230" t="s">
        <v>1422</v>
      </c>
      <c r="B2170" s="343" t="str">
        <f>"51.2699"</f>
        <v>51.2699</v>
      </c>
      <c r="C2170" s="75" t="s">
        <v>5329</v>
      </c>
      <c r="D2170" s="127" t="s">
        <v>5330</v>
      </c>
      <c r="E2170" s="232"/>
    </row>
    <row r="2171" spans="1:5" ht="14.55" customHeight="1" outlineLevel="1" x14ac:dyDescent="0.25">
      <c r="A2171" s="230" t="s">
        <v>1422</v>
      </c>
      <c r="B2171" s="343" t="str">
        <f>"51.27"</f>
        <v>51.27</v>
      </c>
      <c r="C2171" s="75" t="s">
        <v>5331</v>
      </c>
      <c r="D2171" s="127" t="s">
        <v>5332</v>
      </c>
      <c r="E2171" s="232"/>
    </row>
    <row r="2172" spans="1:5" ht="14.55" customHeight="1" outlineLevel="1" x14ac:dyDescent="0.25">
      <c r="A2172" s="230" t="s">
        <v>1422</v>
      </c>
      <c r="B2172" s="343" t="str">
        <f>"51.2703"</f>
        <v>51.2703</v>
      </c>
      <c r="C2172" s="75" t="s">
        <v>5333</v>
      </c>
      <c r="D2172" s="127" t="s">
        <v>5334</v>
      </c>
      <c r="E2172" s="232"/>
    </row>
    <row r="2173" spans="1:5" ht="14.55" customHeight="1" outlineLevel="1" x14ac:dyDescent="0.25">
      <c r="A2173" s="230" t="s">
        <v>1422</v>
      </c>
      <c r="B2173" s="343" t="str">
        <f>"51.2706"</f>
        <v>51.2706</v>
      </c>
      <c r="C2173" s="75" t="s">
        <v>5335</v>
      </c>
      <c r="D2173" s="127" t="s">
        <v>5336</v>
      </c>
      <c r="E2173" s="232"/>
    </row>
    <row r="2174" spans="1:5" ht="14.55" customHeight="1" outlineLevel="1" x14ac:dyDescent="0.25">
      <c r="A2174" s="230" t="s">
        <v>1422</v>
      </c>
      <c r="B2174" s="343" t="str">
        <f>"51.2799"</f>
        <v>51.2799</v>
      </c>
      <c r="C2174" s="75" t="s">
        <v>5337</v>
      </c>
      <c r="D2174" s="127" t="s">
        <v>5338</v>
      </c>
      <c r="E2174" s="232"/>
    </row>
    <row r="2175" spans="1:5" ht="14.55" customHeight="1" outlineLevel="1" x14ac:dyDescent="0.25">
      <c r="A2175" s="230" t="s">
        <v>1422</v>
      </c>
      <c r="B2175" s="343" t="str">
        <f>"51.31"</f>
        <v>51.31</v>
      </c>
      <c r="C2175" s="75" t="s">
        <v>5339</v>
      </c>
      <c r="D2175" s="127" t="s">
        <v>5340</v>
      </c>
      <c r="E2175" s="232"/>
    </row>
    <row r="2176" spans="1:5" ht="14.55" customHeight="1" outlineLevel="1" x14ac:dyDescent="0.25">
      <c r="A2176" s="230" t="s">
        <v>1422</v>
      </c>
      <c r="B2176" s="343" t="str">
        <f>"51.3101"</f>
        <v>51.3101</v>
      </c>
      <c r="C2176" s="75" t="s">
        <v>5341</v>
      </c>
      <c r="D2176" s="127" t="s">
        <v>5342</v>
      </c>
      <c r="E2176" s="232"/>
    </row>
    <row r="2177" spans="1:5" ht="14.55" customHeight="1" outlineLevel="1" x14ac:dyDescent="0.25">
      <c r="A2177" s="230" t="s">
        <v>1422</v>
      </c>
      <c r="B2177" s="343" t="str">
        <f>"51.3102"</f>
        <v>51.3102</v>
      </c>
      <c r="C2177" s="75" t="s">
        <v>5343</v>
      </c>
      <c r="D2177" s="127" t="s">
        <v>5344</v>
      </c>
      <c r="E2177" s="232"/>
    </row>
    <row r="2178" spans="1:5" ht="14.55" customHeight="1" outlineLevel="1" x14ac:dyDescent="0.25">
      <c r="A2178" s="230" t="s">
        <v>1422</v>
      </c>
      <c r="B2178" s="343" t="str">
        <f>"51.3103"</f>
        <v>51.3103</v>
      </c>
      <c r="C2178" s="75" t="s">
        <v>5345</v>
      </c>
      <c r="D2178" s="127" t="s">
        <v>5346</v>
      </c>
      <c r="E2178" s="232"/>
    </row>
    <row r="2179" spans="1:5" ht="14.55" customHeight="1" outlineLevel="1" x14ac:dyDescent="0.25">
      <c r="A2179" s="230" t="s">
        <v>1422</v>
      </c>
      <c r="B2179" s="343" t="str">
        <f>"51.3104"</f>
        <v>51.3104</v>
      </c>
      <c r="C2179" s="75" t="s">
        <v>5347</v>
      </c>
      <c r="D2179" s="127" t="s">
        <v>5348</v>
      </c>
      <c r="E2179" s="232"/>
    </row>
    <row r="2180" spans="1:5" ht="14.55" customHeight="1" outlineLevel="1" x14ac:dyDescent="0.25">
      <c r="A2180" s="230" t="s">
        <v>1422</v>
      </c>
      <c r="B2180" s="343" t="str">
        <f>"51.3199"</f>
        <v>51.3199</v>
      </c>
      <c r="C2180" s="75" t="s">
        <v>5349</v>
      </c>
      <c r="D2180" s="127" t="s">
        <v>5350</v>
      </c>
      <c r="E2180" s="232"/>
    </row>
    <row r="2181" spans="1:5" ht="14.55" customHeight="1" outlineLevel="1" x14ac:dyDescent="0.25">
      <c r="A2181" s="230" t="s">
        <v>1422</v>
      </c>
      <c r="B2181" s="343" t="str">
        <f>"51.32"</f>
        <v>51.32</v>
      </c>
      <c r="C2181" s="75" t="s">
        <v>5351</v>
      </c>
      <c r="D2181" s="127" t="s">
        <v>5352</v>
      </c>
      <c r="E2181" s="232"/>
    </row>
    <row r="2182" spans="1:5" ht="14.55" customHeight="1" outlineLevel="1" x14ac:dyDescent="0.25">
      <c r="A2182" s="230" t="s">
        <v>1422</v>
      </c>
      <c r="B2182" s="343" t="str">
        <f>"51.3201"</f>
        <v>51.3201</v>
      </c>
      <c r="C2182" s="75" t="s">
        <v>5353</v>
      </c>
      <c r="D2182" s="127" t="s">
        <v>5354</v>
      </c>
      <c r="E2182" s="232"/>
    </row>
    <row r="2183" spans="1:5" ht="14.55" customHeight="1" outlineLevel="1" x14ac:dyDescent="0.25">
      <c r="A2183" s="230" t="s">
        <v>1422</v>
      </c>
      <c r="B2183" s="343" t="str">
        <f>"51.3202"</f>
        <v>51.3202</v>
      </c>
      <c r="C2183" s="75" t="s">
        <v>5355</v>
      </c>
      <c r="D2183" s="127" t="s">
        <v>5356</v>
      </c>
      <c r="E2183" s="232"/>
    </row>
    <row r="2184" spans="1:5" ht="14.55" customHeight="1" outlineLevel="1" x14ac:dyDescent="0.25">
      <c r="A2184" s="230" t="s">
        <v>1422</v>
      </c>
      <c r="B2184" s="343" t="str">
        <f>"51.3203"</f>
        <v>51.3203</v>
      </c>
      <c r="C2184" s="75" t="s">
        <v>5357</v>
      </c>
      <c r="D2184" s="127" t="s">
        <v>5358</v>
      </c>
      <c r="E2184" s="232"/>
    </row>
    <row r="2185" spans="1:5" ht="14.55" customHeight="1" outlineLevel="1" x14ac:dyDescent="0.25">
      <c r="A2185" s="230" t="s">
        <v>1422</v>
      </c>
      <c r="B2185" s="343" t="str">
        <f>"51.3204"</f>
        <v>51.3204</v>
      </c>
      <c r="C2185" s="75" t="s">
        <v>5359</v>
      </c>
      <c r="D2185" s="127" t="s">
        <v>5360</v>
      </c>
      <c r="E2185" s="232"/>
    </row>
    <row r="2186" spans="1:5" ht="14.55" customHeight="1" outlineLevel="1" x14ac:dyDescent="0.25">
      <c r="A2186" s="230" t="s">
        <v>1422</v>
      </c>
      <c r="B2186" s="343" t="str">
        <f>"51.3205"</f>
        <v>51.3205</v>
      </c>
      <c r="C2186" s="75" t="s">
        <v>5361</v>
      </c>
      <c r="D2186" s="127" t="s">
        <v>5362</v>
      </c>
      <c r="E2186" s="232"/>
    </row>
    <row r="2187" spans="1:5" ht="14.55" customHeight="1" outlineLevel="1" x14ac:dyDescent="0.25">
      <c r="A2187" s="230" t="s">
        <v>1422</v>
      </c>
      <c r="B2187" s="343" t="str">
        <f>"51.3206"</f>
        <v>51.3206</v>
      </c>
      <c r="C2187" s="75" t="s">
        <v>5363</v>
      </c>
      <c r="D2187" s="127" t="s">
        <v>5364</v>
      </c>
      <c r="E2187" s="232"/>
    </row>
    <row r="2188" spans="1:5" ht="14.55" customHeight="1" outlineLevel="1" x14ac:dyDescent="0.25">
      <c r="A2188" s="230" t="s">
        <v>1422</v>
      </c>
      <c r="B2188" s="343" t="str">
        <f>"51.3299"</f>
        <v>51.3299</v>
      </c>
      <c r="C2188" s="75" t="s">
        <v>5365</v>
      </c>
      <c r="D2188" s="127" t="s">
        <v>5366</v>
      </c>
      <c r="E2188" s="232"/>
    </row>
    <row r="2189" spans="1:5" ht="14.55" customHeight="1" outlineLevel="1" x14ac:dyDescent="0.25">
      <c r="A2189" s="230" t="s">
        <v>1422</v>
      </c>
      <c r="B2189" s="343" t="str">
        <f>"51.33"</f>
        <v>51.33</v>
      </c>
      <c r="C2189" s="75" t="s">
        <v>5367</v>
      </c>
      <c r="D2189" s="127" t="s">
        <v>5368</v>
      </c>
      <c r="E2189" s="232"/>
    </row>
    <row r="2190" spans="1:5" ht="14.55" customHeight="1" outlineLevel="1" x14ac:dyDescent="0.25">
      <c r="A2190" s="230" t="s">
        <v>1422</v>
      </c>
      <c r="B2190" s="343" t="str">
        <f>"51.3300"</f>
        <v>51.3300</v>
      </c>
      <c r="C2190" s="75" t="s">
        <v>5369</v>
      </c>
      <c r="D2190" s="127" t="s">
        <v>5370</v>
      </c>
      <c r="E2190" s="232"/>
    </row>
    <row r="2191" spans="1:5" ht="14.55" customHeight="1" outlineLevel="1" x14ac:dyDescent="0.25">
      <c r="A2191" s="230" t="s">
        <v>1422</v>
      </c>
      <c r="B2191" s="343" t="str">
        <f>"51.3301"</f>
        <v>51.3301</v>
      </c>
      <c r="C2191" s="75" t="s">
        <v>5371</v>
      </c>
      <c r="D2191" s="127" t="s">
        <v>5372</v>
      </c>
      <c r="E2191" s="232"/>
    </row>
    <row r="2192" spans="1:5" ht="14.55" customHeight="1" outlineLevel="1" x14ac:dyDescent="0.25">
      <c r="A2192" s="230" t="s">
        <v>1422</v>
      </c>
      <c r="B2192" s="343" t="str">
        <f>"51.3302"</f>
        <v>51.3302</v>
      </c>
      <c r="C2192" s="75" t="s">
        <v>5373</v>
      </c>
      <c r="D2192" s="127" t="s">
        <v>5374</v>
      </c>
      <c r="E2192" s="232"/>
    </row>
    <row r="2193" spans="1:5" ht="14.55" customHeight="1" outlineLevel="1" x14ac:dyDescent="0.25">
      <c r="A2193" s="230" t="s">
        <v>1422</v>
      </c>
      <c r="B2193" s="343" t="str">
        <f>"51.3303"</f>
        <v>51.3303</v>
      </c>
      <c r="C2193" s="75" t="s">
        <v>5375</v>
      </c>
      <c r="D2193" s="127" t="s">
        <v>5376</v>
      </c>
      <c r="E2193" s="232"/>
    </row>
    <row r="2194" spans="1:5" ht="14.55" customHeight="1" outlineLevel="1" x14ac:dyDescent="0.25">
      <c r="A2194" s="230" t="s">
        <v>1422</v>
      </c>
      <c r="B2194" s="343" t="str">
        <f>"51.3304"</f>
        <v>51.3304</v>
      </c>
      <c r="C2194" s="75" t="s">
        <v>5377</v>
      </c>
      <c r="D2194" s="127" t="s">
        <v>5378</v>
      </c>
      <c r="E2194" s="232"/>
    </row>
    <row r="2195" spans="1:5" ht="14.55" customHeight="1" outlineLevel="1" x14ac:dyDescent="0.25">
      <c r="A2195" s="230" t="s">
        <v>1422</v>
      </c>
      <c r="B2195" s="343" t="str">
        <f>"51.3305"</f>
        <v>51.3305</v>
      </c>
      <c r="C2195" s="75" t="s">
        <v>5379</v>
      </c>
      <c r="D2195" s="127" t="s">
        <v>5380</v>
      </c>
      <c r="E2195" s="232"/>
    </row>
    <row r="2196" spans="1:5" ht="14.55" customHeight="1" outlineLevel="1" x14ac:dyDescent="0.25">
      <c r="A2196" s="230" t="s">
        <v>1422</v>
      </c>
      <c r="B2196" s="343" t="str">
        <f>"51.3306"</f>
        <v>51.3306</v>
      </c>
      <c r="C2196" s="75" t="s">
        <v>5381</v>
      </c>
      <c r="D2196" s="127" t="s">
        <v>5382</v>
      </c>
      <c r="E2196" s="232"/>
    </row>
    <row r="2197" spans="1:5" ht="14.55" customHeight="1" outlineLevel="1" x14ac:dyDescent="0.25">
      <c r="A2197" s="230" t="s">
        <v>1422</v>
      </c>
      <c r="B2197" s="343" t="str">
        <f>"51.3399"</f>
        <v>51.3399</v>
      </c>
      <c r="C2197" s="75" t="s">
        <v>5383</v>
      </c>
      <c r="D2197" s="127" t="s">
        <v>5384</v>
      </c>
      <c r="E2197" s="232"/>
    </row>
    <row r="2198" spans="1:5" ht="14.55" customHeight="1" outlineLevel="1" x14ac:dyDescent="0.25">
      <c r="A2198" s="230" t="s">
        <v>1422</v>
      </c>
      <c r="B2198" s="343" t="str">
        <f>"51.34"</f>
        <v>51.34</v>
      </c>
      <c r="C2198" s="75" t="s">
        <v>5385</v>
      </c>
      <c r="D2198" s="127" t="s">
        <v>5386</v>
      </c>
      <c r="E2198" s="232"/>
    </row>
    <row r="2199" spans="1:5" ht="14.55" customHeight="1" outlineLevel="1" x14ac:dyDescent="0.25">
      <c r="A2199" s="230" t="s">
        <v>1422</v>
      </c>
      <c r="B2199" s="343" t="str">
        <f>"51.3401"</f>
        <v>51.3401</v>
      </c>
      <c r="C2199" s="75" t="s">
        <v>5387</v>
      </c>
      <c r="D2199" s="127" t="s">
        <v>5388</v>
      </c>
      <c r="E2199" s="232"/>
    </row>
    <row r="2200" spans="1:5" ht="14.55" customHeight="1" outlineLevel="1" x14ac:dyDescent="0.25">
      <c r="A2200" s="230" t="s">
        <v>1422</v>
      </c>
      <c r="B2200" s="343" t="str">
        <f>"51.3499"</f>
        <v>51.3499</v>
      </c>
      <c r="C2200" s="75" t="s">
        <v>5389</v>
      </c>
      <c r="D2200" s="127" t="s">
        <v>5390</v>
      </c>
      <c r="E2200" s="232"/>
    </row>
    <row r="2201" spans="1:5" ht="14.55" customHeight="1" outlineLevel="1" x14ac:dyDescent="0.25">
      <c r="A2201" s="230" t="s">
        <v>1422</v>
      </c>
      <c r="B2201" s="343" t="str">
        <f>"51.35"</f>
        <v>51.35</v>
      </c>
      <c r="C2201" s="75" t="s">
        <v>5391</v>
      </c>
      <c r="D2201" s="127" t="s">
        <v>5392</v>
      </c>
      <c r="E2201" s="232"/>
    </row>
    <row r="2202" spans="1:5" ht="14.55" customHeight="1" outlineLevel="1" x14ac:dyDescent="0.25">
      <c r="A2202" s="230" t="s">
        <v>1422</v>
      </c>
      <c r="B2202" s="343" t="str">
        <f>"51.3501"</f>
        <v>51.3501</v>
      </c>
      <c r="C2202" s="75" t="s">
        <v>5393</v>
      </c>
      <c r="D2202" s="127" t="s">
        <v>5394</v>
      </c>
      <c r="E2202" s="232"/>
    </row>
    <row r="2203" spans="1:5" ht="14.55" customHeight="1" outlineLevel="1" x14ac:dyDescent="0.25">
      <c r="A2203" s="230" t="s">
        <v>1422</v>
      </c>
      <c r="B2203" s="343" t="str">
        <f>"51.3502"</f>
        <v>51.3502</v>
      </c>
      <c r="C2203" s="75" t="s">
        <v>5395</v>
      </c>
      <c r="D2203" s="127" t="s">
        <v>5396</v>
      </c>
      <c r="E2203" s="232"/>
    </row>
    <row r="2204" spans="1:5" ht="14.55" customHeight="1" outlineLevel="1" x14ac:dyDescent="0.25">
      <c r="A2204" s="230" t="s">
        <v>1422</v>
      </c>
      <c r="B2204" s="343" t="str">
        <f>"51.3503"</f>
        <v>51.3503</v>
      </c>
      <c r="C2204" s="75" t="s">
        <v>5397</v>
      </c>
      <c r="D2204" s="127" t="s">
        <v>5398</v>
      </c>
      <c r="E2204" s="232"/>
    </row>
    <row r="2205" spans="1:5" ht="14.55" customHeight="1" outlineLevel="1" x14ac:dyDescent="0.25">
      <c r="A2205" s="230" t="s">
        <v>1422</v>
      </c>
      <c r="B2205" s="343" t="str">
        <f>"51.3599"</f>
        <v>51.3599</v>
      </c>
      <c r="C2205" s="75" t="s">
        <v>5399</v>
      </c>
      <c r="D2205" s="127" t="s">
        <v>5400</v>
      </c>
      <c r="E2205" s="232"/>
    </row>
    <row r="2206" spans="1:5" ht="14.55" customHeight="1" outlineLevel="1" x14ac:dyDescent="0.25">
      <c r="A2206" s="230" t="s">
        <v>1422</v>
      </c>
      <c r="B2206" s="343" t="str">
        <f>"51.36"</f>
        <v>51.36</v>
      </c>
      <c r="C2206" s="75" t="s">
        <v>5401</v>
      </c>
      <c r="D2206" s="127" t="s">
        <v>5402</v>
      </c>
      <c r="E2206" s="232"/>
    </row>
    <row r="2207" spans="1:5" ht="14.55" customHeight="1" outlineLevel="1" x14ac:dyDescent="0.25">
      <c r="A2207" s="230" t="s">
        <v>1422</v>
      </c>
      <c r="B2207" s="343" t="str">
        <f>"51.3601"</f>
        <v>51.3601</v>
      </c>
      <c r="C2207" s="75" t="s">
        <v>5403</v>
      </c>
      <c r="D2207" s="127" t="s">
        <v>5404</v>
      </c>
      <c r="E2207" s="232"/>
    </row>
    <row r="2208" spans="1:5" ht="14.55" customHeight="1" outlineLevel="1" x14ac:dyDescent="0.25">
      <c r="A2208" s="230" t="s">
        <v>1422</v>
      </c>
      <c r="B2208" s="343" t="str">
        <f>"51.3602"</f>
        <v>51.3602</v>
      </c>
      <c r="C2208" s="75" t="s">
        <v>5405</v>
      </c>
      <c r="D2208" s="127" t="s">
        <v>5406</v>
      </c>
      <c r="E2208" s="232"/>
    </row>
    <row r="2209" spans="1:5" ht="14.55" customHeight="1" outlineLevel="1" x14ac:dyDescent="0.25">
      <c r="A2209" s="230" t="s">
        <v>1422</v>
      </c>
      <c r="B2209" s="343" t="str">
        <f>"51.3603"</f>
        <v>51.3603</v>
      </c>
      <c r="C2209" s="75" t="s">
        <v>5407</v>
      </c>
      <c r="D2209" s="127" t="s">
        <v>5408</v>
      </c>
      <c r="E2209" s="232"/>
    </row>
    <row r="2210" spans="1:5" ht="14.55" customHeight="1" outlineLevel="1" x14ac:dyDescent="0.25">
      <c r="A2210" s="230" t="s">
        <v>1422</v>
      </c>
      <c r="B2210" s="343" t="str">
        <f>"51.3699"</f>
        <v>51.3699</v>
      </c>
      <c r="C2210" s="75" t="s">
        <v>5409</v>
      </c>
      <c r="D2210" s="127" t="s">
        <v>5410</v>
      </c>
      <c r="E2210" s="232"/>
    </row>
    <row r="2211" spans="1:5" ht="14.55" customHeight="1" outlineLevel="1" x14ac:dyDescent="0.25">
      <c r="A2211" s="230" t="s">
        <v>1422</v>
      </c>
      <c r="B2211" s="343" t="str">
        <f>"51.37"</f>
        <v>51.37</v>
      </c>
      <c r="C2211" s="75" t="s">
        <v>5411</v>
      </c>
      <c r="D2211" s="127" t="s">
        <v>5412</v>
      </c>
      <c r="E2211" s="232"/>
    </row>
    <row r="2212" spans="1:5" ht="14.55" customHeight="1" outlineLevel="1" x14ac:dyDescent="0.25">
      <c r="A2212" s="230" t="s">
        <v>1422</v>
      </c>
      <c r="B2212" s="343" t="str">
        <f>"51.3701"</f>
        <v>51.3701</v>
      </c>
      <c r="C2212" s="75" t="s">
        <v>5413</v>
      </c>
      <c r="D2212" s="127" t="s">
        <v>5414</v>
      </c>
      <c r="E2212" s="232"/>
    </row>
    <row r="2213" spans="1:5" ht="14.55" customHeight="1" outlineLevel="1" x14ac:dyDescent="0.25">
      <c r="A2213" s="230" t="s">
        <v>1422</v>
      </c>
      <c r="B2213" s="343" t="str">
        <f>"51.3702"</f>
        <v>51.3702</v>
      </c>
      <c r="C2213" s="75" t="s">
        <v>5415</v>
      </c>
      <c r="D2213" s="127" t="s">
        <v>5416</v>
      </c>
      <c r="E2213" s="232"/>
    </row>
    <row r="2214" spans="1:5" ht="14.55" customHeight="1" outlineLevel="1" x14ac:dyDescent="0.25">
      <c r="A2214" s="230" t="s">
        <v>1422</v>
      </c>
      <c r="B2214" s="343" t="str">
        <f>"51.3703"</f>
        <v>51.3703</v>
      </c>
      <c r="C2214" s="75" t="s">
        <v>5417</v>
      </c>
      <c r="D2214" s="127" t="s">
        <v>5418</v>
      </c>
      <c r="E2214" s="232"/>
    </row>
    <row r="2215" spans="1:5" ht="14.55" customHeight="1" outlineLevel="1" x14ac:dyDescent="0.25">
      <c r="A2215" s="230" t="s">
        <v>1422</v>
      </c>
      <c r="B2215" s="343" t="str">
        <f>"51.3704"</f>
        <v>51.3704</v>
      </c>
      <c r="C2215" s="75" t="s">
        <v>5419</v>
      </c>
      <c r="D2215" s="127" t="s">
        <v>5420</v>
      </c>
      <c r="E2215" s="232"/>
    </row>
    <row r="2216" spans="1:5" ht="14.55" customHeight="1" outlineLevel="1" x14ac:dyDescent="0.25">
      <c r="A2216" s="230" t="s">
        <v>1422</v>
      </c>
      <c r="B2216" s="343" t="str">
        <f>"51.3799"</f>
        <v>51.3799</v>
      </c>
      <c r="C2216" s="75" t="s">
        <v>5421</v>
      </c>
      <c r="D2216" s="127" t="s">
        <v>5422</v>
      </c>
      <c r="E2216" s="232"/>
    </row>
    <row r="2217" spans="1:5" ht="14.55" customHeight="1" outlineLevel="1" x14ac:dyDescent="0.25">
      <c r="A2217" s="230" t="s">
        <v>1422</v>
      </c>
      <c r="B2217" s="343" t="str">
        <f>"51.38"</f>
        <v>51.38</v>
      </c>
      <c r="C2217" s="75" t="s">
        <v>5423</v>
      </c>
      <c r="D2217" s="127" t="s">
        <v>5424</v>
      </c>
      <c r="E2217" s="232"/>
    </row>
    <row r="2218" spans="1:5" ht="14.55" customHeight="1" outlineLevel="1" x14ac:dyDescent="0.25">
      <c r="A2218" s="230" t="s">
        <v>1422</v>
      </c>
      <c r="B2218" s="343" t="str">
        <f>"51.3801"</f>
        <v>51.3801</v>
      </c>
      <c r="C2218" s="75" t="s">
        <v>5425</v>
      </c>
      <c r="D2218" s="127" t="s">
        <v>5426</v>
      </c>
      <c r="E2218" s="232"/>
    </row>
    <row r="2219" spans="1:5" ht="14.55" customHeight="1" outlineLevel="1" x14ac:dyDescent="0.25">
      <c r="A2219" s="230" t="s">
        <v>1422</v>
      </c>
      <c r="B2219" s="343" t="str">
        <f>"51.3802"</f>
        <v>51.3802</v>
      </c>
      <c r="C2219" s="75" t="s">
        <v>5427</v>
      </c>
      <c r="D2219" s="127" t="s">
        <v>5428</v>
      </c>
      <c r="E2219" s="232"/>
    </row>
    <row r="2220" spans="1:5" ht="14.55" customHeight="1" outlineLevel="1" x14ac:dyDescent="0.25">
      <c r="A2220" s="230" t="s">
        <v>1422</v>
      </c>
      <c r="B2220" s="343" t="str">
        <f>"51.3803"</f>
        <v>51.3803</v>
      </c>
      <c r="C2220" s="75" t="s">
        <v>5429</v>
      </c>
      <c r="D2220" s="127" t="s">
        <v>5430</v>
      </c>
      <c r="E2220" s="232"/>
    </row>
    <row r="2221" spans="1:5" ht="14.55" customHeight="1" outlineLevel="1" x14ac:dyDescent="0.25">
      <c r="A2221" s="230" t="s">
        <v>1422</v>
      </c>
      <c r="B2221" s="343" t="str">
        <f>"51.3804"</f>
        <v>51.3804</v>
      </c>
      <c r="C2221" s="75" t="s">
        <v>5431</v>
      </c>
      <c r="D2221" s="127" t="s">
        <v>5432</v>
      </c>
      <c r="E2221" s="232"/>
    </row>
    <row r="2222" spans="1:5" ht="14.55" customHeight="1" outlineLevel="1" x14ac:dyDescent="0.25">
      <c r="A2222" s="230" t="s">
        <v>1422</v>
      </c>
      <c r="B2222" s="343" t="str">
        <f>"51.3805"</f>
        <v>51.3805</v>
      </c>
      <c r="C2222" s="75" t="s">
        <v>5433</v>
      </c>
      <c r="D2222" s="127" t="s">
        <v>5434</v>
      </c>
      <c r="E2222" s="232"/>
    </row>
    <row r="2223" spans="1:5" ht="14.55" customHeight="1" outlineLevel="1" x14ac:dyDescent="0.25">
      <c r="A2223" s="230" t="s">
        <v>1422</v>
      </c>
      <c r="B2223" s="343" t="str">
        <f>"51.3806"</f>
        <v>51.3806</v>
      </c>
      <c r="C2223" s="75" t="s">
        <v>5435</v>
      </c>
      <c r="D2223" s="127" t="s">
        <v>5436</v>
      </c>
      <c r="E2223" s="232"/>
    </row>
    <row r="2224" spans="1:5" ht="14.55" customHeight="1" outlineLevel="1" x14ac:dyDescent="0.25">
      <c r="A2224" s="230" t="s">
        <v>1422</v>
      </c>
      <c r="B2224" s="343" t="str">
        <f>"51.3807"</f>
        <v>51.3807</v>
      </c>
      <c r="C2224" s="75" t="s">
        <v>5437</v>
      </c>
      <c r="D2224" s="127" t="s">
        <v>5438</v>
      </c>
      <c r="E2224" s="232"/>
    </row>
    <row r="2225" spans="1:5" ht="14.55" customHeight="1" outlineLevel="1" x14ac:dyDescent="0.25">
      <c r="A2225" s="230" t="s">
        <v>1422</v>
      </c>
      <c r="B2225" s="343" t="str">
        <f>"51.3808"</f>
        <v>51.3808</v>
      </c>
      <c r="C2225" s="75" t="s">
        <v>5439</v>
      </c>
      <c r="D2225" s="127" t="s">
        <v>5440</v>
      </c>
      <c r="E2225" s="232"/>
    </row>
    <row r="2226" spans="1:5" ht="14.55" customHeight="1" outlineLevel="1" x14ac:dyDescent="0.25">
      <c r="A2226" s="230" t="s">
        <v>1422</v>
      </c>
      <c r="B2226" s="343" t="str">
        <f>"51.3809"</f>
        <v>51.3809</v>
      </c>
      <c r="C2226" s="75" t="s">
        <v>5441</v>
      </c>
      <c r="D2226" s="127" t="s">
        <v>5442</v>
      </c>
      <c r="E2226" s="232"/>
    </row>
    <row r="2227" spans="1:5" ht="14.55" customHeight="1" outlineLevel="1" x14ac:dyDescent="0.25">
      <c r="A2227" s="230" t="s">
        <v>1422</v>
      </c>
      <c r="B2227" s="343" t="str">
        <f>"51.3810"</f>
        <v>51.3810</v>
      </c>
      <c r="C2227" s="75" t="s">
        <v>5443</v>
      </c>
      <c r="D2227" s="127" t="s">
        <v>5444</v>
      </c>
      <c r="E2227" s="232"/>
    </row>
    <row r="2228" spans="1:5" ht="14.55" customHeight="1" outlineLevel="1" x14ac:dyDescent="0.25">
      <c r="A2228" s="230" t="s">
        <v>1422</v>
      </c>
      <c r="B2228" s="343" t="str">
        <f>"51.3811"</f>
        <v>51.3811</v>
      </c>
      <c r="C2228" s="75" t="s">
        <v>5445</v>
      </c>
      <c r="D2228" s="127" t="s">
        <v>5446</v>
      </c>
      <c r="E2228" s="232"/>
    </row>
    <row r="2229" spans="1:5" ht="14.55" customHeight="1" outlineLevel="1" x14ac:dyDescent="0.25">
      <c r="A2229" s="230" t="s">
        <v>1422</v>
      </c>
      <c r="B2229" s="343" t="str">
        <f>"51.3812"</f>
        <v>51.3812</v>
      </c>
      <c r="C2229" s="75" t="s">
        <v>5447</v>
      </c>
      <c r="D2229" s="127" t="s">
        <v>5448</v>
      </c>
      <c r="E2229" s="232"/>
    </row>
    <row r="2230" spans="1:5" ht="14.55" customHeight="1" outlineLevel="1" x14ac:dyDescent="0.25">
      <c r="A2230" s="230" t="s">
        <v>1422</v>
      </c>
      <c r="B2230" s="343" t="str">
        <f>"51.3813"</f>
        <v>51.3813</v>
      </c>
      <c r="C2230" s="75" t="s">
        <v>5449</v>
      </c>
      <c r="D2230" s="127" t="s">
        <v>5450</v>
      </c>
      <c r="E2230" s="232"/>
    </row>
    <row r="2231" spans="1:5" ht="14.55" customHeight="1" outlineLevel="1" x14ac:dyDescent="0.25">
      <c r="A2231" s="230" t="s">
        <v>1422</v>
      </c>
      <c r="B2231" s="343" t="str">
        <f>"51.3814"</f>
        <v>51.3814</v>
      </c>
      <c r="C2231" s="75" t="s">
        <v>5451</v>
      </c>
      <c r="D2231" s="127" t="s">
        <v>5452</v>
      </c>
      <c r="E2231" s="232"/>
    </row>
    <row r="2232" spans="1:5" ht="14.55" customHeight="1" outlineLevel="1" x14ac:dyDescent="0.25">
      <c r="A2232" s="230" t="s">
        <v>1422</v>
      </c>
      <c r="B2232" s="343" t="str">
        <f>"51.3815"</f>
        <v>51.3815</v>
      </c>
      <c r="C2232" s="75" t="s">
        <v>5453</v>
      </c>
      <c r="D2232" s="127" t="s">
        <v>5454</v>
      </c>
      <c r="E2232" s="232"/>
    </row>
    <row r="2233" spans="1:5" ht="14.55" customHeight="1" outlineLevel="1" x14ac:dyDescent="0.25">
      <c r="A2233" s="230" t="s">
        <v>1422</v>
      </c>
      <c r="B2233" s="343" t="str">
        <f>"51.3816"</f>
        <v>51.3816</v>
      </c>
      <c r="C2233" s="75" t="s">
        <v>5455</v>
      </c>
      <c r="D2233" s="127" t="s">
        <v>5456</v>
      </c>
      <c r="E2233" s="232"/>
    </row>
    <row r="2234" spans="1:5" ht="14.55" customHeight="1" outlineLevel="1" x14ac:dyDescent="0.25">
      <c r="A2234" s="230" t="s">
        <v>1422</v>
      </c>
      <c r="B2234" s="343" t="str">
        <f>"51.3818"</f>
        <v>51.3818</v>
      </c>
      <c r="C2234" s="75" t="s">
        <v>5457</v>
      </c>
      <c r="D2234" s="127" t="s">
        <v>5458</v>
      </c>
      <c r="E2234" s="232"/>
    </row>
    <row r="2235" spans="1:5" ht="14.55" customHeight="1" outlineLevel="1" x14ac:dyDescent="0.25">
      <c r="A2235" s="230" t="s">
        <v>1422</v>
      </c>
      <c r="B2235" s="343" t="str">
        <f>"51.3819"</f>
        <v>51.3819</v>
      </c>
      <c r="C2235" s="75" t="s">
        <v>5459</v>
      </c>
      <c r="D2235" s="127" t="s">
        <v>5460</v>
      </c>
      <c r="E2235" s="232"/>
    </row>
    <row r="2236" spans="1:5" ht="14.55" customHeight="1" outlineLevel="1" x14ac:dyDescent="0.25">
      <c r="A2236" s="230" t="s">
        <v>1422</v>
      </c>
      <c r="B2236" s="343" t="str">
        <f>"51.3820"</f>
        <v>51.3820</v>
      </c>
      <c r="C2236" s="75" t="s">
        <v>5461</v>
      </c>
      <c r="D2236" s="127" t="s">
        <v>5462</v>
      </c>
      <c r="E2236" s="232"/>
    </row>
    <row r="2237" spans="1:5" ht="14.55" customHeight="1" outlineLevel="1" x14ac:dyDescent="0.25">
      <c r="A2237" s="230" t="s">
        <v>1422</v>
      </c>
      <c r="B2237" s="343" t="str">
        <f>"51.3821"</f>
        <v>51.3821</v>
      </c>
      <c r="C2237" s="75" t="s">
        <v>5463</v>
      </c>
      <c r="D2237" s="127" t="s">
        <v>5464</v>
      </c>
      <c r="E2237" s="232"/>
    </row>
    <row r="2238" spans="1:5" ht="14.55" customHeight="1" outlineLevel="1" x14ac:dyDescent="0.25">
      <c r="A2238" s="230" t="s">
        <v>1422</v>
      </c>
      <c r="B2238" s="343" t="str">
        <f>"51.3822"</f>
        <v>51.3822</v>
      </c>
      <c r="C2238" s="75" t="s">
        <v>5465</v>
      </c>
      <c r="D2238" s="127" t="s">
        <v>5466</v>
      </c>
      <c r="E2238" s="232"/>
    </row>
    <row r="2239" spans="1:5" ht="14.55" customHeight="1" outlineLevel="1" x14ac:dyDescent="0.25">
      <c r="A2239" s="230" t="s">
        <v>1422</v>
      </c>
      <c r="B2239" s="343" t="str">
        <f>"51.3823"</f>
        <v>51.3823</v>
      </c>
      <c r="C2239" s="75" t="s">
        <v>1479</v>
      </c>
      <c r="D2239" s="127" t="s">
        <v>1480</v>
      </c>
      <c r="E2239" s="232"/>
    </row>
    <row r="2240" spans="1:5" ht="14.55" customHeight="1" outlineLevel="1" x14ac:dyDescent="0.25">
      <c r="A2240" s="230" t="s">
        <v>1422</v>
      </c>
      <c r="B2240" s="343" t="str">
        <f>"51.3824"</f>
        <v>51.3824</v>
      </c>
      <c r="C2240" s="75" t="s">
        <v>5467</v>
      </c>
      <c r="D2240" s="127" t="s">
        <v>5468</v>
      </c>
      <c r="E2240" s="232"/>
    </row>
    <row r="2241" spans="1:5" ht="14.55" customHeight="1" outlineLevel="1" x14ac:dyDescent="0.25">
      <c r="A2241" s="230" t="s">
        <v>1422</v>
      </c>
      <c r="B2241" s="343" t="str">
        <f>"51.3899"</f>
        <v>51.3899</v>
      </c>
      <c r="C2241" s="75" t="s">
        <v>5469</v>
      </c>
      <c r="D2241" s="127" t="s">
        <v>5470</v>
      </c>
      <c r="E2241" s="232"/>
    </row>
    <row r="2242" spans="1:5" ht="14.55" customHeight="1" outlineLevel="1" x14ac:dyDescent="0.25">
      <c r="A2242" s="230" t="s">
        <v>1422</v>
      </c>
      <c r="B2242" s="343" t="str">
        <f>"51.39"</f>
        <v>51.39</v>
      </c>
      <c r="C2242" s="75" t="s">
        <v>5471</v>
      </c>
      <c r="D2242" s="127" t="s">
        <v>5472</v>
      </c>
      <c r="E2242" s="232"/>
    </row>
    <row r="2243" spans="1:5" ht="14.55" customHeight="1" outlineLevel="1" x14ac:dyDescent="0.25">
      <c r="A2243" s="230" t="s">
        <v>1422</v>
      </c>
      <c r="B2243" s="343" t="str">
        <f>"51.3901"</f>
        <v>51.3901</v>
      </c>
      <c r="C2243" s="75" t="s">
        <v>5473</v>
      </c>
      <c r="D2243" s="127" t="s">
        <v>5474</v>
      </c>
      <c r="E2243" s="232"/>
    </row>
    <row r="2244" spans="1:5" ht="14.55" customHeight="1" outlineLevel="1" x14ac:dyDescent="0.25">
      <c r="A2244" s="230" t="s">
        <v>1422</v>
      </c>
      <c r="B2244" s="343" t="str">
        <f>"51.3902"</f>
        <v>51.3902</v>
      </c>
      <c r="C2244" s="75" t="s">
        <v>5475</v>
      </c>
      <c r="D2244" s="127" t="s">
        <v>5476</v>
      </c>
      <c r="E2244" s="232"/>
    </row>
    <row r="2245" spans="1:5" ht="14.55" customHeight="1" outlineLevel="1" x14ac:dyDescent="0.25">
      <c r="A2245" s="230" t="s">
        <v>1422</v>
      </c>
      <c r="B2245" s="343" t="str">
        <f>"51.3999"</f>
        <v>51.3999</v>
      </c>
      <c r="C2245" s="75" t="s">
        <v>5477</v>
      </c>
      <c r="D2245" s="127" t="s">
        <v>5478</v>
      </c>
      <c r="E2245" s="232"/>
    </row>
    <row r="2246" spans="1:5" ht="14.55" customHeight="1" outlineLevel="1" x14ac:dyDescent="0.25">
      <c r="A2246" s="230" t="s">
        <v>1422</v>
      </c>
      <c r="B2246" s="343" t="str">
        <f>"51.99"</f>
        <v>51.99</v>
      </c>
      <c r="C2246" s="75" t="s">
        <v>5479</v>
      </c>
      <c r="D2246" s="127" t="s">
        <v>5480</v>
      </c>
      <c r="E2246" s="232"/>
    </row>
    <row r="2247" spans="1:5" ht="14.55" customHeight="1" outlineLevel="1" x14ac:dyDescent="0.25">
      <c r="A2247" s="230" t="s">
        <v>1422</v>
      </c>
      <c r="B2247" s="343" t="str">
        <f>"51.9980"</f>
        <v>51.9980</v>
      </c>
      <c r="C2247" s="75" t="s">
        <v>1479</v>
      </c>
      <c r="D2247" s="127" t="s">
        <v>1480</v>
      </c>
      <c r="E2247" s="232"/>
    </row>
    <row r="2248" spans="1:5" ht="14.55" customHeight="1" outlineLevel="1" x14ac:dyDescent="0.25">
      <c r="A2248" s="230" t="s">
        <v>1422</v>
      </c>
      <c r="B2248" s="343" t="str">
        <f>"51.9999"</f>
        <v>51.9999</v>
      </c>
      <c r="C2248" s="75" t="s">
        <v>5479</v>
      </c>
      <c r="D2248" s="127" t="s">
        <v>5481</v>
      </c>
      <c r="E2248" s="232"/>
    </row>
    <row r="2249" spans="1:5" ht="14.55" customHeight="1" outlineLevel="1" x14ac:dyDescent="0.25">
      <c r="A2249" s="230" t="s">
        <v>1422</v>
      </c>
      <c r="B2249" s="343" t="str">
        <f>"52"</f>
        <v>52</v>
      </c>
      <c r="C2249" s="75" t="s">
        <v>5482</v>
      </c>
      <c r="D2249" s="127" t="s">
        <v>5483</v>
      </c>
      <c r="E2249" s="232"/>
    </row>
    <row r="2250" spans="1:5" ht="14.55" customHeight="1" outlineLevel="1" x14ac:dyDescent="0.25">
      <c r="A2250" s="230" t="s">
        <v>1422</v>
      </c>
      <c r="B2250" s="343" t="str">
        <f>"52.01"</f>
        <v>52.01</v>
      </c>
      <c r="C2250" s="75" t="s">
        <v>5484</v>
      </c>
      <c r="D2250" s="127" t="s">
        <v>5485</v>
      </c>
      <c r="E2250" s="232"/>
    </row>
    <row r="2251" spans="1:5" ht="14.55" customHeight="1" outlineLevel="1" x14ac:dyDescent="0.25">
      <c r="A2251" s="230" t="s">
        <v>1422</v>
      </c>
      <c r="B2251" s="343" t="str">
        <f>"52.0101"</f>
        <v>52.0101</v>
      </c>
      <c r="C2251" s="75" t="s">
        <v>5484</v>
      </c>
      <c r="D2251" s="127" t="s">
        <v>5486</v>
      </c>
      <c r="E2251" s="232"/>
    </row>
    <row r="2252" spans="1:5" ht="14.55" customHeight="1" outlineLevel="1" x14ac:dyDescent="0.25">
      <c r="A2252" s="230" t="s">
        <v>1422</v>
      </c>
      <c r="B2252" s="343" t="str">
        <f>"52.02"</f>
        <v>52.02</v>
      </c>
      <c r="C2252" s="75" t="s">
        <v>5487</v>
      </c>
      <c r="D2252" s="127" t="s">
        <v>5488</v>
      </c>
      <c r="E2252" s="232"/>
    </row>
    <row r="2253" spans="1:5" ht="14.55" customHeight="1" outlineLevel="1" x14ac:dyDescent="0.25">
      <c r="A2253" s="230" t="s">
        <v>1422</v>
      </c>
      <c r="B2253" s="343" t="str">
        <f>"52.0201"</f>
        <v>52.0201</v>
      </c>
      <c r="C2253" s="75" t="s">
        <v>5489</v>
      </c>
      <c r="D2253" s="127" t="s">
        <v>5490</v>
      </c>
      <c r="E2253" s="232"/>
    </row>
    <row r="2254" spans="1:5" ht="14.55" customHeight="1" outlineLevel="1" x14ac:dyDescent="0.25">
      <c r="A2254" s="230" t="s">
        <v>1422</v>
      </c>
      <c r="B2254" s="343" t="str">
        <f>"52.0202"</f>
        <v>52.0202</v>
      </c>
      <c r="C2254" s="75" t="s">
        <v>5491</v>
      </c>
      <c r="D2254" s="127" t="s">
        <v>5492</v>
      </c>
      <c r="E2254" s="232"/>
    </row>
    <row r="2255" spans="1:5" ht="14.55" customHeight="1" outlineLevel="1" x14ac:dyDescent="0.25">
      <c r="A2255" s="230" t="s">
        <v>1422</v>
      </c>
      <c r="B2255" s="343" t="str">
        <f>"52.0203"</f>
        <v>52.0203</v>
      </c>
      <c r="C2255" s="75" t="s">
        <v>5493</v>
      </c>
      <c r="D2255" s="127" t="s">
        <v>5494</v>
      </c>
      <c r="E2255" s="232"/>
    </row>
    <row r="2256" spans="1:5" ht="14.55" customHeight="1" outlineLevel="1" x14ac:dyDescent="0.25">
      <c r="A2256" s="230" t="s">
        <v>1422</v>
      </c>
      <c r="B2256" s="343" t="str">
        <f>"52.0204"</f>
        <v>52.0204</v>
      </c>
      <c r="C2256" s="75" t="s">
        <v>5495</v>
      </c>
      <c r="D2256" s="127" t="s">
        <v>5496</v>
      </c>
      <c r="E2256" s="232"/>
    </row>
    <row r="2257" spans="1:5" ht="14.55" customHeight="1" outlineLevel="1" x14ac:dyDescent="0.25">
      <c r="A2257" s="230" t="s">
        <v>1422</v>
      </c>
      <c r="B2257" s="343" t="str">
        <f>"52.0205"</f>
        <v>52.0205</v>
      </c>
      <c r="C2257" s="75" t="s">
        <v>5497</v>
      </c>
      <c r="D2257" s="127" t="s">
        <v>5498</v>
      </c>
      <c r="E2257" s="232"/>
    </row>
    <row r="2258" spans="1:5" ht="14.55" customHeight="1" outlineLevel="1" x14ac:dyDescent="0.25">
      <c r="A2258" s="230" t="s">
        <v>1422</v>
      </c>
      <c r="B2258" s="343" t="str">
        <f>"52.0206"</f>
        <v>52.0206</v>
      </c>
      <c r="C2258" s="75" t="s">
        <v>5499</v>
      </c>
      <c r="D2258" s="127" t="s">
        <v>5500</v>
      </c>
      <c r="E2258" s="232"/>
    </row>
    <row r="2259" spans="1:5" ht="14.55" customHeight="1" outlineLevel="1" x14ac:dyDescent="0.25">
      <c r="A2259" s="230" t="s">
        <v>1422</v>
      </c>
      <c r="B2259" s="343" t="str">
        <f>"52.0207"</f>
        <v>52.0207</v>
      </c>
      <c r="C2259" s="75" t="s">
        <v>5501</v>
      </c>
      <c r="D2259" s="127" t="s">
        <v>5502</v>
      </c>
      <c r="E2259" s="232"/>
    </row>
    <row r="2260" spans="1:5" ht="14.55" customHeight="1" outlineLevel="1" x14ac:dyDescent="0.25">
      <c r="A2260" s="230" t="s">
        <v>1422</v>
      </c>
      <c r="B2260" s="343" t="str">
        <f>"52.0208"</f>
        <v>52.0208</v>
      </c>
      <c r="C2260" s="75" t="s">
        <v>5503</v>
      </c>
      <c r="D2260" s="127" t="s">
        <v>5504</v>
      </c>
      <c r="E2260" s="232"/>
    </row>
    <row r="2261" spans="1:5" ht="14.55" customHeight="1" outlineLevel="1" x14ac:dyDescent="0.25">
      <c r="A2261" s="230" t="s">
        <v>1422</v>
      </c>
      <c r="B2261" s="343" t="str">
        <f>"52.0209"</f>
        <v>52.0209</v>
      </c>
      <c r="C2261" s="75" t="s">
        <v>5505</v>
      </c>
      <c r="D2261" s="127" t="s">
        <v>5506</v>
      </c>
      <c r="E2261" s="232"/>
    </row>
    <row r="2262" spans="1:5" ht="14.55" customHeight="1" outlineLevel="1" x14ac:dyDescent="0.25">
      <c r="A2262" s="230" t="s">
        <v>1422</v>
      </c>
      <c r="B2262" s="343" t="str">
        <f>"52.0210"</f>
        <v>52.0210</v>
      </c>
      <c r="C2262" s="75" t="s">
        <v>5507</v>
      </c>
      <c r="D2262" s="127" t="s">
        <v>5508</v>
      </c>
      <c r="E2262" s="232"/>
    </row>
    <row r="2263" spans="1:5" ht="14.55" customHeight="1" outlineLevel="1" x14ac:dyDescent="0.25">
      <c r="A2263" s="230" t="s">
        <v>1422</v>
      </c>
      <c r="B2263" s="343" t="str">
        <f>"52.0211"</f>
        <v>52.0211</v>
      </c>
      <c r="C2263" s="75" t="s">
        <v>5509</v>
      </c>
      <c r="D2263" s="127" t="s">
        <v>5510</v>
      </c>
      <c r="E2263" s="232"/>
    </row>
    <row r="2264" spans="1:5" ht="14.55" customHeight="1" outlineLevel="1" x14ac:dyDescent="0.25">
      <c r="A2264" s="230" t="s">
        <v>1422</v>
      </c>
      <c r="B2264" s="343" t="str">
        <f>"52.0212"</f>
        <v>52.0212</v>
      </c>
      <c r="C2264" s="75" t="s">
        <v>5511</v>
      </c>
      <c r="D2264" s="127" t="s">
        <v>5512</v>
      </c>
      <c r="E2264" s="232"/>
    </row>
    <row r="2265" spans="1:5" ht="14.55" customHeight="1" outlineLevel="1" x14ac:dyDescent="0.25">
      <c r="A2265" s="230" t="s">
        <v>1422</v>
      </c>
      <c r="B2265" s="343" t="str">
        <f>"52.0213"</f>
        <v>52.0213</v>
      </c>
      <c r="C2265" s="75" t="s">
        <v>5513</v>
      </c>
      <c r="D2265" s="127" t="s">
        <v>5514</v>
      </c>
      <c r="E2265" s="232"/>
    </row>
    <row r="2266" spans="1:5" ht="14.55" customHeight="1" outlineLevel="1" x14ac:dyDescent="0.25">
      <c r="A2266" s="230" t="s">
        <v>1422</v>
      </c>
      <c r="B2266" s="343" t="str">
        <f>"52.0214"</f>
        <v>52.0214</v>
      </c>
      <c r="C2266" s="75" t="s">
        <v>5515</v>
      </c>
      <c r="D2266" s="127" t="s">
        <v>5516</v>
      </c>
      <c r="E2266" s="232"/>
    </row>
    <row r="2267" spans="1:5" ht="14.55" customHeight="1" outlineLevel="1" x14ac:dyDescent="0.25">
      <c r="A2267" s="230" t="s">
        <v>1422</v>
      </c>
      <c r="B2267" s="343" t="str">
        <f>"52.0215"</f>
        <v>52.0215</v>
      </c>
      <c r="C2267" s="75" t="s">
        <v>5517</v>
      </c>
      <c r="D2267" s="127" t="s">
        <v>5518</v>
      </c>
      <c r="E2267" s="232"/>
    </row>
    <row r="2268" spans="1:5" ht="14.55" customHeight="1" outlineLevel="1" x14ac:dyDescent="0.25">
      <c r="A2268" s="230" t="s">
        <v>1422</v>
      </c>
      <c r="B2268" s="343" t="str">
        <f>"52.0216"</f>
        <v>52.0216</v>
      </c>
      <c r="C2268" s="75" t="s">
        <v>5519</v>
      </c>
      <c r="D2268" s="127" t="s">
        <v>5520</v>
      </c>
      <c r="E2268" s="232"/>
    </row>
    <row r="2269" spans="1:5" ht="14.55" customHeight="1" outlineLevel="1" x14ac:dyDescent="0.25">
      <c r="A2269" s="230" t="s">
        <v>1422</v>
      </c>
      <c r="B2269" s="343" t="str">
        <f>"52.0299"</f>
        <v>52.0299</v>
      </c>
      <c r="C2269" s="75" t="s">
        <v>5521</v>
      </c>
      <c r="D2269" s="127" t="s">
        <v>5522</v>
      </c>
      <c r="E2269" s="232"/>
    </row>
    <row r="2270" spans="1:5" ht="14.55" customHeight="1" outlineLevel="1" x14ac:dyDescent="0.25">
      <c r="A2270" s="230" t="s">
        <v>1422</v>
      </c>
      <c r="B2270" s="343" t="str">
        <f>"52.03"</f>
        <v>52.03</v>
      </c>
      <c r="C2270" s="75" t="s">
        <v>5523</v>
      </c>
      <c r="D2270" s="127" t="s">
        <v>5524</v>
      </c>
      <c r="E2270" s="232"/>
    </row>
    <row r="2271" spans="1:5" ht="14.55" customHeight="1" outlineLevel="1" x14ac:dyDescent="0.25">
      <c r="A2271" s="230" t="s">
        <v>1422</v>
      </c>
      <c r="B2271" s="343" t="str">
        <f>"52.0301"</f>
        <v>52.0301</v>
      </c>
      <c r="C2271" s="75" t="s">
        <v>5525</v>
      </c>
      <c r="D2271" s="127" t="s">
        <v>5526</v>
      </c>
      <c r="E2271" s="232"/>
    </row>
    <row r="2272" spans="1:5" ht="14.55" customHeight="1" outlineLevel="1" x14ac:dyDescent="0.25">
      <c r="A2272" s="230" t="s">
        <v>1422</v>
      </c>
      <c r="B2272" s="343" t="str">
        <f>"52.0302"</f>
        <v>52.0302</v>
      </c>
      <c r="C2272" s="75" t="s">
        <v>5527</v>
      </c>
      <c r="D2272" s="127" t="s">
        <v>5528</v>
      </c>
      <c r="E2272" s="232"/>
    </row>
    <row r="2273" spans="1:5" ht="14.55" customHeight="1" outlineLevel="1" x14ac:dyDescent="0.25">
      <c r="A2273" s="230" t="s">
        <v>1422</v>
      </c>
      <c r="B2273" s="343" t="str">
        <f>"52.0303"</f>
        <v>52.0303</v>
      </c>
      <c r="C2273" s="75" t="s">
        <v>5529</v>
      </c>
      <c r="D2273" s="127" t="s">
        <v>5530</v>
      </c>
      <c r="E2273" s="232"/>
    </row>
    <row r="2274" spans="1:5" ht="14.55" customHeight="1" outlineLevel="1" x14ac:dyDescent="0.25">
      <c r="A2274" s="230" t="s">
        <v>1422</v>
      </c>
      <c r="B2274" s="343" t="str">
        <f>"52.0304"</f>
        <v>52.0304</v>
      </c>
      <c r="C2274" s="75" t="s">
        <v>5531</v>
      </c>
      <c r="D2274" s="127" t="s">
        <v>5532</v>
      </c>
      <c r="E2274" s="232"/>
    </row>
    <row r="2275" spans="1:5" ht="14.55" customHeight="1" outlineLevel="1" x14ac:dyDescent="0.25">
      <c r="A2275" s="230" t="s">
        <v>1422</v>
      </c>
      <c r="B2275" s="343" t="str">
        <f>"52.0305"</f>
        <v>52.0305</v>
      </c>
      <c r="C2275" s="75" t="s">
        <v>5533</v>
      </c>
      <c r="D2275" s="127" t="s">
        <v>5534</v>
      </c>
      <c r="E2275" s="232"/>
    </row>
    <row r="2276" spans="1:5" ht="14.55" customHeight="1" outlineLevel="1" x14ac:dyDescent="0.25">
      <c r="A2276" s="230" t="s">
        <v>1422</v>
      </c>
      <c r="B2276" s="343" t="str">
        <f>"52.0399"</f>
        <v>52.0399</v>
      </c>
      <c r="C2276" s="75" t="s">
        <v>5535</v>
      </c>
      <c r="D2276" s="127" t="s">
        <v>5536</v>
      </c>
      <c r="E2276" s="232"/>
    </row>
    <row r="2277" spans="1:5" ht="14.55" customHeight="1" outlineLevel="1" x14ac:dyDescent="0.25">
      <c r="A2277" s="230" t="s">
        <v>1422</v>
      </c>
      <c r="B2277" s="343" t="str">
        <f>"52.04"</f>
        <v>52.04</v>
      </c>
      <c r="C2277" s="75" t="s">
        <v>5537</v>
      </c>
      <c r="D2277" s="127" t="s">
        <v>5538</v>
      </c>
      <c r="E2277" s="232"/>
    </row>
    <row r="2278" spans="1:5" ht="14.55" customHeight="1" outlineLevel="1" x14ac:dyDescent="0.25">
      <c r="A2278" s="230" t="s">
        <v>1422</v>
      </c>
      <c r="B2278" s="343" t="str">
        <f>"52.0401"</f>
        <v>52.0401</v>
      </c>
      <c r="C2278" s="75" t="s">
        <v>5539</v>
      </c>
      <c r="D2278" s="127" t="s">
        <v>5540</v>
      </c>
      <c r="E2278" s="232"/>
    </row>
    <row r="2279" spans="1:5" ht="14.55" customHeight="1" outlineLevel="1" x14ac:dyDescent="0.25">
      <c r="A2279" s="230" t="s">
        <v>1422</v>
      </c>
      <c r="B2279" s="343" t="str">
        <f>"52.0402"</f>
        <v>52.0402</v>
      </c>
      <c r="C2279" s="75" t="s">
        <v>5541</v>
      </c>
      <c r="D2279" s="127" t="s">
        <v>5542</v>
      </c>
      <c r="E2279" s="232"/>
    </row>
    <row r="2280" spans="1:5" ht="14.55" customHeight="1" outlineLevel="1" x14ac:dyDescent="0.25">
      <c r="A2280" s="230" t="s">
        <v>1422</v>
      </c>
      <c r="B2280" s="343" t="str">
        <f>"52.0406"</f>
        <v>52.0406</v>
      </c>
      <c r="C2280" s="75" t="s">
        <v>5543</v>
      </c>
      <c r="D2280" s="127" t="s">
        <v>5544</v>
      </c>
      <c r="E2280" s="232"/>
    </row>
    <row r="2281" spans="1:5" ht="14.55" customHeight="1" outlineLevel="1" x14ac:dyDescent="0.25">
      <c r="A2281" s="230" t="s">
        <v>1422</v>
      </c>
      <c r="B2281" s="343" t="str">
        <f>"52.0407"</f>
        <v>52.0407</v>
      </c>
      <c r="C2281" s="75" t="s">
        <v>5545</v>
      </c>
      <c r="D2281" s="127" t="s">
        <v>5546</v>
      </c>
      <c r="E2281" s="232"/>
    </row>
    <row r="2282" spans="1:5" ht="14.55" customHeight="1" outlineLevel="1" x14ac:dyDescent="0.25">
      <c r="A2282" s="230" t="s">
        <v>1422</v>
      </c>
      <c r="B2282" s="343" t="str">
        <f>"52.0408"</f>
        <v>52.0408</v>
      </c>
      <c r="C2282" s="75" t="s">
        <v>5547</v>
      </c>
      <c r="D2282" s="127" t="s">
        <v>5548</v>
      </c>
      <c r="E2282" s="232"/>
    </row>
    <row r="2283" spans="1:5" ht="14.55" customHeight="1" outlineLevel="1" x14ac:dyDescent="0.25">
      <c r="A2283" s="230" t="s">
        <v>1422</v>
      </c>
      <c r="B2283" s="343" t="str">
        <f>"52.0409"</f>
        <v>52.0409</v>
      </c>
      <c r="C2283" s="75" t="s">
        <v>5549</v>
      </c>
      <c r="D2283" s="127" t="s">
        <v>5550</v>
      </c>
      <c r="E2283" s="232"/>
    </row>
    <row r="2284" spans="1:5" ht="14.55" customHeight="1" outlineLevel="1" x14ac:dyDescent="0.25">
      <c r="A2284" s="230" t="s">
        <v>1422</v>
      </c>
      <c r="B2284" s="343" t="str">
        <f>"52.0410"</f>
        <v>52.0410</v>
      </c>
      <c r="C2284" s="75" t="s">
        <v>5551</v>
      </c>
      <c r="D2284" s="127" t="s">
        <v>5552</v>
      </c>
      <c r="E2284" s="232"/>
    </row>
    <row r="2285" spans="1:5" ht="14.55" customHeight="1" outlineLevel="1" x14ac:dyDescent="0.25">
      <c r="A2285" s="230" t="s">
        <v>1422</v>
      </c>
      <c r="B2285" s="343" t="str">
        <f>"52.0411"</f>
        <v>52.0411</v>
      </c>
      <c r="C2285" s="75" t="s">
        <v>5553</v>
      </c>
      <c r="D2285" s="127" t="s">
        <v>5554</v>
      </c>
      <c r="E2285" s="232"/>
    </row>
    <row r="2286" spans="1:5" ht="14.55" customHeight="1" outlineLevel="1" x14ac:dyDescent="0.25">
      <c r="A2286" s="230" t="s">
        <v>1422</v>
      </c>
      <c r="B2286" s="343" t="str">
        <f>"52.0499"</f>
        <v>52.0499</v>
      </c>
      <c r="C2286" s="75" t="s">
        <v>5555</v>
      </c>
      <c r="D2286" s="127" t="s">
        <v>5556</v>
      </c>
      <c r="E2286" s="232"/>
    </row>
    <row r="2287" spans="1:5" ht="14.55" customHeight="1" outlineLevel="1" x14ac:dyDescent="0.25">
      <c r="A2287" s="230" t="s">
        <v>1422</v>
      </c>
      <c r="B2287" s="343" t="str">
        <f>"52.05"</f>
        <v>52.05</v>
      </c>
      <c r="C2287" s="75" t="s">
        <v>5557</v>
      </c>
      <c r="D2287" s="127" t="s">
        <v>5558</v>
      </c>
      <c r="E2287" s="232"/>
    </row>
    <row r="2288" spans="1:5" ht="14.55" customHeight="1" outlineLevel="1" x14ac:dyDescent="0.25">
      <c r="A2288" s="230" t="s">
        <v>1422</v>
      </c>
      <c r="B2288" s="343" t="str">
        <f>"52.0501"</f>
        <v>52.0501</v>
      </c>
      <c r="C2288" s="75" t="s">
        <v>5559</v>
      </c>
      <c r="D2288" s="127" t="s">
        <v>5560</v>
      </c>
      <c r="E2288" s="232"/>
    </row>
    <row r="2289" spans="1:5" ht="14.55" customHeight="1" outlineLevel="1" x14ac:dyDescent="0.25">
      <c r="A2289" s="230" t="s">
        <v>1422</v>
      </c>
      <c r="B2289" s="343" t="str">
        <f>"52.0502"</f>
        <v>52.0502</v>
      </c>
      <c r="C2289" s="75" t="s">
        <v>5561</v>
      </c>
      <c r="D2289" s="127" t="s">
        <v>5562</v>
      </c>
      <c r="E2289" s="232"/>
    </row>
    <row r="2290" spans="1:5" ht="14.55" customHeight="1" outlineLevel="1" x14ac:dyDescent="0.25">
      <c r="A2290" s="230" t="s">
        <v>1422</v>
      </c>
      <c r="B2290" s="343" t="str">
        <f>"52.0599"</f>
        <v>52.0599</v>
      </c>
      <c r="C2290" s="75" t="s">
        <v>5563</v>
      </c>
      <c r="D2290" s="127" t="s">
        <v>5564</v>
      </c>
      <c r="E2290" s="232"/>
    </row>
    <row r="2291" spans="1:5" ht="14.55" customHeight="1" outlineLevel="1" x14ac:dyDescent="0.25">
      <c r="A2291" s="230" t="s">
        <v>1422</v>
      </c>
      <c r="B2291" s="343" t="str">
        <f>"52.06"</f>
        <v>52.06</v>
      </c>
      <c r="C2291" s="75" t="s">
        <v>5565</v>
      </c>
      <c r="D2291" s="127" t="s">
        <v>5566</v>
      </c>
      <c r="E2291" s="232"/>
    </row>
    <row r="2292" spans="1:5" ht="14.55" customHeight="1" outlineLevel="1" x14ac:dyDescent="0.25">
      <c r="A2292" s="230" t="s">
        <v>1422</v>
      </c>
      <c r="B2292" s="343" t="str">
        <f>"52.0601"</f>
        <v>52.0601</v>
      </c>
      <c r="C2292" s="75" t="s">
        <v>5565</v>
      </c>
      <c r="D2292" s="127" t="s">
        <v>5567</v>
      </c>
      <c r="E2292" s="232"/>
    </row>
    <row r="2293" spans="1:5" ht="14.55" customHeight="1" outlineLevel="1" x14ac:dyDescent="0.25">
      <c r="A2293" s="230" t="s">
        <v>1422</v>
      </c>
      <c r="B2293" s="343" t="str">
        <f>"52.07"</f>
        <v>52.07</v>
      </c>
      <c r="C2293" s="75" t="s">
        <v>5568</v>
      </c>
      <c r="D2293" s="127" t="s">
        <v>5569</v>
      </c>
      <c r="E2293" s="232"/>
    </row>
    <row r="2294" spans="1:5" ht="14.55" customHeight="1" outlineLevel="1" x14ac:dyDescent="0.25">
      <c r="A2294" s="230" t="s">
        <v>1422</v>
      </c>
      <c r="B2294" s="343" t="str">
        <f>"52.0701"</f>
        <v>52.0701</v>
      </c>
      <c r="C2294" s="75" t="s">
        <v>5570</v>
      </c>
      <c r="D2294" s="127" t="s">
        <v>5571</v>
      </c>
      <c r="E2294" s="232"/>
    </row>
    <row r="2295" spans="1:5" ht="14.55" customHeight="1" outlineLevel="1" x14ac:dyDescent="0.25">
      <c r="A2295" s="230" t="s">
        <v>1422</v>
      </c>
      <c r="B2295" s="343" t="str">
        <f>"52.0702"</f>
        <v>52.0702</v>
      </c>
      <c r="C2295" s="75" t="s">
        <v>5572</v>
      </c>
      <c r="D2295" s="127" t="s">
        <v>5573</v>
      </c>
      <c r="E2295" s="232"/>
    </row>
    <row r="2296" spans="1:5" ht="14.55" customHeight="1" outlineLevel="1" x14ac:dyDescent="0.25">
      <c r="A2296" s="230" t="s">
        <v>1422</v>
      </c>
      <c r="B2296" s="343" t="str">
        <f>"52.0703"</f>
        <v>52.0703</v>
      </c>
      <c r="C2296" s="75" t="s">
        <v>5574</v>
      </c>
      <c r="D2296" s="127" t="s">
        <v>5575</v>
      </c>
      <c r="E2296" s="232"/>
    </row>
    <row r="2297" spans="1:5" ht="14.55" customHeight="1" outlineLevel="1" x14ac:dyDescent="0.25">
      <c r="A2297" s="230" t="s">
        <v>1422</v>
      </c>
      <c r="B2297" s="343" t="str">
        <f>"52.0704"</f>
        <v>52.0704</v>
      </c>
      <c r="C2297" s="75" t="s">
        <v>5576</v>
      </c>
      <c r="D2297" s="127" t="s">
        <v>5577</v>
      </c>
      <c r="E2297" s="232"/>
    </row>
    <row r="2298" spans="1:5" ht="14.55" customHeight="1" outlineLevel="1" x14ac:dyDescent="0.25">
      <c r="A2298" s="230" t="s">
        <v>1422</v>
      </c>
      <c r="B2298" s="343" t="str">
        <f>"52.0799"</f>
        <v>52.0799</v>
      </c>
      <c r="C2298" s="75" t="s">
        <v>5578</v>
      </c>
      <c r="D2298" s="127" t="s">
        <v>5579</v>
      </c>
      <c r="E2298" s="232"/>
    </row>
    <row r="2299" spans="1:5" ht="14.55" customHeight="1" outlineLevel="1" x14ac:dyDescent="0.25">
      <c r="A2299" s="230" t="s">
        <v>1422</v>
      </c>
      <c r="B2299" s="343" t="str">
        <f>"52.08"</f>
        <v>52.08</v>
      </c>
      <c r="C2299" s="75" t="s">
        <v>5580</v>
      </c>
      <c r="D2299" s="127" t="s">
        <v>5581</v>
      </c>
      <c r="E2299" s="232"/>
    </row>
    <row r="2300" spans="1:5" ht="14.55" customHeight="1" outlineLevel="1" x14ac:dyDescent="0.25">
      <c r="A2300" s="230" t="s">
        <v>1422</v>
      </c>
      <c r="B2300" s="343" t="str">
        <f>"52.0801"</f>
        <v>52.0801</v>
      </c>
      <c r="C2300" s="75" t="s">
        <v>5582</v>
      </c>
      <c r="D2300" s="127" t="s">
        <v>5583</v>
      </c>
      <c r="E2300" s="232"/>
    </row>
    <row r="2301" spans="1:5" ht="14.55" customHeight="1" outlineLevel="1" x14ac:dyDescent="0.25">
      <c r="A2301" s="230" t="s">
        <v>1422</v>
      </c>
      <c r="B2301" s="343" t="str">
        <f>"52.0803"</f>
        <v>52.0803</v>
      </c>
      <c r="C2301" s="75" t="s">
        <v>5584</v>
      </c>
      <c r="D2301" s="127" t="s">
        <v>5585</v>
      </c>
      <c r="E2301" s="232"/>
    </row>
    <row r="2302" spans="1:5" ht="14.55" customHeight="1" outlineLevel="1" x14ac:dyDescent="0.25">
      <c r="A2302" s="230" t="s">
        <v>1422</v>
      </c>
      <c r="B2302" s="343" t="str">
        <f>"52.0804"</f>
        <v>52.0804</v>
      </c>
      <c r="C2302" s="75" t="s">
        <v>5586</v>
      </c>
      <c r="D2302" s="127" t="s">
        <v>5587</v>
      </c>
      <c r="E2302" s="232"/>
    </row>
    <row r="2303" spans="1:5" ht="14.55" customHeight="1" outlineLevel="1" x14ac:dyDescent="0.25">
      <c r="A2303" s="230" t="s">
        <v>1422</v>
      </c>
      <c r="B2303" s="343" t="str">
        <f>"52.0806"</f>
        <v>52.0806</v>
      </c>
      <c r="C2303" s="75" t="s">
        <v>5588</v>
      </c>
      <c r="D2303" s="127" t="s">
        <v>5589</v>
      </c>
      <c r="E2303" s="232"/>
    </row>
    <row r="2304" spans="1:5" ht="14.55" customHeight="1" outlineLevel="1" x14ac:dyDescent="0.25">
      <c r="A2304" s="230" t="s">
        <v>1422</v>
      </c>
      <c r="B2304" s="343" t="str">
        <f>"52.0807"</f>
        <v>52.0807</v>
      </c>
      <c r="C2304" s="75" t="s">
        <v>5590</v>
      </c>
      <c r="D2304" s="127" t="s">
        <v>5591</v>
      </c>
      <c r="E2304" s="232"/>
    </row>
    <row r="2305" spans="1:5" ht="14.55" customHeight="1" outlineLevel="1" x14ac:dyDescent="0.25">
      <c r="A2305" s="230" t="s">
        <v>1422</v>
      </c>
      <c r="B2305" s="343" t="str">
        <f>"52.0808"</f>
        <v>52.0808</v>
      </c>
      <c r="C2305" s="75" t="s">
        <v>5592</v>
      </c>
      <c r="D2305" s="127" t="s">
        <v>5593</v>
      </c>
      <c r="E2305" s="232"/>
    </row>
    <row r="2306" spans="1:5" ht="14.55" customHeight="1" outlineLevel="1" x14ac:dyDescent="0.25">
      <c r="A2306" s="230" t="s">
        <v>1422</v>
      </c>
      <c r="B2306" s="343" t="str">
        <f>"52.0809"</f>
        <v>52.0809</v>
      </c>
      <c r="C2306" s="75" t="s">
        <v>5594</v>
      </c>
      <c r="D2306" s="127" t="s">
        <v>5595</v>
      </c>
      <c r="E2306" s="232"/>
    </row>
    <row r="2307" spans="1:5" ht="14.55" customHeight="1" outlineLevel="1" x14ac:dyDescent="0.25">
      <c r="A2307" s="230" t="s">
        <v>1422</v>
      </c>
      <c r="B2307" s="343" t="str">
        <f>"52.0810"</f>
        <v>52.0810</v>
      </c>
      <c r="C2307" s="75" t="s">
        <v>5596</v>
      </c>
      <c r="D2307" s="127" t="s">
        <v>5597</v>
      </c>
      <c r="E2307" s="232"/>
    </row>
    <row r="2308" spans="1:5" ht="14.55" customHeight="1" outlineLevel="1" x14ac:dyDescent="0.25">
      <c r="A2308" s="230" t="s">
        <v>1422</v>
      </c>
      <c r="B2308" s="343" t="str">
        <f>"52.0899"</f>
        <v>52.0899</v>
      </c>
      <c r="C2308" s="75" t="s">
        <v>5598</v>
      </c>
      <c r="D2308" s="127" t="s">
        <v>5599</v>
      </c>
      <c r="E2308" s="232"/>
    </row>
    <row r="2309" spans="1:5" ht="14.55" customHeight="1" outlineLevel="1" x14ac:dyDescent="0.25">
      <c r="A2309" s="230" t="s">
        <v>1422</v>
      </c>
      <c r="B2309" s="343" t="str">
        <f>"52.09"</f>
        <v>52.09</v>
      </c>
      <c r="C2309" s="75" t="s">
        <v>5600</v>
      </c>
      <c r="D2309" s="127" t="s">
        <v>5601</v>
      </c>
      <c r="E2309" s="232"/>
    </row>
    <row r="2310" spans="1:5" ht="14.55" customHeight="1" outlineLevel="1" x14ac:dyDescent="0.25">
      <c r="A2310" s="230" t="s">
        <v>1422</v>
      </c>
      <c r="B2310" s="343" t="str">
        <f>"52.0901"</f>
        <v>52.0901</v>
      </c>
      <c r="C2310" s="75" t="s">
        <v>5602</v>
      </c>
      <c r="D2310" s="127" t="s">
        <v>5603</v>
      </c>
      <c r="E2310" s="232"/>
    </row>
    <row r="2311" spans="1:5" ht="14.55" customHeight="1" outlineLevel="1" x14ac:dyDescent="0.25">
      <c r="A2311" s="230" t="s">
        <v>1422</v>
      </c>
      <c r="B2311" s="343" t="str">
        <f>"52.0903"</f>
        <v>52.0903</v>
      </c>
      <c r="C2311" s="75" t="s">
        <v>5604</v>
      </c>
      <c r="D2311" s="127" t="s">
        <v>5605</v>
      </c>
      <c r="E2311" s="232"/>
    </row>
    <row r="2312" spans="1:5" ht="14.55" customHeight="1" outlineLevel="1" x14ac:dyDescent="0.25">
      <c r="A2312" s="230" t="s">
        <v>1422</v>
      </c>
      <c r="B2312" s="343" t="str">
        <f>"52.0904"</f>
        <v>52.0904</v>
      </c>
      <c r="C2312" s="75" t="s">
        <v>5606</v>
      </c>
      <c r="D2312" s="127" t="s">
        <v>5607</v>
      </c>
      <c r="E2312" s="232"/>
    </row>
    <row r="2313" spans="1:5" ht="14.55" customHeight="1" outlineLevel="1" x14ac:dyDescent="0.25">
      <c r="A2313" s="230" t="s">
        <v>1422</v>
      </c>
      <c r="B2313" s="343" t="str">
        <f>"52.0905"</f>
        <v>52.0905</v>
      </c>
      <c r="C2313" s="75" t="s">
        <v>5608</v>
      </c>
      <c r="D2313" s="127" t="s">
        <v>5609</v>
      </c>
      <c r="E2313" s="232"/>
    </row>
    <row r="2314" spans="1:5" ht="14.55" customHeight="1" outlineLevel="1" x14ac:dyDescent="0.25">
      <c r="A2314" s="230" t="s">
        <v>1422</v>
      </c>
      <c r="B2314" s="343" t="str">
        <f>"52.0906"</f>
        <v>52.0906</v>
      </c>
      <c r="C2314" s="75" t="s">
        <v>5610</v>
      </c>
      <c r="D2314" s="127" t="s">
        <v>5611</v>
      </c>
      <c r="E2314" s="232"/>
    </row>
    <row r="2315" spans="1:5" ht="14.55" customHeight="1" outlineLevel="1" x14ac:dyDescent="0.25">
      <c r="A2315" s="230" t="s">
        <v>1422</v>
      </c>
      <c r="B2315" s="343" t="str">
        <f>"52.0907"</f>
        <v>52.0907</v>
      </c>
      <c r="C2315" s="75" t="s">
        <v>5612</v>
      </c>
      <c r="D2315" s="127" t="s">
        <v>5613</v>
      </c>
      <c r="E2315" s="232"/>
    </row>
    <row r="2316" spans="1:5" ht="14.55" customHeight="1" outlineLevel="1" x14ac:dyDescent="0.25">
      <c r="A2316" s="230" t="s">
        <v>1422</v>
      </c>
      <c r="B2316" s="343" t="str">
        <f>"52.0908"</f>
        <v>52.0908</v>
      </c>
      <c r="C2316" s="75" t="s">
        <v>5614</v>
      </c>
      <c r="D2316" s="127" t="s">
        <v>5615</v>
      </c>
      <c r="E2316" s="232"/>
    </row>
    <row r="2317" spans="1:5" ht="14.55" customHeight="1" outlineLevel="1" x14ac:dyDescent="0.25">
      <c r="A2317" s="230" t="s">
        <v>1422</v>
      </c>
      <c r="B2317" s="343" t="str">
        <f>"52.0909"</f>
        <v>52.0909</v>
      </c>
      <c r="C2317" s="75" t="s">
        <v>5616</v>
      </c>
      <c r="D2317" s="127" t="s">
        <v>5617</v>
      </c>
      <c r="E2317" s="232"/>
    </row>
    <row r="2318" spans="1:5" ht="14.55" customHeight="1" outlineLevel="1" x14ac:dyDescent="0.25">
      <c r="A2318" s="230" t="s">
        <v>1422</v>
      </c>
      <c r="B2318" s="343" t="str">
        <f>"52.0910"</f>
        <v>52.0910</v>
      </c>
      <c r="C2318" s="75" t="s">
        <v>5618</v>
      </c>
      <c r="D2318" s="127" t="s">
        <v>5619</v>
      </c>
      <c r="E2318" s="232"/>
    </row>
    <row r="2319" spans="1:5" ht="14.55" customHeight="1" outlineLevel="1" x14ac:dyDescent="0.25">
      <c r="A2319" s="230" t="s">
        <v>1422</v>
      </c>
      <c r="B2319" s="343" t="str">
        <f>"52.0999"</f>
        <v>52.0999</v>
      </c>
      <c r="C2319" s="75" t="s">
        <v>5620</v>
      </c>
      <c r="D2319" s="127" t="s">
        <v>5621</v>
      </c>
      <c r="E2319" s="232"/>
    </row>
    <row r="2320" spans="1:5" ht="14.55" customHeight="1" outlineLevel="1" x14ac:dyDescent="0.25">
      <c r="A2320" s="230" t="s">
        <v>1422</v>
      </c>
      <c r="B2320" s="343" t="str">
        <f>"52.10"</f>
        <v>52.10</v>
      </c>
      <c r="C2320" s="75" t="s">
        <v>5622</v>
      </c>
      <c r="D2320" s="127" t="s">
        <v>5623</v>
      </c>
      <c r="E2320" s="232"/>
    </row>
    <row r="2321" spans="1:5" ht="14.55" customHeight="1" outlineLevel="1" x14ac:dyDescent="0.25">
      <c r="A2321" s="230" t="s">
        <v>1422</v>
      </c>
      <c r="B2321" s="343" t="str">
        <f>"52.1001"</f>
        <v>52.1001</v>
      </c>
      <c r="C2321" s="75" t="s">
        <v>5624</v>
      </c>
      <c r="D2321" s="127" t="s">
        <v>5625</v>
      </c>
      <c r="E2321" s="232"/>
    </row>
    <row r="2322" spans="1:5" ht="14.55" customHeight="1" outlineLevel="1" x14ac:dyDescent="0.25">
      <c r="A2322" s="230" t="s">
        <v>1422</v>
      </c>
      <c r="B2322" s="343" t="str">
        <f>"52.1002"</f>
        <v>52.1002</v>
      </c>
      <c r="C2322" s="75" t="s">
        <v>5626</v>
      </c>
      <c r="D2322" s="127" t="s">
        <v>5627</v>
      </c>
      <c r="E2322" s="232"/>
    </row>
    <row r="2323" spans="1:5" ht="14.55" customHeight="1" outlineLevel="1" x14ac:dyDescent="0.25">
      <c r="A2323" s="230" t="s">
        <v>1422</v>
      </c>
      <c r="B2323" s="343" t="str">
        <f>"52.1003"</f>
        <v>52.1003</v>
      </c>
      <c r="C2323" s="75" t="s">
        <v>5628</v>
      </c>
      <c r="D2323" s="127" t="s">
        <v>5629</v>
      </c>
      <c r="E2323" s="232"/>
    </row>
    <row r="2324" spans="1:5" ht="14.55" customHeight="1" outlineLevel="1" x14ac:dyDescent="0.25">
      <c r="A2324" s="230" t="s">
        <v>1422</v>
      </c>
      <c r="B2324" s="343" t="str">
        <f>"52.1004"</f>
        <v>52.1004</v>
      </c>
      <c r="C2324" s="75" t="s">
        <v>5630</v>
      </c>
      <c r="D2324" s="127" t="s">
        <v>5631</v>
      </c>
      <c r="E2324" s="232"/>
    </row>
    <row r="2325" spans="1:5" ht="14.55" customHeight="1" outlineLevel="1" x14ac:dyDescent="0.25">
      <c r="A2325" s="230" t="s">
        <v>1422</v>
      </c>
      <c r="B2325" s="343" t="str">
        <f>"52.1005"</f>
        <v>52.1005</v>
      </c>
      <c r="C2325" s="75" t="s">
        <v>5632</v>
      </c>
      <c r="D2325" s="127" t="s">
        <v>5633</v>
      </c>
      <c r="E2325" s="232"/>
    </row>
    <row r="2326" spans="1:5" ht="14.55" customHeight="1" outlineLevel="1" x14ac:dyDescent="0.25">
      <c r="A2326" s="230" t="s">
        <v>1422</v>
      </c>
      <c r="B2326" s="343" t="str">
        <f>"52.1006"</f>
        <v>52.1006</v>
      </c>
      <c r="C2326" s="75" t="s">
        <v>5634</v>
      </c>
      <c r="D2326" s="127" t="s">
        <v>5635</v>
      </c>
      <c r="E2326" s="232"/>
    </row>
    <row r="2327" spans="1:5" ht="14.55" customHeight="1" outlineLevel="1" x14ac:dyDescent="0.25">
      <c r="A2327" s="230" t="s">
        <v>1422</v>
      </c>
      <c r="B2327" s="343" t="str">
        <f>"52.1099"</f>
        <v>52.1099</v>
      </c>
      <c r="C2327" s="75" t="s">
        <v>5636</v>
      </c>
      <c r="D2327" s="127" t="s">
        <v>5637</v>
      </c>
      <c r="E2327" s="232"/>
    </row>
    <row r="2328" spans="1:5" ht="14.55" customHeight="1" outlineLevel="1" x14ac:dyDescent="0.25">
      <c r="A2328" s="230" t="s">
        <v>1422</v>
      </c>
      <c r="B2328" s="343" t="str">
        <f>"52.11"</f>
        <v>52.11</v>
      </c>
      <c r="C2328" s="75" t="s">
        <v>5638</v>
      </c>
      <c r="D2328" s="127" t="s">
        <v>5639</v>
      </c>
      <c r="E2328" s="232"/>
    </row>
    <row r="2329" spans="1:5" ht="14.55" customHeight="1" outlineLevel="1" x14ac:dyDescent="0.25">
      <c r="A2329" s="230" t="s">
        <v>1422</v>
      </c>
      <c r="B2329" s="343" t="str">
        <f>"52.1101"</f>
        <v>52.1101</v>
      </c>
      <c r="C2329" s="75" t="s">
        <v>5640</v>
      </c>
      <c r="D2329" s="127" t="s">
        <v>5641</v>
      </c>
      <c r="E2329" s="232"/>
    </row>
    <row r="2330" spans="1:5" ht="14.55" customHeight="1" outlineLevel="1" x14ac:dyDescent="0.25">
      <c r="A2330" s="230" t="s">
        <v>1422</v>
      </c>
      <c r="B2330" s="343" t="str">
        <f>"52.12"</f>
        <v>52.12</v>
      </c>
      <c r="C2330" s="75" t="s">
        <v>5642</v>
      </c>
      <c r="D2330" s="127" t="s">
        <v>5643</v>
      </c>
      <c r="E2330" s="232"/>
    </row>
    <row r="2331" spans="1:5" ht="14.55" customHeight="1" outlineLevel="1" x14ac:dyDescent="0.25">
      <c r="A2331" s="230" t="s">
        <v>1422</v>
      </c>
      <c r="B2331" s="343" t="str">
        <f>"52.1201"</f>
        <v>52.1201</v>
      </c>
      <c r="C2331" s="75" t="s">
        <v>5644</v>
      </c>
      <c r="D2331" s="127" t="s">
        <v>5645</v>
      </c>
      <c r="E2331" s="232"/>
    </row>
    <row r="2332" spans="1:5" ht="14.55" customHeight="1" outlineLevel="1" x14ac:dyDescent="0.25">
      <c r="A2332" s="230" t="s">
        <v>1422</v>
      </c>
      <c r="B2332" s="343" t="str">
        <f>"52.1206"</f>
        <v>52.1206</v>
      </c>
      <c r="C2332" s="75" t="s">
        <v>5646</v>
      </c>
      <c r="D2332" s="127" t="s">
        <v>5647</v>
      </c>
      <c r="E2332" s="232"/>
    </row>
    <row r="2333" spans="1:5" ht="14.55" customHeight="1" outlineLevel="1" x14ac:dyDescent="0.25">
      <c r="A2333" s="230" t="s">
        <v>1422</v>
      </c>
      <c r="B2333" s="343" t="str">
        <f>"52.1207"</f>
        <v>52.1207</v>
      </c>
      <c r="C2333" s="75" t="s">
        <v>5648</v>
      </c>
      <c r="D2333" s="127" t="s">
        <v>5649</v>
      </c>
      <c r="E2333" s="232"/>
    </row>
    <row r="2334" spans="1:5" ht="14.55" customHeight="1" outlineLevel="1" x14ac:dyDescent="0.25">
      <c r="A2334" s="230" t="s">
        <v>1422</v>
      </c>
      <c r="B2334" s="343" t="str">
        <f>"52.1299"</f>
        <v>52.1299</v>
      </c>
      <c r="C2334" s="75" t="s">
        <v>5650</v>
      </c>
      <c r="D2334" s="127" t="s">
        <v>5651</v>
      </c>
      <c r="E2334" s="232"/>
    </row>
    <row r="2335" spans="1:5" ht="14.55" customHeight="1" outlineLevel="1" x14ac:dyDescent="0.25">
      <c r="A2335" s="230" t="s">
        <v>1422</v>
      </c>
      <c r="B2335" s="343" t="str">
        <f>"52.13"</f>
        <v>52.13</v>
      </c>
      <c r="C2335" s="75" t="s">
        <v>5652</v>
      </c>
      <c r="D2335" s="127" t="s">
        <v>5653</v>
      </c>
      <c r="E2335" s="232"/>
    </row>
    <row r="2336" spans="1:5" ht="14.55" customHeight="1" outlineLevel="1" x14ac:dyDescent="0.25">
      <c r="A2336" s="230" t="s">
        <v>1422</v>
      </c>
      <c r="B2336" s="343" t="str">
        <f>"52.1301"</f>
        <v>52.1301</v>
      </c>
      <c r="C2336" s="75" t="s">
        <v>5654</v>
      </c>
      <c r="D2336" s="127" t="s">
        <v>5655</v>
      </c>
      <c r="E2336" s="232"/>
    </row>
    <row r="2337" spans="1:5" ht="14.55" customHeight="1" outlineLevel="1" x14ac:dyDescent="0.25">
      <c r="A2337" s="230" t="s">
        <v>1422</v>
      </c>
      <c r="B2337" s="343" t="str">
        <f>"52.1302"</f>
        <v>52.1302</v>
      </c>
      <c r="C2337" s="75" t="s">
        <v>5656</v>
      </c>
      <c r="D2337" s="127" t="s">
        <v>5657</v>
      </c>
      <c r="E2337" s="232"/>
    </row>
    <row r="2338" spans="1:5" ht="14.55" customHeight="1" outlineLevel="1" x14ac:dyDescent="0.25">
      <c r="A2338" s="230" t="s">
        <v>1422</v>
      </c>
      <c r="B2338" s="343" t="str">
        <f>"52.1304"</f>
        <v>52.1304</v>
      </c>
      <c r="C2338" s="75" t="s">
        <v>5658</v>
      </c>
      <c r="D2338" s="127" t="s">
        <v>5659</v>
      </c>
      <c r="E2338" s="232"/>
    </row>
    <row r="2339" spans="1:5" ht="14.55" customHeight="1" outlineLevel="1" x14ac:dyDescent="0.25">
      <c r="A2339" s="230" t="s">
        <v>1422</v>
      </c>
      <c r="B2339" s="343" t="str">
        <f>"52.1399"</f>
        <v>52.1399</v>
      </c>
      <c r="C2339" s="75" t="s">
        <v>5660</v>
      </c>
      <c r="D2339" s="127" t="s">
        <v>5661</v>
      </c>
      <c r="E2339" s="232"/>
    </row>
    <row r="2340" spans="1:5" ht="14.55" customHeight="1" outlineLevel="1" x14ac:dyDescent="0.25">
      <c r="A2340" s="230" t="s">
        <v>1422</v>
      </c>
      <c r="B2340" s="343" t="str">
        <f>"52.14"</f>
        <v>52.14</v>
      </c>
      <c r="C2340" s="75" t="s">
        <v>5662</v>
      </c>
      <c r="D2340" s="127" t="s">
        <v>5663</v>
      </c>
      <c r="E2340" s="232"/>
    </row>
    <row r="2341" spans="1:5" ht="14.55" customHeight="1" outlineLevel="1" x14ac:dyDescent="0.25">
      <c r="A2341" s="230" t="s">
        <v>1422</v>
      </c>
      <c r="B2341" s="343" t="str">
        <f>"52.1401"</f>
        <v>52.1401</v>
      </c>
      <c r="C2341" s="75" t="s">
        <v>5664</v>
      </c>
      <c r="D2341" s="127" t="s">
        <v>5665</v>
      </c>
      <c r="E2341" s="232"/>
    </row>
    <row r="2342" spans="1:5" ht="14.55" customHeight="1" outlineLevel="1" x14ac:dyDescent="0.25">
      <c r="A2342" s="230" t="s">
        <v>1422</v>
      </c>
      <c r="B2342" s="343" t="str">
        <f>"52.1402"</f>
        <v>52.1402</v>
      </c>
      <c r="C2342" s="75" t="s">
        <v>5666</v>
      </c>
      <c r="D2342" s="127" t="s">
        <v>5667</v>
      </c>
      <c r="E2342" s="232"/>
    </row>
    <row r="2343" spans="1:5" ht="14.55" customHeight="1" outlineLevel="1" x14ac:dyDescent="0.25">
      <c r="A2343" s="230" t="s">
        <v>1422</v>
      </c>
      <c r="B2343" s="343" t="str">
        <f>"52.1403"</f>
        <v>52.1403</v>
      </c>
      <c r="C2343" s="75" t="s">
        <v>5668</v>
      </c>
      <c r="D2343" s="127" t="s">
        <v>5669</v>
      </c>
      <c r="E2343" s="232"/>
    </row>
    <row r="2344" spans="1:5" ht="14.55" customHeight="1" outlineLevel="1" x14ac:dyDescent="0.25">
      <c r="A2344" s="230" t="s">
        <v>1422</v>
      </c>
      <c r="B2344" s="343" t="str">
        <f>"52.1404"</f>
        <v>52.1404</v>
      </c>
      <c r="C2344" s="75" t="s">
        <v>5670</v>
      </c>
      <c r="D2344" s="127" t="s">
        <v>5671</v>
      </c>
      <c r="E2344" s="232"/>
    </row>
    <row r="2345" spans="1:5" ht="14.55" customHeight="1" outlineLevel="1" x14ac:dyDescent="0.25">
      <c r="A2345" s="230" t="s">
        <v>1422</v>
      </c>
      <c r="B2345" s="343" t="str">
        <f>"52.1499"</f>
        <v>52.1499</v>
      </c>
      <c r="C2345" s="75" t="s">
        <v>5672</v>
      </c>
      <c r="D2345" s="127" t="s">
        <v>5673</v>
      </c>
      <c r="E2345" s="232"/>
    </row>
    <row r="2346" spans="1:5" ht="14.55" customHeight="1" outlineLevel="1" x14ac:dyDescent="0.25">
      <c r="A2346" s="230" t="s">
        <v>1422</v>
      </c>
      <c r="B2346" s="343" t="str">
        <f>"52.15"</f>
        <v>52.15</v>
      </c>
      <c r="C2346" s="75" t="s">
        <v>5674</v>
      </c>
      <c r="D2346" s="127" t="s">
        <v>5675</v>
      </c>
      <c r="E2346" s="232"/>
    </row>
    <row r="2347" spans="1:5" ht="14.55" customHeight="1" outlineLevel="1" x14ac:dyDescent="0.25">
      <c r="A2347" s="230" t="s">
        <v>1422</v>
      </c>
      <c r="B2347" s="343" t="str">
        <f>"52.1501"</f>
        <v>52.1501</v>
      </c>
      <c r="C2347" s="75" t="s">
        <v>5674</v>
      </c>
      <c r="D2347" s="127" t="s">
        <v>5676</v>
      </c>
      <c r="E2347" s="232"/>
    </row>
    <row r="2348" spans="1:5" ht="14.55" customHeight="1" outlineLevel="1" x14ac:dyDescent="0.25">
      <c r="A2348" s="230" t="s">
        <v>1422</v>
      </c>
      <c r="B2348" s="343" t="str">
        <f>"52.16"</f>
        <v>52.16</v>
      </c>
      <c r="C2348" s="75" t="s">
        <v>5677</v>
      </c>
      <c r="D2348" s="127" t="s">
        <v>5678</v>
      </c>
      <c r="E2348" s="232"/>
    </row>
    <row r="2349" spans="1:5" ht="14.55" customHeight="1" outlineLevel="1" x14ac:dyDescent="0.25">
      <c r="A2349" s="230" t="s">
        <v>1422</v>
      </c>
      <c r="B2349" s="343" t="str">
        <f>"52.1601"</f>
        <v>52.1601</v>
      </c>
      <c r="C2349" s="75" t="s">
        <v>5677</v>
      </c>
      <c r="D2349" s="127" t="s">
        <v>5679</v>
      </c>
      <c r="E2349" s="232"/>
    </row>
    <row r="2350" spans="1:5" ht="14.55" customHeight="1" outlineLevel="1" x14ac:dyDescent="0.25">
      <c r="A2350" s="230" t="s">
        <v>1422</v>
      </c>
      <c r="B2350" s="343" t="str">
        <f>"52.17"</f>
        <v>52.17</v>
      </c>
      <c r="C2350" s="75" t="s">
        <v>5680</v>
      </c>
      <c r="D2350" s="127" t="s">
        <v>5681</v>
      </c>
      <c r="E2350" s="232"/>
    </row>
    <row r="2351" spans="1:5" ht="14.55" customHeight="1" outlineLevel="1" x14ac:dyDescent="0.25">
      <c r="A2351" s="230" t="s">
        <v>1422</v>
      </c>
      <c r="B2351" s="343" t="str">
        <f>"52.1701"</f>
        <v>52.1701</v>
      </c>
      <c r="C2351" s="75" t="s">
        <v>5680</v>
      </c>
      <c r="D2351" s="127" t="s">
        <v>5682</v>
      </c>
      <c r="E2351" s="232"/>
    </row>
    <row r="2352" spans="1:5" ht="14.55" customHeight="1" outlineLevel="1" x14ac:dyDescent="0.25">
      <c r="A2352" s="230" t="s">
        <v>1422</v>
      </c>
      <c r="B2352" s="343" t="str">
        <f>"52.18"</f>
        <v>52.18</v>
      </c>
      <c r="C2352" s="75" t="s">
        <v>5683</v>
      </c>
      <c r="D2352" s="127" t="s">
        <v>5684</v>
      </c>
      <c r="E2352" s="232"/>
    </row>
    <row r="2353" spans="1:5" ht="14.55" customHeight="1" outlineLevel="1" x14ac:dyDescent="0.25">
      <c r="A2353" s="230" t="s">
        <v>1422</v>
      </c>
      <c r="B2353" s="343" t="str">
        <f>"52.1801"</f>
        <v>52.1801</v>
      </c>
      <c r="C2353" s="75" t="s">
        <v>5685</v>
      </c>
      <c r="D2353" s="127" t="s">
        <v>5686</v>
      </c>
      <c r="E2353" s="232"/>
    </row>
    <row r="2354" spans="1:5" ht="14.55" customHeight="1" outlineLevel="1" x14ac:dyDescent="0.25">
      <c r="A2354" s="230" t="s">
        <v>1422</v>
      </c>
      <c r="B2354" s="343" t="str">
        <f>"52.1802"</f>
        <v>52.1802</v>
      </c>
      <c r="C2354" s="75" t="s">
        <v>5687</v>
      </c>
      <c r="D2354" s="127" t="s">
        <v>5688</v>
      </c>
      <c r="E2354" s="232"/>
    </row>
    <row r="2355" spans="1:5" ht="14.55" customHeight="1" outlineLevel="1" x14ac:dyDescent="0.25">
      <c r="A2355" s="230" t="s">
        <v>1422</v>
      </c>
      <c r="B2355" s="343" t="str">
        <f>"52.1803"</f>
        <v>52.1803</v>
      </c>
      <c r="C2355" s="75" t="s">
        <v>5689</v>
      </c>
      <c r="D2355" s="127" t="s">
        <v>5690</v>
      </c>
      <c r="E2355" s="232"/>
    </row>
    <row r="2356" spans="1:5" ht="14.55" customHeight="1" outlineLevel="1" x14ac:dyDescent="0.25">
      <c r="A2356" s="230" t="s">
        <v>1422</v>
      </c>
      <c r="B2356" s="343" t="str">
        <f>"52.1804"</f>
        <v>52.1804</v>
      </c>
      <c r="C2356" s="75" t="s">
        <v>5691</v>
      </c>
      <c r="D2356" s="127" t="s">
        <v>5692</v>
      </c>
      <c r="E2356" s="232"/>
    </row>
    <row r="2357" spans="1:5" ht="14.55" customHeight="1" outlineLevel="1" x14ac:dyDescent="0.25">
      <c r="A2357" s="230" t="s">
        <v>1422</v>
      </c>
      <c r="B2357" s="343" t="str">
        <f>"52.1880"</f>
        <v>52.1880</v>
      </c>
      <c r="C2357" s="75" t="s">
        <v>1479</v>
      </c>
      <c r="D2357" s="127" t="s">
        <v>1480</v>
      </c>
      <c r="E2357" s="232"/>
    </row>
    <row r="2358" spans="1:5" ht="14.55" customHeight="1" outlineLevel="1" x14ac:dyDescent="0.25">
      <c r="A2358" s="230" t="s">
        <v>1422</v>
      </c>
      <c r="B2358" s="343" t="str">
        <f>"52.1899"</f>
        <v>52.1899</v>
      </c>
      <c r="C2358" s="75" t="s">
        <v>5693</v>
      </c>
      <c r="D2358" s="127" t="s">
        <v>5694</v>
      </c>
      <c r="E2358" s="232"/>
    </row>
    <row r="2359" spans="1:5" ht="14.55" customHeight="1" outlineLevel="1" x14ac:dyDescent="0.25">
      <c r="A2359" s="230" t="s">
        <v>1422</v>
      </c>
      <c r="B2359" s="343" t="str">
        <f>"52.19"</f>
        <v>52.19</v>
      </c>
      <c r="C2359" s="75" t="s">
        <v>5695</v>
      </c>
      <c r="D2359" s="127" t="s">
        <v>5696</v>
      </c>
      <c r="E2359" s="232"/>
    </row>
    <row r="2360" spans="1:5" ht="14.55" customHeight="1" outlineLevel="1" x14ac:dyDescent="0.25">
      <c r="A2360" s="230" t="s">
        <v>1422</v>
      </c>
      <c r="B2360" s="343" t="str">
        <f>"52.1901"</f>
        <v>52.1901</v>
      </c>
      <c r="C2360" s="75" t="s">
        <v>5697</v>
      </c>
      <c r="D2360" s="127" t="s">
        <v>5698</v>
      </c>
      <c r="E2360" s="232"/>
    </row>
    <row r="2361" spans="1:5" ht="14.55" customHeight="1" outlineLevel="1" x14ac:dyDescent="0.25">
      <c r="A2361" s="230" t="s">
        <v>1422</v>
      </c>
      <c r="B2361" s="343" t="str">
        <f>"52.1902"</f>
        <v>52.1902</v>
      </c>
      <c r="C2361" s="75" t="s">
        <v>5699</v>
      </c>
      <c r="D2361" s="127" t="s">
        <v>5700</v>
      </c>
      <c r="E2361" s="232"/>
    </row>
    <row r="2362" spans="1:5" ht="14.55" customHeight="1" outlineLevel="1" x14ac:dyDescent="0.25">
      <c r="A2362" s="230" t="s">
        <v>1422</v>
      </c>
      <c r="B2362" s="343" t="str">
        <f>"52.1903"</f>
        <v>52.1903</v>
      </c>
      <c r="C2362" s="75" t="s">
        <v>5701</v>
      </c>
      <c r="D2362" s="127" t="s">
        <v>5702</v>
      </c>
      <c r="E2362" s="232"/>
    </row>
    <row r="2363" spans="1:5" ht="14.55" customHeight="1" outlineLevel="1" x14ac:dyDescent="0.25">
      <c r="A2363" s="230" t="s">
        <v>1422</v>
      </c>
      <c r="B2363" s="343" t="str">
        <f>"52.1904"</f>
        <v>52.1904</v>
      </c>
      <c r="C2363" s="75" t="s">
        <v>5703</v>
      </c>
      <c r="D2363" s="127" t="s">
        <v>5704</v>
      </c>
      <c r="E2363" s="232"/>
    </row>
    <row r="2364" spans="1:5" ht="14.55" customHeight="1" outlineLevel="1" x14ac:dyDescent="0.25">
      <c r="A2364" s="230" t="s">
        <v>1422</v>
      </c>
      <c r="B2364" s="343" t="str">
        <f>"52.1905"</f>
        <v>52.1905</v>
      </c>
      <c r="C2364" s="75" t="s">
        <v>5705</v>
      </c>
      <c r="D2364" s="127" t="s">
        <v>5706</v>
      </c>
      <c r="E2364" s="232"/>
    </row>
    <row r="2365" spans="1:5" ht="14.55" customHeight="1" outlineLevel="1" x14ac:dyDescent="0.25">
      <c r="A2365" s="230" t="s">
        <v>1422</v>
      </c>
      <c r="B2365" s="343" t="str">
        <f>"52.1906"</f>
        <v>52.1906</v>
      </c>
      <c r="C2365" s="75" t="s">
        <v>5707</v>
      </c>
      <c r="D2365" s="127" t="s">
        <v>5708</v>
      </c>
      <c r="E2365" s="232"/>
    </row>
    <row r="2366" spans="1:5" ht="14.55" customHeight="1" outlineLevel="1" x14ac:dyDescent="0.25">
      <c r="A2366" s="230" t="s">
        <v>1422</v>
      </c>
      <c r="B2366" s="343" t="str">
        <f>"52.1907"</f>
        <v>52.1907</v>
      </c>
      <c r="C2366" s="75" t="s">
        <v>5709</v>
      </c>
      <c r="D2366" s="127" t="s">
        <v>5710</v>
      </c>
      <c r="E2366" s="232"/>
    </row>
    <row r="2367" spans="1:5" ht="14.55" customHeight="1" outlineLevel="1" x14ac:dyDescent="0.25">
      <c r="A2367" s="230" t="s">
        <v>1422</v>
      </c>
      <c r="B2367" s="343" t="str">
        <f>"52.1908"</f>
        <v>52.1908</v>
      </c>
      <c r="C2367" s="75" t="s">
        <v>5711</v>
      </c>
      <c r="D2367" s="127" t="s">
        <v>5712</v>
      </c>
      <c r="E2367" s="232"/>
    </row>
    <row r="2368" spans="1:5" ht="14.55" customHeight="1" outlineLevel="1" x14ac:dyDescent="0.25">
      <c r="A2368" s="230" t="s">
        <v>1422</v>
      </c>
      <c r="B2368" s="343" t="str">
        <f>"52.1909"</f>
        <v>52.1909</v>
      </c>
      <c r="C2368" s="75" t="s">
        <v>5713</v>
      </c>
      <c r="D2368" s="127" t="s">
        <v>5714</v>
      </c>
      <c r="E2368" s="232"/>
    </row>
    <row r="2369" spans="1:5" ht="14.55" customHeight="1" outlineLevel="1" x14ac:dyDescent="0.25">
      <c r="A2369" s="230" t="s">
        <v>1422</v>
      </c>
      <c r="B2369" s="343" t="str">
        <f>"52.1910"</f>
        <v>52.1910</v>
      </c>
      <c r="C2369" s="75" t="s">
        <v>5715</v>
      </c>
      <c r="D2369" s="127" t="s">
        <v>5716</v>
      </c>
      <c r="E2369" s="232"/>
    </row>
    <row r="2370" spans="1:5" ht="14.55" customHeight="1" outlineLevel="1" x14ac:dyDescent="0.25">
      <c r="A2370" s="230" t="s">
        <v>1422</v>
      </c>
      <c r="B2370" s="343" t="str">
        <f>"52.1980"</f>
        <v>52.1980</v>
      </c>
      <c r="C2370" s="75" t="s">
        <v>1479</v>
      </c>
      <c r="D2370" s="127" t="s">
        <v>1480</v>
      </c>
      <c r="E2370" s="232"/>
    </row>
    <row r="2371" spans="1:5" ht="14.55" customHeight="1" outlineLevel="1" x14ac:dyDescent="0.25">
      <c r="A2371" s="230" t="s">
        <v>1422</v>
      </c>
      <c r="B2371" s="343" t="str">
        <f>"52.1999"</f>
        <v>52.1999</v>
      </c>
      <c r="C2371" s="75" t="s">
        <v>5717</v>
      </c>
      <c r="D2371" s="127" t="s">
        <v>5718</v>
      </c>
      <c r="E2371" s="232"/>
    </row>
    <row r="2372" spans="1:5" ht="14.55" customHeight="1" outlineLevel="1" x14ac:dyDescent="0.25">
      <c r="A2372" s="230" t="s">
        <v>1422</v>
      </c>
      <c r="B2372" s="343" t="str">
        <f>"52.20"</f>
        <v>52.20</v>
      </c>
      <c r="C2372" s="75" t="s">
        <v>5719</v>
      </c>
      <c r="D2372" s="127" t="s">
        <v>5720</v>
      </c>
      <c r="E2372" s="232"/>
    </row>
    <row r="2373" spans="1:5" ht="14.55" customHeight="1" outlineLevel="1" x14ac:dyDescent="0.25">
      <c r="A2373" s="230" t="s">
        <v>1422</v>
      </c>
      <c r="B2373" s="343" t="str">
        <f>"52.2001"</f>
        <v>52.2001</v>
      </c>
      <c r="C2373" s="75" t="s">
        <v>5721</v>
      </c>
      <c r="D2373" s="127" t="s">
        <v>5722</v>
      </c>
      <c r="E2373" s="232"/>
    </row>
    <row r="2374" spans="1:5" ht="14.55" customHeight="1" outlineLevel="1" x14ac:dyDescent="0.25">
      <c r="A2374" s="230" t="s">
        <v>1422</v>
      </c>
      <c r="B2374" s="343" t="str">
        <f>"52.2002"</f>
        <v>52.2002</v>
      </c>
      <c r="C2374" s="75" t="s">
        <v>5723</v>
      </c>
      <c r="D2374" s="127" t="s">
        <v>5724</v>
      </c>
      <c r="E2374" s="232"/>
    </row>
    <row r="2375" spans="1:5" ht="14.55" customHeight="1" outlineLevel="1" x14ac:dyDescent="0.25">
      <c r="A2375" s="230" t="s">
        <v>1422</v>
      </c>
      <c r="B2375" s="343" t="str">
        <f>"52.2099"</f>
        <v>52.2099</v>
      </c>
      <c r="C2375" s="75" t="s">
        <v>5725</v>
      </c>
      <c r="D2375" s="127" t="s">
        <v>5726</v>
      </c>
      <c r="E2375" s="232"/>
    </row>
    <row r="2376" spans="1:5" ht="14.55" customHeight="1" outlineLevel="1" x14ac:dyDescent="0.25">
      <c r="A2376" s="230" t="s">
        <v>1422</v>
      </c>
      <c r="B2376" s="343" t="str">
        <f>"52.21"</f>
        <v>52.21</v>
      </c>
      <c r="C2376" s="75" t="s">
        <v>5727</v>
      </c>
      <c r="D2376" s="127" t="s">
        <v>5728</v>
      </c>
      <c r="E2376" s="232"/>
    </row>
    <row r="2377" spans="1:5" ht="14.55" customHeight="1" outlineLevel="1" x14ac:dyDescent="0.25">
      <c r="A2377" s="230" t="s">
        <v>1422</v>
      </c>
      <c r="B2377" s="343" t="str">
        <f>"52.2101"</f>
        <v>52.2101</v>
      </c>
      <c r="C2377" s="75" t="s">
        <v>5727</v>
      </c>
      <c r="D2377" s="127" t="s">
        <v>5729</v>
      </c>
      <c r="E2377" s="232"/>
    </row>
    <row r="2378" spans="1:5" ht="14.55" customHeight="1" outlineLevel="1" x14ac:dyDescent="0.25">
      <c r="A2378" s="230" t="s">
        <v>1422</v>
      </c>
      <c r="B2378" s="343" t="str">
        <f>"52.99"</f>
        <v>52.99</v>
      </c>
      <c r="C2378" s="75" t="s">
        <v>5730</v>
      </c>
      <c r="D2378" s="127" t="s">
        <v>5731</v>
      </c>
      <c r="E2378" s="232"/>
    </row>
    <row r="2379" spans="1:5" ht="14.55" customHeight="1" outlineLevel="1" x14ac:dyDescent="0.25">
      <c r="A2379" s="230" t="s">
        <v>1422</v>
      </c>
      <c r="B2379" s="343" t="str">
        <f>"52.9999"</f>
        <v>52.9999</v>
      </c>
      <c r="C2379" s="75" t="s">
        <v>5730</v>
      </c>
      <c r="D2379" s="127" t="s">
        <v>5732</v>
      </c>
      <c r="E2379" s="232"/>
    </row>
    <row r="2380" spans="1:5" ht="14.55" customHeight="1" outlineLevel="1" x14ac:dyDescent="0.25">
      <c r="A2380" s="230" t="s">
        <v>1422</v>
      </c>
      <c r="B2380" s="343" t="str">
        <f>"53"</f>
        <v>53</v>
      </c>
      <c r="C2380" s="75" t="s">
        <v>5733</v>
      </c>
      <c r="D2380" s="127" t="s">
        <v>5734</v>
      </c>
      <c r="E2380" s="232"/>
    </row>
    <row r="2381" spans="1:5" ht="14.55" customHeight="1" outlineLevel="1" x14ac:dyDescent="0.25">
      <c r="A2381" s="230" t="s">
        <v>1422</v>
      </c>
      <c r="B2381" s="343" t="str">
        <f>"53.01"</f>
        <v>53.01</v>
      </c>
      <c r="C2381" s="75" t="s">
        <v>5735</v>
      </c>
      <c r="D2381" s="127" t="s">
        <v>5736</v>
      </c>
      <c r="E2381" s="232"/>
    </row>
    <row r="2382" spans="1:5" ht="14.55" customHeight="1" outlineLevel="1" x14ac:dyDescent="0.25">
      <c r="A2382" s="230" t="s">
        <v>1422</v>
      </c>
      <c r="B2382" s="343" t="str">
        <f>"53.0101"</f>
        <v>53.0101</v>
      </c>
      <c r="C2382" s="75" t="s">
        <v>5737</v>
      </c>
      <c r="D2382" s="127" t="s">
        <v>5738</v>
      </c>
      <c r="E2382" s="232"/>
    </row>
    <row r="2383" spans="1:5" ht="14.55" customHeight="1" outlineLevel="1" x14ac:dyDescent="0.25">
      <c r="A2383" s="230" t="s">
        <v>1422</v>
      </c>
      <c r="B2383" s="343" t="str">
        <f>"53.0102"</f>
        <v>53.0102</v>
      </c>
      <c r="C2383" s="75" t="s">
        <v>5739</v>
      </c>
      <c r="D2383" s="127" t="s">
        <v>5740</v>
      </c>
      <c r="E2383" s="232"/>
    </row>
    <row r="2384" spans="1:5" ht="14.55" customHeight="1" outlineLevel="1" x14ac:dyDescent="0.25">
      <c r="A2384" s="230" t="s">
        <v>1422</v>
      </c>
      <c r="B2384" s="343" t="str">
        <f>"53.0103"</f>
        <v>53.0103</v>
      </c>
      <c r="C2384" s="75" t="s">
        <v>5741</v>
      </c>
      <c r="D2384" s="127" t="s">
        <v>5742</v>
      </c>
      <c r="E2384" s="232"/>
    </row>
    <row r="2385" spans="1:5" ht="14.55" customHeight="1" outlineLevel="1" x14ac:dyDescent="0.25">
      <c r="A2385" s="230" t="s">
        <v>1422</v>
      </c>
      <c r="B2385" s="343" t="str">
        <f>"53.0104"</f>
        <v>53.0104</v>
      </c>
      <c r="C2385" s="75" t="s">
        <v>5743</v>
      </c>
      <c r="D2385" s="127" t="s">
        <v>5744</v>
      </c>
      <c r="E2385" s="232"/>
    </row>
    <row r="2386" spans="1:5" ht="14.55" customHeight="1" outlineLevel="1" x14ac:dyDescent="0.25">
      <c r="A2386" s="230" t="s">
        <v>1422</v>
      </c>
      <c r="B2386" s="343" t="str">
        <f>"53.0105"</f>
        <v>53.0105</v>
      </c>
      <c r="C2386" s="75" t="s">
        <v>5745</v>
      </c>
      <c r="D2386" s="127" t="s">
        <v>5746</v>
      </c>
      <c r="E2386" s="232"/>
    </row>
    <row r="2387" spans="1:5" ht="14.55" customHeight="1" outlineLevel="1" x14ac:dyDescent="0.25">
      <c r="A2387" s="230" t="s">
        <v>1422</v>
      </c>
      <c r="B2387" s="343" t="str">
        <f>"53.0199"</f>
        <v>53.0199</v>
      </c>
      <c r="C2387" s="75" t="s">
        <v>5747</v>
      </c>
      <c r="D2387" s="127" t="s">
        <v>5748</v>
      </c>
      <c r="E2387" s="232"/>
    </row>
    <row r="2388" spans="1:5" ht="14.55" customHeight="1" outlineLevel="1" x14ac:dyDescent="0.25">
      <c r="A2388" s="230" t="s">
        <v>1422</v>
      </c>
      <c r="B2388" s="343" t="str">
        <f>"53.02"</f>
        <v>53.02</v>
      </c>
      <c r="C2388" s="75" t="s">
        <v>5749</v>
      </c>
      <c r="D2388" s="127" t="s">
        <v>5750</v>
      </c>
      <c r="E2388" s="232"/>
    </row>
    <row r="2389" spans="1:5" ht="14.55" customHeight="1" outlineLevel="1" x14ac:dyDescent="0.25">
      <c r="A2389" s="230" t="s">
        <v>1422</v>
      </c>
      <c r="B2389" s="343" t="str">
        <f>"53.0201"</f>
        <v>53.0201</v>
      </c>
      <c r="C2389" s="75" t="s">
        <v>5751</v>
      </c>
      <c r="D2389" s="127" t="s">
        <v>5752</v>
      </c>
      <c r="E2389" s="232"/>
    </row>
    <row r="2390" spans="1:5" ht="14.55" customHeight="1" outlineLevel="1" x14ac:dyDescent="0.25">
      <c r="A2390" s="230" t="s">
        <v>1422</v>
      </c>
      <c r="B2390" s="343" t="str">
        <f>"53.0202"</f>
        <v>53.0202</v>
      </c>
      <c r="C2390" s="75" t="s">
        <v>5753</v>
      </c>
      <c r="D2390" s="127" t="s">
        <v>5754</v>
      </c>
      <c r="E2390" s="232"/>
    </row>
    <row r="2391" spans="1:5" ht="14.55" customHeight="1" outlineLevel="1" x14ac:dyDescent="0.25">
      <c r="A2391" s="230" t="s">
        <v>1422</v>
      </c>
      <c r="B2391" s="343" t="str">
        <f>"53.0203"</f>
        <v>53.0203</v>
      </c>
      <c r="C2391" s="75" t="s">
        <v>5755</v>
      </c>
      <c r="D2391" s="127" t="s">
        <v>5756</v>
      </c>
      <c r="E2391" s="232"/>
    </row>
    <row r="2392" spans="1:5" ht="14.55" customHeight="1" outlineLevel="1" x14ac:dyDescent="0.25">
      <c r="A2392" s="230" t="s">
        <v>1422</v>
      </c>
      <c r="B2392" s="343" t="str">
        <f>"53.0299"</f>
        <v>53.0299</v>
      </c>
      <c r="C2392" s="75" t="s">
        <v>5757</v>
      </c>
      <c r="D2392" s="127" t="s">
        <v>5758</v>
      </c>
      <c r="E2392" s="232"/>
    </row>
    <row r="2393" spans="1:5" ht="14.55" customHeight="1" outlineLevel="1" x14ac:dyDescent="0.25">
      <c r="A2393" s="230" t="s">
        <v>1422</v>
      </c>
      <c r="B2393" s="343" t="str">
        <f>"54"</f>
        <v>54</v>
      </c>
      <c r="C2393" s="75" t="s">
        <v>5759</v>
      </c>
      <c r="D2393" s="127" t="s">
        <v>5760</v>
      </c>
      <c r="E2393" s="232"/>
    </row>
    <row r="2394" spans="1:5" ht="14.55" customHeight="1" outlineLevel="1" x14ac:dyDescent="0.25">
      <c r="A2394" s="230" t="s">
        <v>1422</v>
      </c>
      <c r="B2394" s="343" t="str">
        <f>"54.01"</f>
        <v>54.01</v>
      </c>
      <c r="C2394" s="75" t="s">
        <v>5761</v>
      </c>
      <c r="D2394" s="127" t="s">
        <v>5762</v>
      </c>
      <c r="E2394" s="232"/>
    </row>
    <row r="2395" spans="1:5" ht="14.55" customHeight="1" outlineLevel="1" x14ac:dyDescent="0.25">
      <c r="A2395" s="230" t="s">
        <v>1422</v>
      </c>
      <c r="B2395" s="343" t="str">
        <f>"54.0101"</f>
        <v>54.0101</v>
      </c>
      <c r="C2395" s="75" t="s">
        <v>5763</v>
      </c>
      <c r="D2395" s="127" t="s">
        <v>5764</v>
      </c>
      <c r="E2395" s="232"/>
    </row>
    <row r="2396" spans="1:5" ht="14.55" customHeight="1" outlineLevel="1" x14ac:dyDescent="0.25">
      <c r="A2396" s="230" t="s">
        <v>1422</v>
      </c>
      <c r="B2396" s="343" t="str">
        <f>"54.0102"</f>
        <v>54.0102</v>
      </c>
      <c r="C2396" s="75" t="s">
        <v>5765</v>
      </c>
      <c r="D2396" s="127" t="s">
        <v>5766</v>
      </c>
      <c r="E2396" s="232"/>
    </row>
    <row r="2397" spans="1:5" ht="14.55" customHeight="1" outlineLevel="1" x14ac:dyDescent="0.25">
      <c r="A2397" s="230" t="s">
        <v>1422</v>
      </c>
      <c r="B2397" s="343" t="str">
        <f>"54.0103"</f>
        <v>54.0103</v>
      </c>
      <c r="C2397" s="75" t="s">
        <v>5767</v>
      </c>
      <c r="D2397" s="127" t="s">
        <v>5768</v>
      </c>
      <c r="E2397" s="232"/>
    </row>
    <row r="2398" spans="1:5" ht="14.55" customHeight="1" outlineLevel="1" x14ac:dyDescent="0.25">
      <c r="A2398" s="230" t="s">
        <v>1422</v>
      </c>
      <c r="B2398" s="343" t="str">
        <f>"54.0104"</f>
        <v>54.0104</v>
      </c>
      <c r="C2398" s="75" t="s">
        <v>5769</v>
      </c>
      <c r="D2398" s="127" t="s">
        <v>5770</v>
      </c>
      <c r="E2398" s="232"/>
    </row>
    <row r="2399" spans="1:5" ht="14.55" customHeight="1" outlineLevel="1" x14ac:dyDescent="0.25">
      <c r="A2399" s="230" t="s">
        <v>1422</v>
      </c>
      <c r="B2399" s="343" t="str">
        <f>"54.0105"</f>
        <v>54.0105</v>
      </c>
      <c r="C2399" s="75" t="s">
        <v>5771</v>
      </c>
      <c r="D2399" s="127" t="s">
        <v>5772</v>
      </c>
      <c r="E2399" s="232"/>
    </row>
    <row r="2400" spans="1:5" ht="14.55" customHeight="1" outlineLevel="1" x14ac:dyDescent="0.25">
      <c r="A2400" s="230" t="s">
        <v>1422</v>
      </c>
      <c r="B2400" s="343" t="str">
        <f>"54.0106"</f>
        <v>54.0106</v>
      </c>
      <c r="C2400" s="75" t="s">
        <v>5773</v>
      </c>
      <c r="D2400" s="127" t="s">
        <v>5774</v>
      </c>
      <c r="E2400" s="232"/>
    </row>
    <row r="2401" spans="1:5" ht="14.55" customHeight="1" outlineLevel="1" x14ac:dyDescent="0.25">
      <c r="A2401" s="230" t="s">
        <v>1422</v>
      </c>
      <c r="B2401" s="343" t="str">
        <f>"54.0107"</f>
        <v>54.0107</v>
      </c>
      <c r="C2401" s="75" t="s">
        <v>5775</v>
      </c>
      <c r="D2401" s="127" t="s">
        <v>5776</v>
      </c>
      <c r="E2401" s="232"/>
    </row>
    <row r="2402" spans="1:5" ht="14.55" customHeight="1" outlineLevel="1" x14ac:dyDescent="0.25">
      <c r="A2402" s="230" t="s">
        <v>1422</v>
      </c>
      <c r="B2402" s="343" t="str">
        <f>"54.0108"</f>
        <v>54.0108</v>
      </c>
      <c r="C2402" s="75" t="s">
        <v>5777</v>
      </c>
      <c r="D2402" s="127" t="s">
        <v>5778</v>
      </c>
      <c r="E2402" s="232"/>
    </row>
    <row r="2403" spans="1:5" ht="14.55" customHeight="1" outlineLevel="1" x14ac:dyDescent="0.25">
      <c r="A2403" s="230" t="s">
        <v>1422</v>
      </c>
      <c r="B2403" s="343" t="str">
        <f>"54.0199"</f>
        <v>54.0199</v>
      </c>
      <c r="C2403" s="75" t="s">
        <v>5779</v>
      </c>
      <c r="D2403" s="127" t="s">
        <v>5780</v>
      </c>
      <c r="E2403" s="232"/>
    </row>
    <row r="2404" spans="1:5" ht="14.55" customHeight="1" outlineLevel="1" x14ac:dyDescent="0.25">
      <c r="A2404" s="230" t="s">
        <v>1422</v>
      </c>
      <c r="B2404" s="343" t="str">
        <f>"55"</f>
        <v>55</v>
      </c>
      <c r="C2404" s="75" t="s">
        <v>3030</v>
      </c>
      <c r="D2404" s="127" t="s">
        <v>3031</v>
      </c>
      <c r="E2404" s="232"/>
    </row>
    <row r="2405" spans="1:5" ht="14.55" customHeight="1" outlineLevel="1" x14ac:dyDescent="0.25">
      <c r="A2405" s="230" t="s">
        <v>1422</v>
      </c>
      <c r="B2405" s="343" t="str">
        <f>"55.01"</f>
        <v>55.01</v>
      </c>
      <c r="C2405" s="75" t="s">
        <v>1479</v>
      </c>
      <c r="D2405" s="127" t="s">
        <v>5781</v>
      </c>
      <c r="E2405" s="232"/>
    </row>
    <row r="2406" spans="1:5" ht="14.55" customHeight="1" outlineLevel="1" x14ac:dyDescent="0.25">
      <c r="A2406" s="230" t="s">
        <v>1422</v>
      </c>
      <c r="B2406" s="343" t="str">
        <f>"55.0101"</f>
        <v>55.0101</v>
      </c>
      <c r="C2406" s="75" t="s">
        <v>1479</v>
      </c>
      <c r="D2406" s="127" t="s">
        <v>1480</v>
      </c>
      <c r="E2406" s="232"/>
    </row>
    <row r="2407" spans="1:5" ht="14.55" customHeight="1" outlineLevel="1" x14ac:dyDescent="0.25">
      <c r="A2407" s="230" t="s">
        <v>1422</v>
      </c>
      <c r="B2407" s="343" t="str">
        <f>"55.13"</f>
        <v>55.13</v>
      </c>
      <c r="C2407" s="75" t="s">
        <v>1479</v>
      </c>
      <c r="D2407" s="127" t="s">
        <v>5782</v>
      </c>
      <c r="E2407" s="232"/>
    </row>
    <row r="2408" spans="1:5" ht="14.55" customHeight="1" outlineLevel="1" x14ac:dyDescent="0.25">
      <c r="A2408" s="230" t="s">
        <v>1422</v>
      </c>
      <c r="B2408" s="343" t="str">
        <f>"55.1301"</f>
        <v>55.1301</v>
      </c>
      <c r="C2408" s="75" t="s">
        <v>1479</v>
      </c>
      <c r="D2408" s="127" t="s">
        <v>1480</v>
      </c>
      <c r="E2408" s="232"/>
    </row>
    <row r="2409" spans="1:5" ht="14.55" customHeight="1" outlineLevel="1" x14ac:dyDescent="0.25">
      <c r="A2409" s="230" t="s">
        <v>1422</v>
      </c>
      <c r="B2409" s="343" t="str">
        <f>"55.1302"</f>
        <v>55.1302</v>
      </c>
      <c r="C2409" s="75" t="s">
        <v>1479</v>
      </c>
      <c r="D2409" s="127" t="s">
        <v>1480</v>
      </c>
      <c r="E2409" s="232"/>
    </row>
    <row r="2410" spans="1:5" ht="14.55" customHeight="1" outlineLevel="1" x14ac:dyDescent="0.25">
      <c r="A2410" s="230" t="s">
        <v>1422</v>
      </c>
      <c r="B2410" s="343" t="str">
        <f>"55.1303"</f>
        <v>55.1303</v>
      </c>
      <c r="C2410" s="75" t="s">
        <v>1479</v>
      </c>
      <c r="D2410" s="127" t="s">
        <v>1480</v>
      </c>
      <c r="E2410" s="232"/>
    </row>
    <row r="2411" spans="1:5" ht="14.55" customHeight="1" outlineLevel="1" x14ac:dyDescent="0.25">
      <c r="A2411" s="230" t="s">
        <v>1422</v>
      </c>
      <c r="B2411" s="343" t="str">
        <f>"55.1304"</f>
        <v>55.1304</v>
      </c>
      <c r="C2411" s="75" t="s">
        <v>1479</v>
      </c>
      <c r="D2411" s="127" t="s">
        <v>1480</v>
      </c>
      <c r="E2411" s="232"/>
    </row>
    <row r="2412" spans="1:5" ht="14.55" customHeight="1" outlineLevel="1" x14ac:dyDescent="0.25">
      <c r="A2412" s="230" t="s">
        <v>1422</v>
      </c>
      <c r="B2412" s="343" t="str">
        <f>"55.1399"</f>
        <v>55.1399</v>
      </c>
      <c r="C2412" s="75" t="s">
        <v>1479</v>
      </c>
      <c r="D2412" s="127" t="s">
        <v>1480</v>
      </c>
      <c r="E2412" s="232"/>
    </row>
    <row r="2413" spans="1:5" ht="14.55" customHeight="1" outlineLevel="1" x14ac:dyDescent="0.25">
      <c r="A2413" s="230" t="s">
        <v>1422</v>
      </c>
      <c r="B2413" s="343" t="str">
        <f>"55.14"</f>
        <v>55.14</v>
      </c>
      <c r="C2413" s="75" t="s">
        <v>1479</v>
      </c>
      <c r="D2413" s="127" t="s">
        <v>5783</v>
      </c>
      <c r="E2413" s="232"/>
    </row>
    <row r="2414" spans="1:5" ht="14.55" customHeight="1" outlineLevel="1" x14ac:dyDescent="0.25">
      <c r="A2414" s="230" t="s">
        <v>1422</v>
      </c>
      <c r="B2414" s="343" t="str">
        <f>"55.1401"</f>
        <v>55.1401</v>
      </c>
      <c r="C2414" s="75" t="s">
        <v>1479</v>
      </c>
      <c r="D2414" s="127" t="s">
        <v>1480</v>
      </c>
      <c r="E2414" s="232"/>
    </row>
    <row r="2415" spans="1:5" ht="14.55" customHeight="1" outlineLevel="1" x14ac:dyDescent="0.25">
      <c r="A2415" s="230" t="s">
        <v>1422</v>
      </c>
      <c r="B2415" s="343" t="str">
        <f>"55.1403"</f>
        <v>55.1403</v>
      </c>
      <c r="C2415" s="75" t="s">
        <v>1479</v>
      </c>
      <c r="D2415" s="127" t="s">
        <v>1480</v>
      </c>
      <c r="E2415" s="232"/>
    </row>
    <row r="2416" spans="1:5" ht="14.55" customHeight="1" outlineLevel="1" x14ac:dyDescent="0.25">
      <c r="A2416" s="230" t="s">
        <v>1422</v>
      </c>
      <c r="B2416" s="343" t="str">
        <f>"55.1404"</f>
        <v>55.1404</v>
      </c>
      <c r="C2416" s="75" t="s">
        <v>1479</v>
      </c>
      <c r="D2416" s="127" t="s">
        <v>1480</v>
      </c>
      <c r="E2416" s="232"/>
    </row>
    <row r="2417" spans="1:5" ht="14.55" customHeight="1" outlineLevel="1" x14ac:dyDescent="0.25">
      <c r="A2417" s="230" t="s">
        <v>1422</v>
      </c>
      <c r="B2417" s="343" t="str">
        <f>"55.1405"</f>
        <v>55.1405</v>
      </c>
      <c r="C2417" s="75" t="s">
        <v>1479</v>
      </c>
      <c r="D2417" s="127" t="s">
        <v>1480</v>
      </c>
      <c r="E2417" s="232"/>
    </row>
    <row r="2418" spans="1:5" ht="14.55" customHeight="1" outlineLevel="1" x14ac:dyDescent="0.25">
      <c r="A2418" s="230" t="s">
        <v>1422</v>
      </c>
      <c r="B2418" s="343" t="str">
        <f>"55.1499"</f>
        <v>55.1499</v>
      </c>
      <c r="C2418" s="75" t="s">
        <v>1479</v>
      </c>
      <c r="D2418" s="127" t="s">
        <v>1480</v>
      </c>
      <c r="E2418" s="232"/>
    </row>
    <row r="2419" spans="1:5" ht="14.55" customHeight="1" outlineLevel="1" x14ac:dyDescent="0.25">
      <c r="A2419" s="230" t="s">
        <v>1422</v>
      </c>
      <c r="B2419" s="343" t="str">
        <f>"55.99"</f>
        <v>55.99</v>
      </c>
      <c r="C2419" s="75" t="s">
        <v>1479</v>
      </c>
      <c r="D2419" s="127" t="s">
        <v>5784</v>
      </c>
      <c r="E2419" s="232"/>
    </row>
    <row r="2420" spans="1:5" ht="14.55" customHeight="1" outlineLevel="1" x14ac:dyDescent="0.25">
      <c r="A2420" s="230" t="s">
        <v>1422</v>
      </c>
      <c r="B2420" s="343" t="str">
        <f>"55.9999"</f>
        <v>55.9999</v>
      </c>
      <c r="C2420" s="75" t="s">
        <v>1479</v>
      </c>
      <c r="D2420" s="127" t="s">
        <v>1480</v>
      </c>
      <c r="E2420" s="232"/>
    </row>
    <row r="2421" spans="1:5" ht="14.55" customHeight="1" outlineLevel="1" x14ac:dyDescent="0.25">
      <c r="A2421" s="230" t="s">
        <v>1422</v>
      </c>
      <c r="B2421" s="343" t="str">
        <f>"60"</f>
        <v>60</v>
      </c>
      <c r="C2421" s="75" t="s">
        <v>5785</v>
      </c>
      <c r="D2421" s="127" t="s">
        <v>5786</v>
      </c>
      <c r="E2421" s="232"/>
    </row>
    <row r="2422" spans="1:5" ht="14.55" customHeight="1" outlineLevel="1" x14ac:dyDescent="0.25">
      <c r="A2422" s="230" t="s">
        <v>1422</v>
      </c>
      <c r="B2422" s="343" t="str">
        <f>"60.01"</f>
        <v>60.01</v>
      </c>
      <c r="C2422" s="75" t="s">
        <v>5787</v>
      </c>
      <c r="D2422" s="127" t="s">
        <v>5788</v>
      </c>
      <c r="E2422" s="232"/>
    </row>
    <row r="2423" spans="1:5" ht="14.55" customHeight="1" outlineLevel="1" x14ac:dyDescent="0.25">
      <c r="A2423" s="230" t="s">
        <v>1422</v>
      </c>
      <c r="B2423" s="343" t="str">
        <f>"60.0101"</f>
        <v>60.0101</v>
      </c>
      <c r="C2423" s="75" t="s">
        <v>5789</v>
      </c>
      <c r="D2423" s="127" t="s">
        <v>5790</v>
      </c>
      <c r="E2423" s="232"/>
    </row>
    <row r="2424" spans="1:5" ht="14.55" customHeight="1" outlineLevel="1" x14ac:dyDescent="0.25">
      <c r="A2424" s="230" t="s">
        <v>1422</v>
      </c>
      <c r="B2424" s="343" t="str">
        <f>"60.0102"</f>
        <v>60.0102</v>
      </c>
      <c r="C2424" s="75" t="s">
        <v>5791</v>
      </c>
      <c r="D2424" s="127" t="s">
        <v>5792</v>
      </c>
      <c r="E2424" s="232"/>
    </row>
    <row r="2425" spans="1:5" ht="14.55" customHeight="1" outlineLevel="1" x14ac:dyDescent="0.25">
      <c r="A2425" s="230" t="s">
        <v>1422</v>
      </c>
      <c r="B2425" s="343" t="str">
        <f>"60.0103"</f>
        <v>60.0103</v>
      </c>
      <c r="C2425" s="75" t="s">
        <v>5793</v>
      </c>
      <c r="D2425" s="127" t="s">
        <v>5794</v>
      </c>
      <c r="E2425" s="232"/>
    </row>
    <row r="2426" spans="1:5" ht="14.55" customHeight="1" outlineLevel="1" x14ac:dyDescent="0.25">
      <c r="A2426" s="230" t="s">
        <v>1422</v>
      </c>
      <c r="B2426" s="343" t="str">
        <f>"60.0104"</f>
        <v>60.0104</v>
      </c>
      <c r="C2426" s="75" t="s">
        <v>5795</v>
      </c>
      <c r="D2426" s="127" t="s">
        <v>5796</v>
      </c>
      <c r="E2426" s="232"/>
    </row>
    <row r="2427" spans="1:5" ht="14.55" customHeight="1" outlineLevel="1" x14ac:dyDescent="0.25">
      <c r="A2427" s="230" t="s">
        <v>1422</v>
      </c>
      <c r="B2427" s="343" t="str">
        <f>"60.0105"</f>
        <v>60.0105</v>
      </c>
      <c r="C2427" s="75" t="s">
        <v>5797</v>
      </c>
      <c r="D2427" s="127" t="s">
        <v>5798</v>
      </c>
      <c r="E2427" s="232"/>
    </row>
    <row r="2428" spans="1:5" ht="14.55" customHeight="1" outlineLevel="1" x14ac:dyDescent="0.25">
      <c r="A2428" s="230" t="s">
        <v>1422</v>
      </c>
      <c r="B2428" s="343" t="str">
        <f>"60.0106"</f>
        <v>60.0106</v>
      </c>
      <c r="C2428" s="75" t="s">
        <v>5799</v>
      </c>
      <c r="D2428" s="127" t="s">
        <v>5800</v>
      </c>
      <c r="E2428" s="232"/>
    </row>
    <row r="2429" spans="1:5" ht="14.55" customHeight="1" outlineLevel="1" x14ac:dyDescent="0.25">
      <c r="A2429" s="230" t="s">
        <v>1422</v>
      </c>
      <c r="B2429" s="343" t="str">
        <f>"60.0107"</f>
        <v>60.0107</v>
      </c>
      <c r="C2429" s="75" t="s">
        <v>5801</v>
      </c>
      <c r="D2429" s="127" t="s">
        <v>5802</v>
      </c>
      <c r="E2429" s="232"/>
    </row>
    <row r="2430" spans="1:5" ht="14.55" customHeight="1" outlineLevel="1" x14ac:dyDescent="0.25">
      <c r="A2430" s="230" t="s">
        <v>1422</v>
      </c>
      <c r="B2430" s="343" t="str">
        <f>"60.0108"</f>
        <v>60.0108</v>
      </c>
      <c r="C2430" s="75" t="s">
        <v>5803</v>
      </c>
      <c r="D2430" s="127" t="s">
        <v>5804</v>
      </c>
      <c r="E2430" s="232"/>
    </row>
    <row r="2431" spans="1:5" ht="14.55" customHeight="1" outlineLevel="1" x14ac:dyDescent="0.25">
      <c r="A2431" s="230" t="s">
        <v>1422</v>
      </c>
      <c r="B2431" s="343" t="str">
        <f>"60.0109"</f>
        <v>60.0109</v>
      </c>
      <c r="C2431" s="75" t="s">
        <v>5805</v>
      </c>
      <c r="D2431" s="127" t="s">
        <v>5806</v>
      </c>
      <c r="E2431" s="232"/>
    </row>
    <row r="2432" spans="1:5" ht="14.55" customHeight="1" outlineLevel="1" x14ac:dyDescent="0.25">
      <c r="A2432" s="230" t="s">
        <v>1422</v>
      </c>
      <c r="B2432" s="343" t="str">
        <f>"60.0110"</f>
        <v>60.0110</v>
      </c>
      <c r="C2432" s="75" t="s">
        <v>5807</v>
      </c>
      <c r="D2432" s="127" t="s">
        <v>5808</v>
      </c>
      <c r="E2432" s="232"/>
    </row>
    <row r="2433" spans="1:5" ht="14.55" customHeight="1" outlineLevel="1" x14ac:dyDescent="0.25">
      <c r="A2433" s="230" t="s">
        <v>1422</v>
      </c>
      <c r="B2433" s="343" t="str">
        <f>"60.0199"</f>
        <v>60.0199</v>
      </c>
      <c r="C2433" s="75" t="s">
        <v>5809</v>
      </c>
      <c r="D2433" s="127" t="s">
        <v>5810</v>
      </c>
      <c r="E2433" s="232"/>
    </row>
    <row r="2434" spans="1:5" ht="14.55" customHeight="1" outlineLevel="1" x14ac:dyDescent="0.25">
      <c r="A2434" s="230" t="s">
        <v>1422</v>
      </c>
      <c r="B2434" s="343" t="str">
        <f>"60.03"</f>
        <v>60.03</v>
      </c>
      <c r="C2434" s="75" t="s">
        <v>5811</v>
      </c>
      <c r="D2434" s="127" t="s">
        <v>5812</v>
      </c>
      <c r="E2434" s="232"/>
    </row>
    <row r="2435" spans="1:5" ht="14.55" customHeight="1" outlineLevel="1" x14ac:dyDescent="0.25">
      <c r="A2435" s="230" t="s">
        <v>1422</v>
      </c>
      <c r="B2435" s="343" t="str">
        <f>"60.0301"</f>
        <v>60.0301</v>
      </c>
      <c r="C2435" s="75" t="s">
        <v>5813</v>
      </c>
      <c r="D2435" s="127" t="s">
        <v>5814</v>
      </c>
      <c r="E2435" s="232"/>
    </row>
    <row r="2436" spans="1:5" ht="14.55" customHeight="1" outlineLevel="1" x14ac:dyDescent="0.25">
      <c r="A2436" s="230" t="s">
        <v>1422</v>
      </c>
      <c r="B2436" s="343" t="str">
        <f>"60.0302"</f>
        <v>60.0302</v>
      </c>
      <c r="C2436" s="75" t="s">
        <v>5815</v>
      </c>
      <c r="D2436" s="127" t="s">
        <v>5816</v>
      </c>
      <c r="E2436" s="232"/>
    </row>
    <row r="2437" spans="1:5" ht="14.55" customHeight="1" outlineLevel="1" x14ac:dyDescent="0.25">
      <c r="A2437" s="230" t="s">
        <v>1422</v>
      </c>
      <c r="B2437" s="343" t="str">
        <f>"60.0303"</f>
        <v>60.0303</v>
      </c>
      <c r="C2437" s="75" t="s">
        <v>5817</v>
      </c>
      <c r="D2437" s="127" t="s">
        <v>5818</v>
      </c>
      <c r="E2437" s="232"/>
    </row>
    <row r="2438" spans="1:5" ht="14.55" customHeight="1" outlineLevel="1" x14ac:dyDescent="0.25">
      <c r="A2438" s="230" t="s">
        <v>1422</v>
      </c>
      <c r="B2438" s="343" t="str">
        <f>"60.0304"</f>
        <v>60.0304</v>
      </c>
      <c r="C2438" s="75" t="s">
        <v>5819</v>
      </c>
      <c r="D2438" s="127" t="s">
        <v>5820</v>
      </c>
      <c r="E2438" s="232"/>
    </row>
    <row r="2439" spans="1:5" ht="14.55" customHeight="1" outlineLevel="1" x14ac:dyDescent="0.25">
      <c r="A2439" s="230" t="s">
        <v>1422</v>
      </c>
      <c r="B2439" s="343" t="str">
        <f>"60.0305"</f>
        <v>60.0305</v>
      </c>
      <c r="C2439" s="75" t="s">
        <v>5821</v>
      </c>
      <c r="D2439" s="127" t="s">
        <v>5822</v>
      </c>
      <c r="E2439" s="232"/>
    </row>
    <row r="2440" spans="1:5" ht="14.55" customHeight="1" outlineLevel="1" x14ac:dyDescent="0.25">
      <c r="A2440" s="230" t="s">
        <v>1422</v>
      </c>
      <c r="B2440" s="343" t="str">
        <f>"60.0306"</f>
        <v>60.0306</v>
      </c>
      <c r="C2440" s="75" t="s">
        <v>5823</v>
      </c>
      <c r="D2440" s="127" t="s">
        <v>5824</v>
      </c>
      <c r="E2440" s="232"/>
    </row>
    <row r="2441" spans="1:5" ht="14.55" customHeight="1" outlineLevel="1" x14ac:dyDescent="0.25">
      <c r="A2441" s="230" t="s">
        <v>1422</v>
      </c>
      <c r="B2441" s="343" t="str">
        <f>"60.0307"</f>
        <v>60.0307</v>
      </c>
      <c r="C2441" s="75" t="s">
        <v>5825</v>
      </c>
      <c r="D2441" s="127" t="s">
        <v>5826</v>
      </c>
      <c r="E2441" s="232"/>
    </row>
    <row r="2442" spans="1:5" ht="14.55" customHeight="1" outlineLevel="1" x14ac:dyDescent="0.25">
      <c r="A2442" s="230" t="s">
        <v>1422</v>
      </c>
      <c r="B2442" s="343" t="str">
        <f>"60.0308"</f>
        <v>60.0308</v>
      </c>
      <c r="C2442" s="75" t="s">
        <v>5827</v>
      </c>
      <c r="D2442" s="127" t="s">
        <v>5828</v>
      </c>
      <c r="E2442" s="232"/>
    </row>
    <row r="2443" spans="1:5" ht="14.55" customHeight="1" outlineLevel="1" x14ac:dyDescent="0.25">
      <c r="A2443" s="230" t="s">
        <v>1422</v>
      </c>
      <c r="B2443" s="343" t="str">
        <f>"60.0309"</f>
        <v>60.0309</v>
      </c>
      <c r="C2443" s="75" t="s">
        <v>5829</v>
      </c>
      <c r="D2443" s="127" t="s">
        <v>5830</v>
      </c>
      <c r="E2443" s="232"/>
    </row>
    <row r="2444" spans="1:5" ht="14.55" customHeight="1" outlineLevel="1" x14ac:dyDescent="0.25">
      <c r="A2444" s="230" t="s">
        <v>1422</v>
      </c>
      <c r="B2444" s="343" t="str">
        <f>"60.0310"</f>
        <v>60.0310</v>
      </c>
      <c r="C2444" s="75" t="s">
        <v>5831</v>
      </c>
      <c r="D2444" s="127" t="s">
        <v>5832</v>
      </c>
      <c r="E2444" s="232"/>
    </row>
    <row r="2445" spans="1:5" ht="14.55" customHeight="1" outlineLevel="1" x14ac:dyDescent="0.25">
      <c r="A2445" s="230" t="s">
        <v>1422</v>
      </c>
      <c r="B2445" s="343" t="str">
        <f>"60.0311"</f>
        <v>60.0311</v>
      </c>
      <c r="C2445" s="75" t="s">
        <v>5833</v>
      </c>
      <c r="D2445" s="127" t="s">
        <v>5834</v>
      </c>
      <c r="E2445" s="232"/>
    </row>
    <row r="2446" spans="1:5" ht="14.55" customHeight="1" outlineLevel="1" x14ac:dyDescent="0.25">
      <c r="A2446" s="230" t="s">
        <v>1422</v>
      </c>
      <c r="B2446" s="343" t="str">
        <f>"60.0312"</f>
        <v>60.0312</v>
      </c>
      <c r="C2446" s="75" t="s">
        <v>5835</v>
      </c>
      <c r="D2446" s="127" t="s">
        <v>5836</v>
      </c>
      <c r="E2446" s="232"/>
    </row>
    <row r="2447" spans="1:5" ht="14.55" customHeight="1" outlineLevel="1" x14ac:dyDescent="0.25">
      <c r="A2447" s="230" t="s">
        <v>1422</v>
      </c>
      <c r="B2447" s="343" t="str">
        <f>"60.0313"</f>
        <v>60.0313</v>
      </c>
      <c r="C2447" s="75" t="s">
        <v>5837</v>
      </c>
      <c r="D2447" s="127" t="s">
        <v>5838</v>
      </c>
      <c r="E2447" s="232"/>
    </row>
    <row r="2448" spans="1:5" ht="14.55" customHeight="1" outlineLevel="1" x14ac:dyDescent="0.25">
      <c r="A2448" s="230" t="s">
        <v>1422</v>
      </c>
      <c r="B2448" s="343" t="str">
        <f>"60.0314"</f>
        <v>60.0314</v>
      </c>
      <c r="C2448" s="75" t="s">
        <v>5839</v>
      </c>
      <c r="D2448" s="127" t="s">
        <v>5840</v>
      </c>
      <c r="E2448" s="232"/>
    </row>
    <row r="2449" spans="1:5" ht="14.55" customHeight="1" outlineLevel="1" x14ac:dyDescent="0.25">
      <c r="A2449" s="230" t="s">
        <v>1422</v>
      </c>
      <c r="B2449" s="343" t="str">
        <f>"60.0315"</f>
        <v>60.0315</v>
      </c>
      <c r="C2449" s="75" t="s">
        <v>5841</v>
      </c>
      <c r="D2449" s="127" t="s">
        <v>5842</v>
      </c>
      <c r="E2449" s="232"/>
    </row>
    <row r="2450" spans="1:5" ht="14.55" customHeight="1" outlineLevel="1" x14ac:dyDescent="0.25">
      <c r="A2450" s="230" t="s">
        <v>1422</v>
      </c>
      <c r="B2450" s="343" t="str">
        <f>"60.0316"</f>
        <v>60.0316</v>
      </c>
      <c r="C2450" s="75" t="s">
        <v>5843</v>
      </c>
      <c r="D2450" s="127" t="s">
        <v>5844</v>
      </c>
      <c r="E2450" s="232"/>
    </row>
    <row r="2451" spans="1:5" ht="14.55" customHeight="1" outlineLevel="1" x14ac:dyDescent="0.25">
      <c r="A2451" s="230" t="s">
        <v>1422</v>
      </c>
      <c r="B2451" s="343" t="str">
        <f>"60.0317"</f>
        <v>60.0317</v>
      </c>
      <c r="C2451" s="75" t="s">
        <v>5845</v>
      </c>
      <c r="D2451" s="127" t="s">
        <v>5846</v>
      </c>
      <c r="E2451" s="232"/>
    </row>
    <row r="2452" spans="1:5" ht="14.55" customHeight="1" outlineLevel="1" x14ac:dyDescent="0.25">
      <c r="A2452" s="230" t="s">
        <v>1422</v>
      </c>
      <c r="B2452" s="343" t="str">
        <f>"60.0318"</f>
        <v>60.0318</v>
      </c>
      <c r="C2452" s="75" t="s">
        <v>5847</v>
      </c>
      <c r="D2452" s="127" t="s">
        <v>5848</v>
      </c>
      <c r="E2452" s="232"/>
    </row>
    <row r="2453" spans="1:5" ht="14.55" customHeight="1" outlineLevel="1" x14ac:dyDescent="0.25">
      <c r="A2453" s="230" t="s">
        <v>1422</v>
      </c>
      <c r="B2453" s="343" t="str">
        <f>"60.0319"</f>
        <v>60.0319</v>
      </c>
      <c r="C2453" s="75" t="s">
        <v>5849</v>
      </c>
      <c r="D2453" s="127" t="s">
        <v>5850</v>
      </c>
      <c r="E2453" s="232"/>
    </row>
    <row r="2454" spans="1:5" ht="14.55" customHeight="1" outlineLevel="1" x14ac:dyDescent="0.25">
      <c r="A2454" s="230" t="s">
        <v>1422</v>
      </c>
      <c r="B2454" s="343" t="str">
        <f>"60.0320"</f>
        <v>60.0320</v>
      </c>
      <c r="C2454" s="75" t="s">
        <v>5851</v>
      </c>
      <c r="D2454" s="127" t="s">
        <v>5852</v>
      </c>
      <c r="E2454" s="232"/>
    </row>
    <row r="2455" spans="1:5" ht="14.55" customHeight="1" outlineLevel="1" x14ac:dyDescent="0.25">
      <c r="A2455" s="230" t="s">
        <v>1422</v>
      </c>
      <c r="B2455" s="343" t="str">
        <f>"60.0399"</f>
        <v>60.0399</v>
      </c>
      <c r="C2455" s="75" t="s">
        <v>5853</v>
      </c>
      <c r="D2455" s="127" t="s">
        <v>5854</v>
      </c>
      <c r="E2455" s="232"/>
    </row>
    <row r="2456" spans="1:5" ht="14.55" customHeight="1" outlineLevel="1" x14ac:dyDescent="0.25">
      <c r="A2456" s="230" t="s">
        <v>1422</v>
      </c>
      <c r="B2456" s="343" t="str">
        <f>"60.07"</f>
        <v>60.07</v>
      </c>
      <c r="C2456" s="75" t="s">
        <v>5855</v>
      </c>
      <c r="D2456" s="127" t="s">
        <v>5856</v>
      </c>
      <c r="E2456" s="232"/>
    </row>
    <row r="2457" spans="1:5" ht="14.55" customHeight="1" outlineLevel="1" x14ac:dyDescent="0.25">
      <c r="A2457" s="230" t="s">
        <v>1422</v>
      </c>
      <c r="B2457" s="343" t="str">
        <f>"60.0701"</f>
        <v>60.0701</v>
      </c>
      <c r="C2457" s="75" t="s">
        <v>5857</v>
      </c>
      <c r="D2457" s="127" t="s">
        <v>5858</v>
      </c>
      <c r="E2457" s="232"/>
    </row>
    <row r="2458" spans="1:5" ht="14.55" customHeight="1" outlineLevel="1" x14ac:dyDescent="0.25">
      <c r="A2458" s="230" t="s">
        <v>1422</v>
      </c>
      <c r="B2458" s="343" t="str">
        <f>"60.0702"</f>
        <v>60.0702</v>
      </c>
      <c r="C2458" s="75" t="s">
        <v>5859</v>
      </c>
      <c r="D2458" s="127" t="s">
        <v>5860</v>
      </c>
      <c r="E2458" s="232"/>
    </row>
    <row r="2459" spans="1:5" ht="14.55" customHeight="1" outlineLevel="1" x14ac:dyDescent="0.25">
      <c r="A2459" s="230" t="s">
        <v>1422</v>
      </c>
      <c r="B2459" s="343" t="str">
        <f>"60.0703"</f>
        <v>60.0703</v>
      </c>
      <c r="C2459" s="75" t="s">
        <v>5861</v>
      </c>
      <c r="D2459" s="127" t="s">
        <v>5862</v>
      </c>
      <c r="E2459" s="232"/>
    </row>
    <row r="2460" spans="1:5" ht="14.55" customHeight="1" outlineLevel="1" x14ac:dyDescent="0.25">
      <c r="A2460" s="230" t="s">
        <v>1422</v>
      </c>
      <c r="B2460" s="343" t="str">
        <f>"60.0704"</f>
        <v>60.0704</v>
      </c>
      <c r="C2460" s="75" t="s">
        <v>5863</v>
      </c>
      <c r="D2460" s="127" t="s">
        <v>5864</v>
      </c>
      <c r="E2460" s="232"/>
    </row>
    <row r="2461" spans="1:5" ht="14.55" customHeight="1" outlineLevel="1" x14ac:dyDescent="0.25">
      <c r="A2461" s="230" t="s">
        <v>1422</v>
      </c>
      <c r="B2461" s="343" t="str">
        <f>"60.0705"</f>
        <v>60.0705</v>
      </c>
      <c r="C2461" s="75" t="s">
        <v>5865</v>
      </c>
      <c r="D2461" s="127" t="s">
        <v>5866</v>
      </c>
      <c r="E2461" s="232"/>
    </row>
    <row r="2462" spans="1:5" ht="14.55" customHeight="1" outlineLevel="1" x14ac:dyDescent="0.25">
      <c r="A2462" s="230" t="s">
        <v>1422</v>
      </c>
      <c r="B2462" s="343" t="str">
        <f>"60.0706"</f>
        <v>60.0706</v>
      </c>
      <c r="C2462" s="75" t="s">
        <v>5867</v>
      </c>
      <c r="D2462" s="127" t="s">
        <v>5868</v>
      </c>
      <c r="E2462" s="232"/>
    </row>
    <row r="2463" spans="1:5" ht="14.55" customHeight="1" outlineLevel="1" x14ac:dyDescent="0.25">
      <c r="A2463" s="230" t="s">
        <v>1422</v>
      </c>
      <c r="B2463" s="343" t="str">
        <f>"60.0707"</f>
        <v>60.0707</v>
      </c>
      <c r="C2463" s="75" t="s">
        <v>5869</v>
      </c>
      <c r="D2463" s="127" t="s">
        <v>5870</v>
      </c>
      <c r="E2463" s="232"/>
    </row>
    <row r="2464" spans="1:5" ht="14.55" customHeight="1" outlineLevel="1" x14ac:dyDescent="0.25">
      <c r="A2464" s="230" t="s">
        <v>1422</v>
      </c>
      <c r="B2464" s="343" t="str">
        <f>"60.0708"</f>
        <v>60.0708</v>
      </c>
      <c r="C2464" s="75" t="s">
        <v>5871</v>
      </c>
      <c r="D2464" s="127" t="s">
        <v>5872</v>
      </c>
      <c r="E2464" s="232"/>
    </row>
    <row r="2465" spans="1:5" ht="14.55" customHeight="1" outlineLevel="1" x14ac:dyDescent="0.25">
      <c r="A2465" s="230" t="s">
        <v>1422</v>
      </c>
      <c r="B2465" s="343" t="str">
        <f>"60.0709"</f>
        <v>60.0709</v>
      </c>
      <c r="C2465" s="75" t="s">
        <v>5873</v>
      </c>
      <c r="D2465" s="127" t="s">
        <v>5874</v>
      </c>
      <c r="E2465" s="232"/>
    </row>
    <row r="2466" spans="1:5" ht="14.55" customHeight="1" outlineLevel="1" x14ac:dyDescent="0.25">
      <c r="A2466" s="230" t="s">
        <v>1422</v>
      </c>
      <c r="B2466" s="343" t="str">
        <f>"60.0710"</f>
        <v>60.0710</v>
      </c>
      <c r="C2466" s="75" t="s">
        <v>5875</v>
      </c>
      <c r="D2466" s="127" t="s">
        <v>5876</v>
      </c>
      <c r="E2466" s="232"/>
    </row>
    <row r="2467" spans="1:5" ht="14.55" customHeight="1" outlineLevel="1" x14ac:dyDescent="0.25">
      <c r="A2467" s="230" t="s">
        <v>1422</v>
      </c>
      <c r="B2467" s="343" t="str">
        <f>"60.0711"</f>
        <v>60.0711</v>
      </c>
      <c r="C2467" s="75" t="s">
        <v>5877</v>
      </c>
      <c r="D2467" s="127" t="s">
        <v>5878</v>
      </c>
      <c r="E2467" s="232"/>
    </row>
    <row r="2468" spans="1:5" ht="14.55" customHeight="1" outlineLevel="1" x14ac:dyDescent="0.25">
      <c r="A2468" s="230" t="s">
        <v>1422</v>
      </c>
      <c r="B2468" s="343" t="str">
        <f>"60.0712"</f>
        <v>60.0712</v>
      </c>
      <c r="C2468" s="75" t="s">
        <v>5879</v>
      </c>
      <c r="D2468" s="127" t="s">
        <v>5880</v>
      </c>
      <c r="E2468" s="232"/>
    </row>
    <row r="2469" spans="1:5" ht="14.55" customHeight="1" outlineLevel="1" x14ac:dyDescent="0.25">
      <c r="A2469" s="230" t="s">
        <v>1422</v>
      </c>
      <c r="B2469" s="343" t="str">
        <f>"60.0713"</f>
        <v>60.0713</v>
      </c>
      <c r="C2469" s="75" t="s">
        <v>5881</v>
      </c>
      <c r="D2469" s="127" t="s">
        <v>5882</v>
      </c>
      <c r="E2469" s="232"/>
    </row>
    <row r="2470" spans="1:5" ht="14.55" customHeight="1" outlineLevel="1" x14ac:dyDescent="0.25">
      <c r="A2470" s="230" t="s">
        <v>1422</v>
      </c>
      <c r="B2470" s="343" t="str">
        <f>"60.0714"</f>
        <v>60.0714</v>
      </c>
      <c r="C2470" s="75" t="s">
        <v>5883</v>
      </c>
      <c r="D2470" s="127" t="s">
        <v>5884</v>
      </c>
      <c r="E2470" s="232"/>
    </row>
    <row r="2471" spans="1:5" ht="14.55" customHeight="1" outlineLevel="1" x14ac:dyDescent="0.25">
      <c r="A2471" s="230" t="s">
        <v>1422</v>
      </c>
      <c r="B2471" s="343" t="str">
        <f>"60.0715"</f>
        <v>60.0715</v>
      </c>
      <c r="C2471" s="75" t="s">
        <v>5885</v>
      </c>
      <c r="D2471" s="127" t="s">
        <v>5886</v>
      </c>
      <c r="E2471" s="232"/>
    </row>
    <row r="2472" spans="1:5" ht="14.55" customHeight="1" outlineLevel="1" x14ac:dyDescent="0.25">
      <c r="A2472" s="230" t="s">
        <v>1422</v>
      </c>
      <c r="B2472" s="343" t="str">
        <f>"60.0716"</f>
        <v>60.0716</v>
      </c>
      <c r="C2472" s="75" t="s">
        <v>5887</v>
      </c>
      <c r="D2472" s="127" t="s">
        <v>5888</v>
      </c>
      <c r="E2472" s="232"/>
    </row>
    <row r="2473" spans="1:5" ht="14.55" customHeight="1" outlineLevel="1" x14ac:dyDescent="0.25">
      <c r="A2473" s="230" t="s">
        <v>1422</v>
      </c>
      <c r="B2473" s="343" t="str">
        <f>"60.0717"</f>
        <v>60.0717</v>
      </c>
      <c r="C2473" s="75" t="s">
        <v>5889</v>
      </c>
      <c r="D2473" s="127" t="s">
        <v>5890</v>
      </c>
      <c r="E2473" s="232"/>
    </row>
    <row r="2474" spans="1:5" ht="14.55" customHeight="1" outlineLevel="1" x14ac:dyDescent="0.25">
      <c r="A2474" s="230" t="s">
        <v>1422</v>
      </c>
      <c r="B2474" s="343" t="str">
        <f>"60.0718"</f>
        <v>60.0718</v>
      </c>
      <c r="C2474" s="75" t="s">
        <v>5891</v>
      </c>
      <c r="D2474" s="127" t="s">
        <v>5892</v>
      </c>
      <c r="E2474" s="232"/>
    </row>
    <row r="2475" spans="1:5" ht="14.55" customHeight="1" outlineLevel="1" x14ac:dyDescent="0.25">
      <c r="A2475" s="230" t="s">
        <v>1422</v>
      </c>
      <c r="B2475" s="343" t="str">
        <f>"60.0719"</f>
        <v>60.0719</v>
      </c>
      <c r="C2475" s="75" t="s">
        <v>5893</v>
      </c>
      <c r="D2475" s="127" t="s">
        <v>5894</v>
      </c>
      <c r="E2475" s="232"/>
    </row>
    <row r="2476" spans="1:5" ht="14.55" customHeight="1" outlineLevel="1" x14ac:dyDescent="0.25">
      <c r="A2476" s="230" t="s">
        <v>1422</v>
      </c>
      <c r="B2476" s="343" t="str">
        <f>"60.0720"</f>
        <v>60.0720</v>
      </c>
      <c r="C2476" s="75" t="s">
        <v>5895</v>
      </c>
      <c r="D2476" s="127" t="s">
        <v>5896</v>
      </c>
      <c r="E2476" s="232"/>
    </row>
    <row r="2477" spans="1:5" ht="14.55" customHeight="1" outlineLevel="1" x14ac:dyDescent="0.25">
      <c r="A2477" s="230" t="s">
        <v>1422</v>
      </c>
      <c r="B2477" s="343" t="str">
        <f>"60.0721"</f>
        <v>60.0721</v>
      </c>
      <c r="C2477" s="75" t="s">
        <v>5897</v>
      </c>
      <c r="D2477" s="127" t="s">
        <v>5898</v>
      </c>
      <c r="E2477" s="232"/>
    </row>
    <row r="2478" spans="1:5" ht="14.55" customHeight="1" outlineLevel="1" x14ac:dyDescent="0.25">
      <c r="A2478" s="230" t="s">
        <v>1422</v>
      </c>
      <c r="B2478" s="343" t="str">
        <f>"60.0722"</f>
        <v>60.0722</v>
      </c>
      <c r="C2478" s="75" t="s">
        <v>5899</v>
      </c>
      <c r="D2478" s="127" t="s">
        <v>5900</v>
      </c>
      <c r="E2478" s="232"/>
    </row>
    <row r="2479" spans="1:5" ht="14.55" customHeight="1" outlineLevel="1" x14ac:dyDescent="0.25">
      <c r="A2479" s="230" t="s">
        <v>1422</v>
      </c>
      <c r="B2479" s="343" t="str">
        <f>"60.0723"</f>
        <v>60.0723</v>
      </c>
      <c r="C2479" s="75" t="s">
        <v>5901</v>
      </c>
      <c r="D2479" s="127" t="s">
        <v>5902</v>
      </c>
      <c r="E2479" s="232"/>
    </row>
    <row r="2480" spans="1:5" ht="14.55" customHeight="1" outlineLevel="1" x14ac:dyDescent="0.25">
      <c r="A2480" s="230" t="s">
        <v>1422</v>
      </c>
      <c r="B2480" s="343" t="str">
        <f>"60.0724"</f>
        <v>60.0724</v>
      </c>
      <c r="C2480" s="75" t="s">
        <v>5903</v>
      </c>
      <c r="D2480" s="127" t="s">
        <v>5904</v>
      </c>
      <c r="E2480" s="232"/>
    </row>
    <row r="2481" spans="1:5" ht="14.55" customHeight="1" outlineLevel="1" x14ac:dyDescent="0.25">
      <c r="A2481" s="230" t="s">
        <v>1422</v>
      </c>
      <c r="B2481" s="343" t="str">
        <f>"60.0725"</f>
        <v>60.0725</v>
      </c>
      <c r="C2481" s="75" t="s">
        <v>5905</v>
      </c>
      <c r="D2481" s="127" t="s">
        <v>5906</v>
      </c>
      <c r="E2481" s="232"/>
    </row>
    <row r="2482" spans="1:5" ht="14.55" customHeight="1" outlineLevel="1" x14ac:dyDescent="0.25">
      <c r="A2482" s="230" t="s">
        <v>1422</v>
      </c>
      <c r="B2482" s="343" t="str">
        <f>"60.0726"</f>
        <v>60.0726</v>
      </c>
      <c r="C2482" s="75" t="s">
        <v>5907</v>
      </c>
      <c r="D2482" s="127" t="s">
        <v>5908</v>
      </c>
      <c r="E2482" s="232"/>
    </row>
    <row r="2483" spans="1:5" ht="14.55" customHeight="1" outlineLevel="1" x14ac:dyDescent="0.25">
      <c r="A2483" s="230" t="s">
        <v>1422</v>
      </c>
      <c r="B2483" s="343" t="str">
        <f>"60.0727"</f>
        <v>60.0727</v>
      </c>
      <c r="C2483" s="75" t="s">
        <v>5909</v>
      </c>
      <c r="D2483" s="127" t="s">
        <v>5910</v>
      </c>
      <c r="E2483" s="232"/>
    </row>
    <row r="2484" spans="1:5" ht="14.55" customHeight="1" outlineLevel="1" x14ac:dyDescent="0.25">
      <c r="A2484" s="230" t="s">
        <v>1422</v>
      </c>
      <c r="B2484" s="343" t="str">
        <f>"60.0728"</f>
        <v>60.0728</v>
      </c>
      <c r="C2484" s="75" t="s">
        <v>5911</v>
      </c>
      <c r="D2484" s="127" t="s">
        <v>5912</v>
      </c>
      <c r="E2484" s="232"/>
    </row>
    <row r="2485" spans="1:5" ht="14.55" customHeight="1" outlineLevel="1" x14ac:dyDescent="0.25">
      <c r="A2485" s="230" t="s">
        <v>1422</v>
      </c>
      <c r="B2485" s="343" t="str">
        <f>"60.0729"</f>
        <v>60.0729</v>
      </c>
      <c r="C2485" s="75" t="s">
        <v>5913</v>
      </c>
      <c r="D2485" s="127" t="s">
        <v>5914</v>
      </c>
      <c r="E2485" s="232"/>
    </row>
    <row r="2486" spans="1:5" ht="14.55" customHeight="1" outlineLevel="1" x14ac:dyDescent="0.25">
      <c r="A2486" s="230" t="s">
        <v>1422</v>
      </c>
      <c r="B2486" s="343" t="str">
        <f>"60.0730"</f>
        <v>60.0730</v>
      </c>
      <c r="C2486" s="75" t="s">
        <v>5915</v>
      </c>
      <c r="D2486" s="127" t="s">
        <v>5916</v>
      </c>
      <c r="E2486" s="232"/>
    </row>
    <row r="2487" spans="1:5" ht="14.55" customHeight="1" outlineLevel="1" x14ac:dyDescent="0.25">
      <c r="A2487" s="230" t="s">
        <v>1422</v>
      </c>
      <c r="B2487" s="343" t="str">
        <f>"60.0731"</f>
        <v>60.0731</v>
      </c>
      <c r="C2487" s="75" t="s">
        <v>5917</v>
      </c>
      <c r="D2487" s="127" t="s">
        <v>5918</v>
      </c>
      <c r="E2487" s="232"/>
    </row>
    <row r="2488" spans="1:5" ht="14.55" customHeight="1" outlineLevel="1" x14ac:dyDescent="0.25">
      <c r="A2488" s="230" t="s">
        <v>1422</v>
      </c>
      <c r="B2488" s="343" t="str">
        <f>"60.0732"</f>
        <v>60.0732</v>
      </c>
      <c r="C2488" s="75" t="s">
        <v>5919</v>
      </c>
      <c r="D2488" s="127" t="s">
        <v>5920</v>
      </c>
      <c r="E2488" s="232"/>
    </row>
    <row r="2489" spans="1:5" ht="14.55" customHeight="1" outlineLevel="1" x14ac:dyDescent="0.25">
      <c r="A2489" s="230" t="s">
        <v>1422</v>
      </c>
      <c r="B2489" s="343" t="str">
        <f>"60.0733"</f>
        <v>60.0733</v>
      </c>
      <c r="C2489" s="75" t="s">
        <v>5921</v>
      </c>
      <c r="D2489" s="127" t="s">
        <v>5922</v>
      </c>
      <c r="E2489" s="232"/>
    </row>
    <row r="2490" spans="1:5" ht="14.55" customHeight="1" outlineLevel="1" x14ac:dyDescent="0.25">
      <c r="A2490" s="230" t="s">
        <v>1422</v>
      </c>
      <c r="B2490" s="343" t="str">
        <f>"60.0734"</f>
        <v>60.0734</v>
      </c>
      <c r="C2490" s="75" t="s">
        <v>5923</v>
      </c>
      <c r="D2490" s="127" t="s">
        <v>5924</v>
      </c>
      <c r="E2490" s="232"/>
    </row>
    <row r="2491" spans="1:5" ht="14.55" customHeight="1" outlineLevel="1" x14ac:dyDescent="0.25">
      <c r="A2491" s="230" t="s">
        <v>1422</v>
      </c>
      <c r="B2491" s="343" t="str">
        <f>"60.0735"</f>
        <v>60.0735</v>
      </c>
      <c r="C2491" s="75" t="s">
        <v>5925</v>
      </c>
      <c r="D2491" s="127" t="s">
        <v>5926</v>
      </c>
      <c r="E2491" s="232"/>
    </row>
    <row r="2492" spans="1:5" ht="14.55" customHeight="1" outlineLevel="1" x14ac:dyDescent="0.25">
      <c r="A2492" s="230" t="s">
        <v>1422</v>
      </c>
      <c r="B2492" s="343" t="str">
        <f>"60.0736"</f>
        <v>60.0736</v>
      </c>
      <c r="C2492" s="75" t="s">
        <v>5927</v>
      </c>
      <c r="D2492" s="127" t="s">
        <v>5928</v>
      </c>
      <c r="E2492" s="232"/>
    </row>
    <row r="2493" spans="1:5" ht="14.55" customHeight="1" outlineLevel="1" x14ac:dyDescent="0.25">
      <c r="A2493" s="230" t="s">
        <v>1422</v>
      </c>
      <c r="B2493" s="343" t="str">
        <f>"60.0737"</f>
        <v>60.0737</v>
      </c>
      <c r="C2493" s="75" t="s">
        <v>5929</v>
      </c>
      <c r="D2493" s="127" t="s">
        <v>5930</v>
      </c>
      <c r="E2493" s="232"/>
    </row>
    <row r="2494" spans="1:5" ht="14.55" customHeight="1" outlineLevel="1" x14ac:dyDescent="0.25">
      <c r="A2494" s="230" t="s">
        <v>1422</v>
      </c>
      <c r="B2494" s="343" t="str">
        <f>"60.0738"</f>
        <v>60.0738</v>
      </c>
      <c r="C2494" s="75" t="s">
        <v>5931</v>
      </c>
      <c r="D2494" s="127" t="s">
        <v>5932</v>
      </c>
      <c r="E2494" s="232"/>
    </row>
    <row r="2495" spans="1:5" ht="14.55" customHeight="1" outlineLevel="1" x14ac:dyDescent="0.25">
      <c r="A2495" s="230" t="s">
        <v>1422</v>
      </c>
      <c r="B2495" s="343" t="str">
        <f>"60.0739"</f>
        <v>60.0739</v>
      </c>
      <c r="C2495" s="75" t="s">
        <v>5933</v>
      </c>
      <c r="D2495" s="127" t="s">
        <v>5934</v>
      </c>
      <c r="E2495" s="232"/>
    </row>
    <row r="2496" spans="1:5" ht="14.55" customHeight="1" outlineLevel="1" x14ac:dyDescent="0.25">
      <c r="A2496" s="230" t="s">
        <v>1422</v>
      </c>
      <c r="B2496" s="343" t="str">
        <f>"60.0740"</f>
        <v>60.0740</v>
      </c>
      <c r="C2496" s="75" t="s">
        <v>5935</v>
      </c>
      <c r="D2496" s="127" t="s">
        <v>5936</v>
      </c>
      <c r="E2496" s="232"/>
    </row>
    <row r="2497" spans="1:5" ht="14.55" customHeight="1" outlineLevel="1" x14ac:dyDescent="0.25">
      <c r="A2497" s="230" t="s">
        <v>1422</v>
      </c>
      <c r="B2497" s="343" t="str">
        <f>"60.0741"</f>
        <v>60.0741</v>
      </c>
      <c r="C2497" s="75" t="s">
        <v>5937</v>
      </c>
      <c r="D2497" s="127" t="s">
        <v>5938</v>
      </c>
      <c r="E2497" s="232"/>
    </row>
    <row r="2498" spans="1:5" ht="14.55" customHeight="1" outlineLevel="1" x14ac:dyDescent="0.25">
      <c r="A2498" s="230" t="s">
        <v>1422</v>
      </c>
      <c r="B2498" s="343" t="str">
        <f>"60.0742"</f>
        <v>60.0742</v>
      </c>
      <c r="C2498" s="75" t="s">
        <v>5939</v>
      </c>
      <c r="D2498" s="127" t="s">
        <v>5940</v>
      </c>
      <c r="E2498" s="232"/>
    </row>
    <row r="2499" spans="1:5" ht="14.55" customHeight="1" outlineLevel="1" x14ac:dyDescent="0.25">
      <c r="A2499" s="230" t="s">
        <v>1422</v>
      </c>
      <c r="B2499" s="343" t="str">
        <f>"60.0743"</f>
        <v>60.0743</v>
      </c>
      <c r="C2499" s="75" t="s">
        <v>5941</v>
      </c>
      <c r="D2499" s="127" t="s">
        <v>5942</v>
      </c>
      <c r="E2499" s="232"/>
    </row>
    <row r="2500" spans="1:5" ht="14.55" customHeight="1" outlineLevel="1" x14ac:dyDescent="0.25">
      <c r="A2500" s="230" t="s">
        <v>1422</v>
      </c>
      <c r="B2500" s="343" t="str">
        <f>"60.0744"</f>
        <v>60.0744</v>
      </c>
      <c r="C2500" s="75" t="s">
        <v>5943</v>
      </c>
      <c r="D2500" s="127" t="s">
        <v>5944</v>
      </c>
      <c r="E2500" s="232"/>
    </row>
    <row r="2501" spans="1:5" ht="14.55" customHeight="1" outlineLevel="1" x14ac:dyDescent="0.25">
      <c r="A2501" s="230" t="s">
        <v>1422</v>
      </c>
      <c r="B2501" s="343" t="str">
        <f>"60.0745"</f>
        <v>60.0745</v>
      </c>
      <c r="C2501" s="75" t="s">
        <v>5945</v>
      </c>
      <c r="D2501" s="127" t="s">
        <v>5946</v>
      </c>
      <c r="E2501" s="232"/>
    </row>
    <row r="2502" spans="1:5" ht="14.55" customHeight="1" outlineLevel="1" x14ac:dyDescent="0.25">
      <c r="A2502" s="230" t="s">
        <v>1422</v>
      </c>
      <c r="B2502" s="343" t="str">
        <f>"60.0746"</f>
        <v>60.0746</v>
      </c>
      <c r="C2502" s="75" t="s">
        <v>5947</v>
      </c>
      <c r="D2502" s="127" t="s">
        <v>5948</v>
      </c>
      <c r="E2502" s="232"/>
    </row>
    <row r="2503" spans="1:5" ht="14.55" customHeight="1" outlineLevel="1" x14ac:dyDescent="0.25">
      <c r="A2503" s="230" t="s">
        <v>1422</v>
      </c>
      <c r="B2503" s="343" t="str">
        <f>"60.0747"</f>
        <v>60.0747</v>
      </c>
      <c r="C2503" s="75" t="s">
        <v>5949</v>
      </c>
      <c r="D2503" s="127" t="s">
        <v>5950</v>
      </c>
      <c r="E2503" s="232"/>
    </row>
    <row r="2504" spans="1:5" ht="14.55" customHeight="1" outlineLevel="1" x14ac:dyDescent="0.25">
      <c r="A2504" s="230" t="s">
        <v>1422</v>
      </c>
      <c r="B2504" s="343" t="str">
        <f>"60.0748"</f>
        <v>60.0748</v>
      </c>
      <c r="C2504" s="75" t="s">
        <v>5951</v>
      </c>
      <c r="D2504" s="127" t="s">
        <v>5952</v>
      </c>
      <c r="E2504" s="232"/>
    </row>
    <row r="2505" spans="1:5" ht="14.55" customHeight="1" outlineLevel="1" x14ac:dyDescent="0.25">
      <c r="A2505" s="230" t="s">
        <v>1422</v>
      </c>
      <c r="B2505" s="343" t="str">
        <f>"60.0749"</f>
        <v>60.0749</v>
      </c>
      <c r="C2505" s="75" t="s">
        <v>5953</v>
      </c>
      <c r="D2505" s="127" t="s">
        <v>5954</v>
      </c>
      <c r="E2505" s="232"/>
    </row>
    <row r="2506" spans="1:5" ht="14.55" customHeight="1" outlineLevel="1" x14ac:dyDescent="0.25">
      <c r="A2506" s="230" t="s">
        <v>1422</v>
      </c>
      <c r="B2506" s="343" t="str">
        <f>"60.0750"</f>
        <v>60.0750</v>
      </c>
      <c r="C2506" s="75" t="s">
        <v>5955</v>
      </c>
      <c r="D2506" s="127" t="s">
        <v>5956</v>
      </c>
      <c r="E2506" s="232"/>
    </row>
    <row r="2507" spans="1:5" ht="14.55" customHeight="1" outlineLevel="1" x14ac:dyDescent="0.25">
      <c r="A2507" s="230" t="s">
        <v>1422</v>
      </c>
      <c r="B2507" s="343" t="str">
        <f>"60.0751"</f>
        <v>60.0751</v>
      </c>
      <c r="C2507" s="75" t="s">
        <v>5957</v>
      </c>
      <c r="D2507" s="127" t="s">
        <v>5958</v>
      </c>
      <c r="E2507" s="232"/>
    </row>
    <row r="2508" spans="1:5" ht="14.55" customHeight="1" outlineLevel="1" x14ac:dyDescent="0.25">
      <c r="A2508" s="230" t="s">
        <v>1422</v>
      </c>
      <c r="B2508" s="343" t="str">
        <f>"60.0799"</f>
        <v>60.0799</v>
      </c>
      <c r="C2508" s="75" t="s">
        <v>5959</v>
      </c>
      <c r="D2508" s="127" t="s">
        <v>5960</v>
      </c>
      <c r="E2508" s="232"/>
    </row>
    <row r="2509" spans="1:5" ht="14.55" customHeight="1" outlineLevel="1" x14ac:dyDescent="0.25">
      <c r="A2509" s="230" t="s">
        <v>1422</v>
      </c>
      <c r="B2509" s="343" t="str">
        <f>"60.08"</f>
        <v>60.08</v>
      </c>
      <c r="C2509" s="75" t="s">
        <v>5961</v>
      </c>
      <c r="D2509" s="127" t="s">
        <v>5962</v>
      </c>
      <c r="E2509" s="232"/>
    </row>
    <row r="2510" spans="1:5" ht="14.55" customHeight="1" outlineLevel="1" x14ac:dyDescent="0.25">
      <c r="A2510" s="230" t="s">
        <v>1422</v>
      </c>
      <c r="B2510" s="343" t="str">
        <f>"60.0801"</f>
        <v>60.0801</v>
      </c>
      <c r="C2510" s="75" t="s">
        <v>5963</v>
      </c>
      <c r="D2510" s="127" t="s">
        <v>5964</v>
      </c>
      <c r="E2510" s="232"/>
    </row>
    <row r="2511" spans="1:5" ht="14.55" customHeight="1" outlineLevel="1" x14ac:dyDescent="0.25">
      <c r="A2511" s="230" t="s">
        <v>1422</v>
      </c>
      <c r="B2511" s="343" t="str">
        <f>"60.0802"</f>
        <v>60.0802</v>
      </c>
      <c r="C2511" s="75" t="s">
        <v>5965</v>
      </c>
      <c r="D2511" s="127" t="s">
        <v>5966</v>
      </c>
      <c r="E2511" s="232"/>
    </row>
    <row r="2512" spans="1:5" ht="14.55" customHeight="1" outlineLevel="1" x14ac:dyDescent="0.25">
      <c r="A2512" s="230" t="s">
        <v>1422</v>
      </c>
      <c r="B2512" s="343" t="str">
        <f>"60.0803"</f>
        <v>60.0803</v>
      </c>
      <c r="C2512" s="75" t="s">
        <v>5967</v>
      </c>
      <c r="D2512" s="127" t="s">
        <v>5968</v>
      </c>
      <c r="E2512" s="232"/>
    </row>
    <row r="2513" spans="1:5" ht="14.55" customHeight="1" outlineLevel="1" x14ac:dyDescent="0.25">
      <c r="A2513" s="230" t="s">
        <v>1422</v>
      </c>
      <c r="B2513" s="343" t="str">
        <f>"60.0804"</f>
        <v>60.0804</v>
      </c>
      <c r="C2513" s="75" t="s">
        <v>5969</v>
      </c>
      <c r="D2513" s="127" t="s">
        <v>5970</v>
      </c>
      <c r="E2513" s="232"/>
    </row>
    <row r="2514" spans="1:5" ht="14.55" customHeight="1" outlineLevel="1" x14ac:dyDescent="0.25">
      <c r="A2514" s="230" t="s">
        <v>1422</v>
      </c>
      <c r="B2514" s="343" t="str">
        <f>"60.0805"</f>
        <v>60.0805</v>
      </c>
      <c r="C2514" s="75" t="s">
        <v>5971</v>
      </c>
      <c r="D2514" s="127" t="s">
        <v>5972</v>
      </c>
      <c r="E2514" s="232"/>
    </row>
    <row r="2515" spans="1:5" ht="14.55" customHeight="1" outlineLevel="1" x14ac:dyDescent="0.25">
      <c r="A2515" s="230" t="s">
        <v>1422</v>
      </c>
      <c r="B2515" s="343" t="str">
        <f>"60.0806"</f>
        <v>60.0806</v>
      </c>
      <c r="C2515" s="75" t="s">
        <v>5973</v>
      </c>
      <c r="D2515" s="127" t="s">
        <v>5974</v>
      </c>
      <c r="E2515" s="232"/>
    </row>
    <row r="2516" spans="1:5" ht="14.55" customHeight="1" outlineLevel="1" x14ac:dyDescent="0.25">
      <c r="A2516" s="230" t="s">
        <v>1422</v>
      </c>
      <c r="B2516" s="343" t="str">
        <f>"60.0807"</f>
        <v>60.0807</v>
      </c>
      <c r="C2516" s="75" t="s">
        <v>5975</v>
      </c>
      <c r="D2516" s="127" t="s">
        <v>5976</v>
      </c>
      <c r="E2516" s="232"/>
    </row>
    <row r="2517" spans="1:5" ht="14.55" customHeight="1" outlineLevel="1" x14ac:dyDescent="0.25">
      <c r="A2517" s="230" t="s">
        <v>1422</v>
      </c>
      <c r="B2517" s="343" t="str">
        <f>"60.0808"</f>
        <v>60.0808</v>
      </c>
      <c r="C2517" s="75" t="s">
        <v>5977</v>
      </c>
      <c r="D2517" s="127" t="s">
        <v>5978</v>
      </c>
      <c r="E2517" s="232"/>
    </row>
    <row r="2518" spans="1:5" ht="14.55" customHeight="1" outlineLevel="1" x14ac:dyDescent="0.25">
      <c r="A2518" s="230" t="s">
        <v>1422</v>
      </c>
      <c r="B2518" s="343" t="str">
        <f>"60.0809"</f>
        <v>60.0809</v>
      </c>
      <c r="C2518" s="75" t="s">
        <v>5979</v>
      </c>
      <c r="D2518" s="127" t="s">
        <v>5980</v>
      </c>
      <c r="E2518" s="232"/>
    </row>
    <row r="2519" spans="1:5" ht="14.55" customHeight="1" outlineLevel="1" x14ac:dyDescent="0.25">
      <c r="A2519" s="230" t="s">
        <v>1422</v>
      </c>
      <c r="B2519" s="343" t="str">
        <f>"60.0810"</f>
        <v>60.0810</v>
      </c>
      <c r="C2519" s="75" t="s">
        <v>5981</v>
      </c>
      <c r="D2519" s="127" t="s">
        <v>5982</v>
      </c>
      <c r="E2519" s="232"/>
    </row>
    <row r="2520" spans="1:5" ht="14.55" customHeight="1" outlineLevel="1" x14ac:dyDescent="0.25">
      <c r="A2520" s="230" t="s">
        <v>1422</v>
      </c>
      <c r="B2520" s="343" t="str">
        <f>"60.0811"</f>
        <v>60.0811</v>
      </c>
      <c r="C2520" s="75" t="s">
        <v>5983</v>
      </c>
      <c r="D2520" s="127" t="s">
        <v>5984</v>
      </c>
      <c r="E2520" s="232"/>
    </row>
    <row r="2521" spans="1:5" ht="14.55" customHeight="1" outlineLevel="1" x14ac:dyDescent="0.25">
      <c r="A2521" s="230" t="s">
        <v>1422</v>
      </c>
      <c r="B2521" s="343" t="str">
        <f>"60.0812"</f>
        <v>60.0812</v>
      </c>
      <c r="C2521" s="75" t="s">
        <v>5985</v>
      </c>
      <c r="D2521" s="127" t="s">
        <v>5986</v>
      </c>
      <c r="E2521" s="232"/>
    </row>
    <row r="2522" spans="1:5" ht="14.55" customHeight="1" outlineLevel="1" x14ac:dyDescent="0.25">
      <c r="A2522" s="230" t="s">
        <v>1422</v>
      </c>
      <c r="B2522" s="343" t="str">
        <f>"60.0813"</f>
        <v>60.0813</v>
      </c>
      <c r="C2522" s="75" t="s">
        <v>5987</v>
      </c>
      <c r="D2522" s="127" t="s">
        <v>5988</v>
      </c>
      <c r="E2522" s="232"/>
    </row>
    <row r="2523" spans="1:5" ht="14.55" customHeight="1" outlineLevel="1" x14ac:dyDescent="0.25">
      <c r="A2523" s="230" t="s">
        <v>1422</v>
      </c>
      <c r="B2523" s="343" t="str">
        <f>"60.0814"</f>
        <v>60.0814</v>
      </c>
      <c r="C2523" s="75" t="s">
        <v>5989</v>
      </c>
      <c r="D2523" s="127" t="s">
        <v>5990</v>
      </c>
      <c r="E2523" s="232"/>
    </row>
    <row r="2524" spans="1:5" ht="14.55" customHeight="1" outlineLevel="1" x14ac:dyDescent="0.25">
      <c r="A2524" s="230" t="s">
        <v>1422</v>
      </c>
      <c r="B2524" s="343" t="str">
        <f>"60.0815"</f>
        <v>60.0815</v>
      </c>
      <c r="C2524" s="75" t="s">
        <v>5991</v>
      </c>
      <c r="D2524" s="127" t="s">
        <v>5992</v>
      </c>
      <c r="E2524" s="232"/>
    </row>
    <row r="2525" spans="1:5" ht="14.55" customHeight="1" outlineLevel="1" x14ac:dyDescent="0.25">
      <c r="A2525" s="230" t="s">
        <v>1422</v>
      </c>
      <c r="B2525" s="343" t="str">
        <f>"60.0816"</f>
        <v>60.0816</v>
      </c>
      <c r="C2525" s="75" t="s">
        <v>5993</v>
      </c>
      <c r="D2525" s="127" t="s">
        <v>5994</v>
      </c>
      <c r="E2525" s="232"/>
    </row>
    <row r="2526" spans="1:5" ht="14.55" customHeight="1" outlineLevel="1" x14ac:dyDescent="0.25">
      <c r="A2526" s="230" t="s">
        <v>1422</v>
      </c>
      <c r="B2526" s="343" t="str">
        <f>"60.0817"</f>
        <v>60.0817</v>
      </c>
      <c r="C2526" s="75" t="s">
        <v>5995</v>
      </c>
      <c r="D2526" s="127" t="s">
        <v>5996</v>
      </c>
      <c r="E2526" s="232"/>
    </row>
    <row r="2527" spans="1:5" ht="14.55" customHeight="1" outlineLevel="1" x14ac:dyDescent="0.25">
      <c r="A2527" s="230" t="s">
        <v>1422</v>
      </c>
      <c r="B2527" s="343" t="str">
        <f>"60.0818"</f>
        <v>60.0818</v>
      </c>
      <c r="C2527" s="75" t="s">
        <v>5997</v>
      </c>
      <c r="D2527" s="127" t="s">
        <v>5998</v>
      </c>
      <c r="E2527" s="232"/>
    </row>
    <row r="2528" spans="1:5" ht="14.55" customHeight="1" outlineLevel="1" x14ac:dyDescent="0.25">
      <c r="A2528" s="230" t="s">
        <v>1422</v>
      </c>
      <c r="B2528" s="343" t="str">
        <f>"60.0819"</f>
        <v>60.0819</v>
      </c>
      <c r="C2528" s="75" t="s">
        <v>5999</v>
      </c>
      <c r="D2528" s="127" t="s">
        <v>6000</v>
      </c>
      <c r="E2528" s="232"/>
    </row>
    <row r="2529" spans="1:5" ht="14.55" customHeight="1" outlineLevel="1" x14ac:dyDescent="0.25">
      <c r="A2529" s="230" t="s">
        <v>1422</v>
      </c>
      <c r="B2529" s="343" t="str">
        <f>"60.0820"</f>
        <v>60.0820</v>
      </c>
      <c r="C2529" s="75" t="s">
        <v>6001</v>
      </c>
      <c r="D2529" s="127" t="s">
        <v>6002</v>
      </c>
      <c r="E2529" s="232"/>
    </row>
    <row r="2530" spans="1:5" ht="14.55" customHeight="1" outlineLevel="1" x14ac:dyDescent="0.25">
      <c r="A2530" s="230" t="s">
        <v>1422</v>
      </c>
      <c r="B2530" s="343" t="str">
        <f>"60.0821"</f>
        <v>60.0821</v>
      </c>
      <c r="C2530" s="75" t="s">
        <v>6003</v>
      </c>
      <c r="D2530" s="127" t="s">
        <v>6004</v>
      </c>
      <c r="E2530" s="232"/>
    </row>
    <row r="2531" spans="1:5" ht="14.55" customHeight="1" outlineLevel="1" x14ac:dyDescent="0.25">
      <c r="A2531" s="230" t="s">
        <v>1422</v>
      </c>
      <c r="B2531" s="343" t="str">
        <f>"60.0822"</f>
        <v>60.0822</v>
      </c>
      <c r="C2531" s="75" t="s">
        <v>6005</v>
      </c>
      <c r="D2531" s="127" t="s">
        <v>6006</v>
      </c>
      <c r="E2531" s="232"/>
    </row>
    <row r="2532" spans="1:5" ht="14.55" customHeight="1" outlineLevel="1" x14ac:dyDescent="0.25">
      <c r="A2532" s="230" t="s">
        <v>1422</v>
      </c>
      <c r="B2532" s="343" t="str">
        <f>"60.0823"</f>
        <v>60.0823</v>
      </c>
      <c r="C2532" s="75" t="s">
        <v>6007</v>
      </c>
      <c r="D2532" s="127" t="s">
        <v>6008</v>
      </c>
      <c r="E2532" s="232"/>
    </row>
    <row r="2533" spans="1:5" ht="14.55" customHeight="1" outlineLevel="1" x14ac:dyDescent="0.25">
      <c r="A2533" s="230" t="s">
        <v>1422</v>
      </c>
      <c r="B2533" s="343" t="str">
        <f>"60.0824"</f>
        <v>60.0824</v>
      </c>
      <c r="C2533" s="75" t="s">
        <v>6009</v>
      </c>
      <c r="D2533" s="127" t="s">
        <v>6010</v>
      </c>
      <c r="E2533" s="232"/>
    </row>
    <row r="2534" spans="1:5" ht="14.55" customHeight="1" outlineLevel="1" x14ac:dyDescent="0.25">
      <c r="A2534" s="230" t="s">
        <v>1422</v>
      </c>
      <c r="B2534" s="343" t="str">
        <f>"60.0825"</f>
        <v>60.0825</v>
      </c>
      <c r="C2534" s="75" t="s">
        <v>6011</v>
      </c>
      <c r="D2534" s="127" t="s">
        <v>6012</v>
      </c>
      <c r="E2534" s="232"/>
    </row>
    <row r="2535" spans="1:5" ht="14.55" customHeight="1" outlineLevel="1" x14ac:dyDescent="0.25">
      <c r="A2535" s="230" t="s">
        <v>1422</v>
      </c>
      <c r="B2535" s="343" t="str">
        <f>"60.0826"</f>
        <v>60.0826</v>
      </c>
      <c r="C2535" s="75" t="s">
        <v>6013</v>
      </c>
      <c r="D2535" s="127" t="s">
        <v>6014</v>
      </c>
      <c r="E2535" s="232"/>
    </row>
    <row r="2536" spans="1:5" ht="14.55" customHeight="1" outlineLevel="1" x14ac:dyDescent="0.25">
      <c r="A2536" s="230" t="s">
        <v>1422</v>
      </c>
      <c r="B2536" s="343" t="str">
        <f>"60.0827"</f>
        <v>60.0827</v>
      </c>
      <c r="C2536" s="75" t="s">
        <v>6015</v>
      </c>
      <c r="D2536" s="127" t="s">
        <v>6016</v>
      </c>
      <c r="E2536" s="232"/>
    </row>
    <row r="2537" spans="1:5" ht="14.55" customHeight="1" outlineLevel="1" x14ac:dyDescent="0.25">
      <c r="A2537" s="230" t="s">
        <v>1422</v>
      </c>
      <c r="B2537" s="343" t="str">
        <f>"60.0828"</f>
        <v>60.0828</v>
      </c>
      <c r="C2537" s="75" t="s">
        <v>6017</v>
      </c>
      <c r="D2537" s="127" t="s">
        <v>6018</v>
      </c>
      <c r="E2537" s="232"/>
    </row>
    <row r="2538" spans="1:5" ht="14.55" customHeight="1" outlineLevel="1" x14ac:dyDescent="0.25">
      <c r="A2538" s="230" t="s">
        <v>1422</v>
      </c>
      <c r="B2538" s="343" t="str">
        <f>"60.0829"</f>
        <v>60.0829</v>
      </c>
      <c r="C2538" s="75" t="s">
        <v>6019</v>
      </c>
      <c r="D2538" s="127" t="s">
        <v>6020</v>
      </c>
      <c r="E2538" s="232"/>
    </row>
    <row r="2539" spans="1:5" ht="14.55" customHeight="1" outlineLevel="1" x14ac:dyDescent="0.25">
      <c r="A2539" s="230" t="s">
        <v>1422</v>
      </c>
      <c r="B2539" s="343" t="str">
        <f>"60.0830"</f>
        <v>60.0830</v>
      </c>
      <c r="C2539" s="75" t="s">
        <v>6021</v>
      </c>
      <c r="D2539" s="127" t="s">
        <v>6022</v>
      </c>
      <c r="E2539" s="232"/>
    </row>
    <row r="2540" spans="1:5" ht="14.55" customHeight="1" outlineLevel="1" x14ac:dyDescent="0.25">
      <c r="A2540" s="230" t="s">
        <v>1422</v>
      </c>
      <c r="B2540" s="343" t="str">
        <f>"60.0831"</f>
        <v>60.0831</v>
      </c>
      <c r="C2540" s="75" t="s">
        <v>6023</v>
      </c>
      <c r="D2540" s="127" t="s">
        <v>6024</v>
      </c>
      <c r="E2540" s="232"/>
    </row>
    <row r="2541" spans="1:5" ht="14.55" customHeight="1" outlineLevel="1" x14ac:dyDescent="0.25">
      <c r="A2541" s="230" t="s">
        <v>1422</v>
      </c>
      <c r="B2541" s="343" t="str">
        <f>"60.0832"</f>
        <v>60.0832</v>
      </c>
      <c r="C2541" s="75" t="s">
        <v>6025</v>
      </c>
      <c r="D2541" s="127" t="s">
        <v>6026</v>
      </c>
      <c r="E2541" s="232"/>
    </row>
    <row r="2542" spans="1:5" ht="14.55" customHeight="1" outlineLevel="1" x14ac:dyDescent="0.25">
      <c r="A2542" s="230" t="s">
        <v>1422</v>
      </c>
      <c r="B2542" s="343" t="str">
        <f>"60.0899"</f>
        <v>60.0899</v>
      </c>
      <c r="C2542" s="75" t="s">
        <v>6027</v>
      </c>
      <c r="D2542" s="127" t="s">
        <v>6028</v>
      </c>
      <c r="E2542" s="232"/>
    </row>
    <row r="2543" spans="1:5" ht="14.55" customHeight="1" outlineLevel="1" x14ac:dyDescent="0.25">
      <c r="A2543" s="230" t="s">
        <v>1422</v>
      </c>
      <c r="B2543" s="343" t="str">
        <f>"60.09"</f>
        <v>60.09</v>
      </c>
      <c r="C2543" s="75" t="s">
        <v>6029</v>
      </c>
      <c r="D2543" s="127" t="s">
        <v>6030</v>
      </c>
      <c r="E2543" s="232"/>
    </row>
    <row r="2544" spans="1:5" ht="14.55" customHeight="1" outlineLevel="1" x14ac:dyDescent="0.25">
      <c r="A2544" s="230" t="s">
        <v>1422</v>
      </c>
      <c r="B2544" s="343" t="str">
        <f>"60.0901"</f>
        <v>60.0901</v>
      </c>
      <c r="C2544" s="75" t="s">
        <v>6031</v>
      </c>
      <c r="D2544" s="127" t="s">
        <v>6032</v>
      </c>
      <c r="E2544" s="232"/>
    </row>
    <row r="2545" spans="1:5" ht="14.55" customHeight="1" outlineLevel="1" x14ac:dyDescent="0.25">
      <c r="A2545" s="230" t="s">
        <v>1422</v>
      </c>
      <c r="B2545" s="343" t="str">
        <f>"60.0902"</f>
        <v>60.0902</v>
      </c>
      <c r="C2545" s="75" t="s">
        <v>6033</v>
      </c>
      <c r="D2545" s="127" t="s">
        <v>6034</v>
      </c>
      <c r="E2545" s="232"/>
    </row>
    <row r="2546" spans="1:5" ht="14.55" customHeight="1" outlineLevel="1" x14ac:dyDescent="0.25">
      <c r="A2546" s="230" t="s">
        <v>1422</v>
      </c>
      <c r="B2546" s="343" t="str">
        <f>"60.0903"</f>
        <v>60.0903</v>
      </c>
      <c r="C2546" s="75" t="s">
        <v>6035</v>
      </c>
      <c r="D2546" s="127" t="s">
        <v>6036</v>
      </c>
      <c r="E2546" s="232"/>
    </row>
    <row r="2547" spans="1:5" ht="14.55" customHeight="1" outlineLevel="1" x14ac:dyDescent="0.25">
      <c r="A2547" s="230" t="s">
        <v>1422</v>
      </c>
      <c r="B2547" s="343" t="str">
        <f>"60.0904"</f>
        <v>60.0904</v>
      </c>
      <c r="C2547" s="75" t="s">
        <v>6037</v>
      </c>
      <c r="D2547" s="127" t="s">
        <v>6038</v>
      </c>
      <c r="E2547" s="232"/>
    </row>
    <row r="2548" spans="1:5" ht="14.55" customHeight="1" outlineLevel="1" x14ac:dyDescent="0.25">
      <c r="A2548" s="230" t="s">
        <v>1422</v>
      </c>
      <c r="B2548" s="343" t="str">
        <f>"60.0905"</f>
        <v>60.0905</v>
      </c>
      <c r="C2548" s="75" t="s">
        <v>6039</v>
      </c>
      <c r="D2548" s="127" t="s">
        <v>6040</v>
      </c>
      <c r="E2548" s="232"/>
    </row>
    <row r="2549" spans="1:5" ht="14.55" customHeight="1" outlineLevel="1" x14ac:dyDescent="0.25">
      <c r="A2549" s="230" t="s">
        <v>1422</v>
      </c>
      <c r="B2549" s="343" t="str">
        <f>"60.0906"</f>
        <v>60.0906</v>
      </c>
      <c r="C2549" s="75" t="s">
        <v>6041</v>
      </c>
      <c r="D2549" s="127" t="s">
        <v>6042</v>
      </c>
      <c r="E2549" s="232"/>
    </row>
    <row r="2550" spans="1:5" ht="14.55" customHeight="1" outlineLevel="1" x14ac:dyDescent="0.25">
      <c r="A2550" s="230" t="s">
        <v>1422</v>
      </c>
      <c r="B2550" s="343" t="str">
        <f>"60.0907"</f>
        <v>60.0907</v>
      </c>
      <c r="C2550" s="75" t="s">
        <v>6043</v>
      </c>
      <c r="D2550" s="127" t="s">
        <v>6044</v>
      </c>
      <c r="E2550" s="232"/>
    </row>
    <row r="2551" spans="1:5" ht="14.55" customHeight="1" outlineLevel="1" x14ac:dyDescent="0.25">
      <c r="A2551" s="230" t="s">
        <v>1422</v>
      </c>
      <c r="B2551" s="343" t="str">
        <f>"60.0908"</f>
        <v>60.0908</v>
      </c>
      <c r="C2551" s="75" t="s">
        <v>6045</v>
      </c>
      <c r="D2551" s="127" t="s">
        <v>6046</v>
      </c>
      <c r="E2551" s="232"/>
    </row>
    <row r="2552" spans="1:5" ht="14.55" customHeight="1" outlineLevel="1" x14ac:dyDescent="0.25">
      <c r="A2552" s="230" t="s">
        <v>1422</v>
      </c>
      <c r="B2552" s="343" t="str">
        <f>"60.0909"</f>
        <v>60.0909</v>
      </c>
      <c r="C2552" s="75" t="s">
        <v>6047</v>
      </c>
      <c r="D2552" s="127" t="s">
        <v>6048</v>
      </c>
      <c r="E2552" s="232"/>
    </row>
    <row r="2553" spans="1:5" ht="14.55" customHeight="1" outlineLevel="1" x14ac:dyDescent="0.25">
      <c r="A2553" s="230" t="s">
        <v>1422</v>
      </c>
      <c r="B2553" s="343" t="str">
        <f>"60.0910"</f>
        <v>60.0910</v>
      </c>
      <c r="C2553" s="75" t="s">
        <v>6049</v>
      </c>
      <c r="D2553" s="127" t="s">
        <v>6050</v>
      </c>
      <c r="E2553" s="232"/>
    </row>
    <row r="2554" spans="1:5" ht="14.55" customHeight="1" outlineLevel="1" x14ac:dyDescent="0.25">
      <c r="A2554" s="230" t="s">
        <v>1422</v>
      </c>
      <c r="B2554" s="343" t="str">
        <f>"60.0911"</f>
        <v>60.0911</v>
      </c>
      <c r="C2554" s="75" t="s">
        <v>6051</v>
      </c>
      <c r="D2554" s="127" t="s">
        <v>6052</v>
      </c>
      <c r="E2554" s="232"/>
    </row>
    <row r="2555" spans="1:5" ht="14.55" customHeight="1" outlineLevel="1" x14ac:dyDescent="0.25">
      <c r="A2555" s="230" t="s">
        <v>1422</v>
      </c>
      <c r="B2555" s="343" t="str">
        <f>"60.0912"</f>
        <v>60.0912</v>
      </c>
      <c r="C2555" s="75" t="s">
        <v>6053</v>
      </c>
      <c r="D2555" s="127" t="s">
        <v>6054</v>
      </c>
      <c r="E2555" s="232"/>
    </row>
    <row r="2556" spans="1:5" ht="14.55" customHeight="1" outlineLevel="1" x14ac:dyDescent="0.25">
      <c r="A2556" s="230" t="s">
        <v>1422</v>
      </c>
      <c r="B2556" s="343" t="str">
        <f>"60.0913"</f>
        <v>60.0913</v>
      </c>
      <c r="C2556" s="75" t="s">
        <v>6055</v>
      </c>
      <c r="D2556" s="127" t="s">
        <v>6056</v>
      </c>
      <c r="E2556" s="232"/>
    </row>
    <row r="2557" spans="1:5" ht="14.55" customHeight="1" outlineLevel="1" x14ac:dyDescent="0.25">
      <c r="A2557" s="230" t="s">
        <v>1422</v>
      </c>
      <c r="B2557" s="343" t="str">
        <f>"60.0914"</f>
        <v>60.0914</v>
      </c>
      <c r="C2557" s="75" t="s">
        <v>6057</v>
      </c>
      <c r="D2557" s="127" t="s">
        <v>6058</v>
      </c>
      <c r="E2557" s="232"/>
    </row>
    <row r="2558" spans="1:5" ht="14.55" customHeight="1" outlineLevel="1" x14ac:dyDescent="0.25">
      <c r="A2558" s="230" t="s">
        <v>1422</v>
      </c>
      <c r="B2558" s="343" t="str">
        <f>"60.0915"</f>
        <v>60.0915</v>
      </c>
      <c r="C2558" s="75" t="s">
        <v>6059</v>
      </c>
      <c r="D2558" s="127" t="s">
        <v>6060</v>
      </c>
      <c r="E2558" s="232"/>
    </row>
    <row r="2559" spans="1:5" ht="14.55" customHeight="1" outlineLevel="1" x14ac:dyDescent="0.25">
      <c r="A2559" s="230" t="s">
        <v>1422</v>
      </c>
      <c r="B2559" s="343" t="str">
        <f>"60.0916"</f>
        <v>60.0916</v>
      </c>
      <c r="C2559" s="75" t="s">
        <v>6061</v>
      </c>
      <c r="D2559" s="127" t="s">
        <v>6062</v>
      </c>
      <c r="E2559" s="232"/>
    </row>
    <row r="2560" spans="1:5" ht="14.55" customHeight="1" outlineLevel="1" x14ac:dyDescent="0.25">
      <c r="A2560" s="230" t="s">
        <v>1422</v>
      </c>
      <c r="B2560" s="343" t="str">
        <f>"60.0917"</f>
        <v>60.0917</v>
      </c>
      <c r="C2560" s="75" t="s">
        <v>6063</v>
      </c>
      <c r="D2560" s="127" t="s">
        <v>6064</v>
      </c>
      <c r="E2560" s="232"/>
    </row>
    <row r="2561" spans="1:5" ht="14.55" customHeight="1" outlineLevel="1" x14ac:dyDescent="0.25">
      <c r="A2561" s="230" t="s">
        <v>1422</v>
      </c>
      <c r="B2561" s="343" t="str">
        <f>"60.0918"</f>
        <v>60.0918</v>
      </c>
      <c r="C2561" s="75" t="s">
        <v>6065</v>
      </c>
      <c r="D2561" s="127" t="s">
        <v>6066</v>
      </c>
      <c r="E2561" s="232"/>
    </row>
    <row r="2562" spans="1:5" ht="14.55" customHeight="1" outlineLevel="1" x14ac:dyDescent="0.25">
      <c r="A2562" s="230" t="s">
        <v>1422</v>
      </c>
      <c r="B2562" s="343" t="str">
        <f>"60.0919"</f>
        <v>60.0919</v>
      </c>
      <c r="C2562" s="75" t="s">
        <v>6067</v>
      </c>
      <c r="D2562" s="127" t="s">
        <v>6068</v>
      </c>
      <c r="E2562" s="232"/>
    </row>
    <row r="2563" spans="1:5" ht="14.55" customHeight="1" outlineLevel="1" x14ac:dyDescent="0.25">
      <c r="A2563" s="230" t="s">
        <v>1422</v>
      </c>
      <c r="B2563" s="343" t="str">
        <f>"60.0920"</f>
        <v>60.0920</v>
      </c>
      <c r="C2563" s="75" t="s">
        <v>6069</v>
      </c>
      <c r="D2563" s="127" t="s">
        <v>6070</v>
      </c>
      <c r="E2563" s="232"/>
    </row>
    <row r="2564" spans="1:5" ht="14.55" customHeight="1" outlineLevel="1" x14ac:dyDescent="0.25">
      <c r="A2564" s="230" t="s">
        <v>1422</v>
      </c>
      <c r="B2564" s="343" t="str">
        <f>"60.0999"</f>
        <v>60.0999</v>
      </c>
      <c r="C2564" s="75" t="s">
        <v>6071</v>
      </c>
      <c r="D2564" s="127" t="s">
        <v>6072</v>
      </c>
      <c r="E2564" s="232"/>
    </row>
    <row r="2565" spans="1:5" ht="14.55" customHeight="1" outlineLevel="1" x14ac:dyDescent="0.25">
      <c r="A2565" s="230" t="s">
        <v>1422</v>
      </c>
      <c r="B2565" s="343" t="str">
        <f>"60.99"</f>
        <v>60.99</v>
      </c>
      <c r="C2565" s="75" t="s">
        <v>6073</v>
      </c>
      <c r="D2565" s="127" t="s">
        <v>6074</v>
      </c>
      <c r="E2565" s="232"/>
    </row>
    <row r="2566" spans="1:5" ht="14.55" customHeight="1" outlineLevel="1" x14ac:dyDescent="0.25">
      <c r="A2566" s="230" t="s">
        <v>1422</v>
      </c>
      <c r="B2566" s="343" t="str">
        <f>"60.9999"</f>
        <v>60.9999</v>
      </c>
      <c r="C2566" s="75" t="s">
        <v>6073</v>
      </c>
      <c r="D2566" s="127" t="s">
        <v>6075</v>
      </c>
      <c r="E2566" s="232"/>
    </row>
    <row r="2567" spans="1:5" ht="14.55" customHeight="1" outlineLevel="1" x14ac:dyDescent="0.25">
      <c r="A2567" s="230" t="s">
        <v>1422</v>
      </c>
      <c r="B2567" s="343" t="str">
        <f>"61"</f>
        <v>61</v>
      </c>
      <c r="C2567" s="75" t="s">
        <v>6076</v>
      </c>
      <c r="D2567" s="127" t="s">
        <v>6077</v>
      </c>
      <c r="E2567" s="232"/>
    </row>
    <row r="2568" spans="1:5" ht="14.55" customHeight="1" outlineLevel="1" x14ac:dyDescent="0.25">
      <c r="A2568" s="230" t="s">
        <v>1422</v>
      </c>
      <c r="B2568" s="343" t="str">
        <f>"61.01"</f>
        <v>61.01</v>
      </c>
      <c r="C2568" s="75" t="s">
        <v>6078</v>
      </c>
      <c r="D2568" s="127" t="s">
        <v>6079</v>
      </c>
      <c r="E2568" s="232"/>
    </row>
    <row r="2569" spans="1:5" ht="14.55" customHeight="1" outlineLevel="1" x14ac:dyDescent="0.25">
      <c r="A2569" s="230" t="s">
        <v>1422</v>
      </c>
      <c r="B2569" s="343" t="str">
        <f>"61.0101"</f>
        <v>61.0101</v>
      </c>
      <c r="C2569" s="75" t="s">
        <v>6080</v>
      </c>
      <c r="D2569" s="127" t="s">
        <v>6081</v>
      </c>
      <c r="E2569" s="232"/>
    </row>
    <row r="2570" spans="1:5" ht="14.55" customHeight="1" outlineLevel="1" x14ac:dyDescent="0.25">
      <c r="A2570" s="230" t="s">
        <v>1422</v>
      </c>
      <c r="B2570" s="343" t="str">
        <f>"61.0102"</f>
        <v>61.0102</v>
      </c>
      <c r="C2570" s="75" t="s">
        <v>6082</v>
      </c>
      <c r="D2570" s="127" t="s">
        <v>6083</v>
      </c>
      <c r="E2570" s="232"/>
    </row>
    <row r="2571" spans="1:5" ht="14.55" customHeight="1" outlineLevel="1" x14ac:dyDescent="0.25">
      <c r="A2571" s="230" t="s">
        <v>1422</v>
      </c>
      <c r="B2571" s="343" t="str">
        <f>"61.0103"</f>
        <v>61.0103</v>
      </c>
      <c r="C2571" s="75" t="s">
        <v>6084</v>
      </c>
      <c r="D2571" s="127" t="s">
        <v>6085</v>
      </c>
      <c r="E2571" s="232"/>
    </row>
    <row r="2572" spans="1:5" ht="14.55" customHeight="1" outlineLevel="1" x14ac:dyDescent="0.25">
      <c r="A2572" s="230" t="s">
        <v>1422</v>
      </c>
      <c r="B2572" s="343" t="str">
        <f>"61.0104"</f>
        <v>61.0104</v>
      </c>
      <c r="C2572" s="75" t="s">
        <v>6086</v>
      </c>
      <c r="D2572" s="127" t="s">
        <v>6087</v>
      </c>
      <c r="E2572" s="232"/>
    </row>
    <row r="2573" spans="1:5" ht="14.55" customHeight="1" outlineLevel="1" x14ac:dyDescent="0.25">
      <c r="A2573" s="230" t="s">
        <v>1422</v>
      </c>
      <c r="B2573" s="343" t="str">
        <f>"61.0105"</f>
        <v>61.0105</v>
      </c>
      <c r="C2573" s="75" t="s">
        <v>6088</v>
      </c>
      <c r="D2573" s="127" t="s">
        <v>6089</v>
      </c>
      <c r="E2573" s="232"/>
    </row>
    <row r="2574" spans="1:5" ht="14.55" customHeight="1" outlineLevel="1" x14ac:dyDescent="0.25">
      <c r="A2574" s="230" t="s">
        <v>1422</v>
      </c>
      <c r="B2574" s="343" t="str">
        <f>"61.0106"</f>
        <v>61.0106</v>
      </c>
      <c r="C2574" s="75" t="s">
        <v>6090</v>
      </c>
      <c r="D2574" s="127" t="s">
        <v>6091</v>
      </c>
      <c r="E2574" s="232"/>
    </row>
    <row r="2575" spans="1:5" ht="14.55" customHeight="1" outlineLevel="1" x14ac:dyDescent="0.25">
      <c r="A2575" s="230" t="s">
        <v>1422</v>
      </c>
      <c r="B2575" s="343" t="str">
        <f>"61.0107"</f>
        <v>61.0107</v>
      </c>
      <c r="C2575" s="75" t="s">
        <v>6092</v>
      </c>
      <c r="D2575" s="127" t="s">
        <v>6093</v>
      </c>
      <c r="E2575" s="232"/>
    </row>
    <row r="2576" spans="1:5" ht="14.55" customHeight="1" outlineLevel="1" x14ac:dyDescent="0.25">
      <c r="A2576" s="230" t="s">
        <v>1422</v>
      </c>
      <c r="B2576" s="343" t="str">
        <f>"61.0108"</f>
        <v>61.0108</v>
      </c>
      <c r="C2576" s="75" t="s">
        <v>6094</v>
      </c>
      <c r="D2576" s="127" t="s">
        <v>6095</v>
      </c>
      <c r="E2576" s="232"/>
    </row>
    <row r="2577" spans="1:5" ht="14.55" customHeight="1" outlineLevel="1" x14ac:dyDescent="0.25">
      <c r="A2577" s="230" t="s">
        <v>1422</v>
      </c>
      <c r="B2577" s="343" t="str">
        <f>"61.0109"</f>
        <v>61.0109</v>
      </c>
      <c r="C2577" s="75" t="s">
        <v>6096</v>
      </c>
      <c r="D2577" s="127" t="s">
        <v>6097</v>
      </c>
      <c r="E2577" s="232"/>
    </row>
    <row r="2578" spans="1:5" ht="14.55" customHeight="1" outlineLevel="1" x14ac:dyDescent="0.25">
      <c r="A2578" s="230" t="s">
        <v>1422</v>
      </c>
      <c r="B2578" s="343" t="str">
        <f>"61.0110"</f>
        <v>61.0110</v>
      </c>
      <c r="C2578" s="75" t="s">
        <v>6098</v>
      </c>
      <c r="D2578" s="127" t="s">
        <v>6099</v>
      </c>
      <c r="E2578" s="232"/>
    </row>
    <row r="2579" spans="1:5" ht="14.55" customHeight="1" outlineLevel="1" x14ac:dyDescent="0.25">
      <c r="A2579" s="230" t="s">
        <v>1422</v>
      </c>
      <c r="B2579" s="343" t="str">
        <f>"61.0111"</f>
        <v>61.0111</v>
      </c>
      <c r="C2579" s="75" t="s">
        <v>6100</v>
      </c>
      <c r="D2579" s="127" t="s">
        <v>6101</v>
      </c>
      <c r="E2579" s="232"/>
    </row>
    <row r="2580" spans="1:5" ht="14.55" customHeight="1" outlineLevel="1" x14ac:dyDescent="0.25">
      <c r="A2580" s="230" t="s">
        <v>1422</v>
      </c>
      <c r="B2580" s="343" t="str">
        <f>"61.0112"</f>
        <v>61.0112</v>
      </c>
      <c r="C2580" s="75" t="s">
        <v>6102</v>
      </c>
      <c r="D2580" s="127" t="s">
        <v>6103</v>
      </c>
      <c r="E2580" s="232"/>
    </row>
    <row r="2581" spans="1:5" ht="14.55" customHeight="1" outlineLevel="1" x14ac:dyDescent="0.25">
      <c r="A2581" s="230" t="s">
        <v>1422</v>
      </c>
      <c r="B2581" s="343" t="str">
        <f>"61.0113"</f>
        <v>61.0113</v>
      </c>
      <c r="C2581" s="75" t="s">
        <v>6104</v>
      </c>
      <c r="D2581" s="127" t="s">
        <v>6105</v>
      </c>
      <c r="E2581" s="232"/>
    </row>
    <row r="2582" spans="1:5" ht="14.55" customHeight="1" outlineLevel="1" x14ac:dyDescent="0.25">
      <c r="A2582" s="230" t="s">
        <v>1422</v>
      </c>
      <c r="B2582" s="343" t="str">
        <f>"61.0114"</f>
        <v>61.0114</v>
      </c>
      <c r="C2582" s="75" t="s">
        <v>6106</v>
      </c>
      <c r="D2582" s="127" t="s">
        <v>6107</v>
      </c>
      <c r="E2582" s="232"/>
    </row>
    <row r="2583" spans="1:5" ht="14.55" customHeight="1" outlineLevel="1" x14ac:dyDescent="0.25">
      <c r="A2583" s="230" t="s">
        <v>1422</v>
      </c>
      <c r="B2583" s="343" t="str">
        <f>"61.0115"</f>
        <v>61.0115</v>
      </c>
      <c r="C2583" s="75" t="s">
        <v>6108</v>
      </c>
      <c r="D2583" s="127" t="s">
        <v>6109</v>
      </c>
      <c r="E2583" s="232"/>
    </row>
    <row r="2584" spans="1:5" ht="14.55" customHeight="1" outlineLevel="1" x14ac:dyDescent="0.25">
      <c r="A2584" s="230" t="s">
        <v>1422</v>
      </c>
      <c r="B2584" s="343" t="str">
        <f>"61.0116"</f>
        <v>61.0116</v>
      </c>
      <c r="C2584" s="75" t="s">
        <v>6110</v>
      </c>
      <c r="D2584" s="127" t="s">
        <v>6111</v>
      </c>
      <c r="E2584" s="232"/>
    </row>
    <row r="2585" spans="1:5" ht="14.55" customHeight="1" outlineLevel="1" x14ac:dyDescent="0.25">
      <c r="A2585" s="230" t="s">
        <v>1422</v>
      </c>
      <c r="B2585" s="343" t="str">
        <f>"61.0117"</f>
        <v>61.0117</v>
      </c>
      <c r="C2585" s="75" t="s">
        <v>6112</v>
      </c>
      <c r="D2585" s="127" t="s">
        <v>6113</v>
      </c>
      <c r="E2585" s="232"/>
    </row>
    <row r="2586" spans="1:5" ht="14.55" customHeight="1" outlineLevel="1" x14ac:dyDescent="0.25">
      <c r="A2586" s="230" t="s">
        <v>1422</v>
      </c>
      <c r="B2586" s="343" t="str">
        <f>"61.0118"</f>
        <v>61.0118</v>
      </c>
      <c r="C2586" s="75" t="s">
        <v>6114</v>
      </c>
      <c r="D2586" s="127" t="s">
        <v>6115</v>
      </c>
      <c r="E2586" s="232"/>
    </row>
    <row r="2587" spans="1:5" ht="14.55" customHeight="1" outlineLevel="1" x14ac:dyDescent="0.25">
      <c r="A2587" s="230" t="s">
        <v>1422</v>
      </c>
      <c r="B2587" s="343" t="str">
        <f>"61.0119"</f>
        <v>61.0119</v>
      </c>
      <c r="C2587" s="75" t="s">
        <v>6116</v>
      </c>
      <c r="D2587" s="127" t="s">
        <v>6117</v>
      </c>
      <c r="E2587" s="232"/>
    </row>
    <row r="2588" spans="1:5" ht="14.55" customHeight="1" outlineLevel="1" x14ac:dyDescent="0.25">
      <c r="A2588" s="230" t="s">
        <v>1422</v>
      </c>
      <c r="B2588" s="343" t="str">
        <f>"61.0120"</f>
        <v>61.0120</v>
      </c>
      <c r="C2588" s="75" t="s">
        <v>6118</v>
      </c>
      <c r="D2588" s="127" t="s">
        <v>6119</v>
      </c>
      <c r="E2588" s="232"/>
    </row>
    <row r="2589" spans="1:5" ht="14.55" customHeight="1" outlineLevel="1" x14ac:dyDescent="0.25">
      <c r="A2589" s="230" t="s">
        <v>1422</v>
      </c>
      <c r="B2589" s="343" t="str">
        <f>"61.0121"</f>
        <v>61.0121</v>
      </c>
      <c r="C2589" s="75" t="s">
        <v>6120</v>
      </c>
      <c r="D2589" s="127" t="s">
        <v>6121</v>
      </c>
      <c r="E2589" s="232"/>
    </row>
    <row r="2590" spans="1:5" ht="14.55" customHeight="1" outlineLevel="1" x14ac:dyDescent="0.25">
      <c r="A2590" s="230" t="s">
        <v>1422</v>
      </c>
      <c r="B2590" s="343" t="str">
        <f>"61.0122"</f>
        <v>61.0122</v>
      </c>
      <c r="C2590" s="75" t="s">
        <v>6122</v>
      </c>
      <c r="D2590" s="127" t="s">
        <v>6123</v>
      </c>
      <c r="E2590" s="232"/>
    </row>
    <row r="2591" spans="1:5" ht="14.55" customHeight="1" outlineLevel="1" x14ac:dyDescent="0.25">
      <c r="A2591" s="230" t="s">
        <v>1422</v>
      </c>
      <c r="B2591" s="343" t="str">
        <f>"61.0123"</f>
        <v>61.0123</v>
      </c>
      <c r="C2591" s="75" t="s">
        <v>6124</v>
      </c>
      <c r="D2591" s="127" t="s">
        <v>6125</v>
      </c>
      <c r="E2591" s="232"/>
    </row>
    <row r="2592" spans="1:5" ht="14.55" customHeight="1" outlineLevel="1" x14ac:dyDescent="0.25">
      <c r="A2592" s="230" t="s">
        <v>1422</v>
      </c>
      <c r="B2592" s="343" t="str">
        <f>"61.0124"</f>
        <v>61.0124</v>
      </c>
      <c r="C2592" s="75" t="s">
        <v>6126</v>
      </c>
      <c r="D2592" s="127" t="s">
        <v>6127</v>
      </c>
      <c r="E2592" s="232"/>
    </row>
    <row r="2593" spans="1:5" ht="14.55" customHeight="1" outlineLevel="1" x14ac:dyDescent="0.25">
      <c r="A2593" s="230" t="s">
        <v>1422</v>
      </c>
      <c r="B2593" s="343" t="str">
        <f>"61.0125"</f>
        <v>61.0125</v>
      </c>
      <c r="C2593" s="75" t="s">
        <v>6128</v>
      </c>
      <c r="D2593" s="127" t="s">
        <v>6129</v>
      </c>
      <c r="E2593" s="232"/>
    </row>
    <row r="2594" spans="1:5" ht="14.55" customHeight="1" outlineLevel="1" x14ac:dyDescent="0.25">
      <c r="A2594" s="230" t="s">
        <v>1422</v>
      </c>
      <c r="B2594" s="343" t="str">
        <f>"61.0199"</f>
        <v>61.0199</v>
      </c>
      <c r="C2594" s="75" t="s">
        <v>6130</v>
      </c>
      <c r="D2594" s="127" t="s">
        <v>6131</v>
      </c>
      <c r="E2594" s="232"/>
    </row>
    <row r="2595" spans="1:5" ht="14.55" customHeight="1" outlineLevel="1" x14ac:dyDescent="0.25">
      <c r="A2595" s="230" t="s">
        <v>1422</v>
      </c>
      <c r="B2595" s="343" t="str">
        <f>"61.02"</f>
        <v>61.02</v>
      </c>
      <c r="C2595" s="75" t="s">
        <v>6132</v>
      </c>
      <c r="D2595" s="127" t="s">
        <v>6133</v>
      </c>
      <c r="E2595" s="232"/>
    </row>
    <row r="2596" spans="1:5" ht="14.55" customHeight="1" outlineLevel="1" x14ac:dyDescent="0.25">
      <c r="A2596" s="230" t="s">
        <v>1422</v>
      </c>
      <c r="B2596" s="343" t="str">
        <f>"61.0202"</f>
        <v>61.0202</v>
      </c>
      <c r="C2596" s="75" t="s">
        <v>6134</v>
      </c>
      <c r="D2596" s="127" t="s">
        <v>6135</v>
      </c>
      <c r="E2596" s="232"/>
    </row>
    <row r="2597" spans="1:5" ht="14.55" customHeight="1" outlineLevel="1" x14ac:dyDescent="0.25">
      <c r="A2597" s="230" t="s">
        <v>1422</v>
      </c>
      <c r="B2597" s="343" t="str">
        <f>"61.0203"</f>
        <v>61.0203</v>
      </c>
      <c r="C2597" s="75" t="s">
        <v>6136</v>
      </c>
      <c r="D2597" s="127" t="s">
        <v>6137</v>
      </c>
      <c r="E2597" s="232"/>
    </row>
    <row r="2598" spans="1:5" ht="14.55" customHeight="1" outlineLevel="1" x14ac:dyDescent="0.25">
      <c r="A2598" s="230" t="s">
        <v>1422</v>
      </c>
      <c r="B2598" s="343" t="str">
        <f>"61.0204"</f>
        <v>61.0204</v>
      </c>
      <c r="C2598" s="75" t="s">
        <v>6138</v>
      </c>
      <c r="D2598" s="127" t="s">
        <v>6139</v>
      </c>
      <c r="E2598" s="232"/>
    </row>
    <row r="2599" spans="1:5" ht="14.55" customHeight="1" outlineLevel="1" x14ac:dyDescent="0.25">
      <c r="A2599" s="230" t="s">
        <v>1422</v>
      </c>
      <c r="B2599" s="343" t="str">
        <f>"61.0205"</f>
        <v>61.0205</v>
      </c>
      <c r="C2599" s="75" t="s">
        <v>6140</v>
      </c>
      <c r="D2599" s="127" t="s">
        <v>6141</v>
      </c>
      <c r="E2599" s="232"/>
    </row>
    <row r="2600" spans="1:5" ht="14.55" customHeight="1" outlineLevel="1" x14ac:dyDescent="0.25">
      <c r="A2600" s="230" t="s">
        <v>1422</v>
      </c>
      <c r="B2600" s="343" t="str">
        <f>"61.0206"</f>
        <v>61.0206</v>
      </c>
      <c r="C2600" s="75" t="s">
        <v>6142</v>
      </c>
      <c r="D2600" s="127" t="s">
        <v>6143</v>
      </c>
      <c r="E2600" s="232"/>
    </row>
    <row r="2601" spans="1:5" ht="14.55" customHeight="1" outlineLevel="1" x14ac:dyDescent="0.25">
      <c r="A2601" s="230" t="s">
        <v>1422</v>
      </c>
      <c r="B2601" s="343" t="str">
        <f>"61.0207"</f>
        <v>61.0207</v>
      </c>
      <c r="C2601" s="75" t="s">
        <v>6144</v>
      </c>
      <c r="D2601" s="127" t="s">
        <v>6145</v>
      </c>
      <c r="E2601" s="232"/>
    </row>
    <row r="2602" spans="1:5" ht="14.55" customHeight="1" outlineLevel="1" x14ac:dyDescent="0.25">
      <c r="A2602" s="230" t="s">
        <v>1422</v>
      </c>
      <c r="B2602" s="343" t="str">
        <f>"61.0208"</f>
        <v>61.0208</v>
      </c>
      <c r="C2602" s="75" t="s">
        <v>6146</v>
      </c>
      <c r="D2602" s="127" t="s">
        <v>6147</v>
      </c>
      <c r="E2602" s="232"/>
    </row>
    <row r="2603" spans="1:5" ht="14.55" customHeight="1" outlineLevel="1" x14ac:dyDescent="0.25">
      <c r="A2603" s="230" t="s">
        <v>1422</v>
      </c>
      <c r="B2603" s="343" t="str">
        <f>"61.0209"</f>
        <v>61.0209</v>
      </c>
      <c r="C2603" s="75" t="s">
        <v>6148</v>
      </c>
      <c r="D2603" s="127" t="s">
        <v>6149</v>
      </c>
      <c r="E2603" s="232"/>
    </row>
    <row r="2604" spans="1:5" ht="14.55" customHeight="1" outlineLevel="1" x14ac:dyDescent="0.25">
      <c r="A2604" s="230" t="s">
        <v>1422</v>
      </c>
      <c r="B2604" s="343" t="str">
        <f>"61.0210"</f>
        <v>61.0210</v>
      </c>
      <c r="C2604" s="75" t="s">
        <v>6150</v>
      </c>
      <c r="D2604" s="127" t="s">
        <v>6151</v>
      </c>
      <c r="E2604" s="232"/>
    </row>
    <row r="2605" spans="1:5" ht="14.55" customHeight="1" outlineLevel="1" x14ac:dyDescent="0.25">
      <c r="A2605" s="230" t="s">
        <v>1422</v>
      </c>
      <c r="B2605" s="343" t="str">
        <f>"61.0211"</f>
        <v>61.0211</v>
      </c>
      <c r="C2605" s="75" t="s">
        <v>6152</v>
      </c>
      <c r="D2605" s="127" t="s">
        <v>6153</v>
      </c>
      <c r="E2605" s="232"/>
    </row>
    <row r="2606" spans="1:5" ht="14.55" customHeight="1" outlineLevel="1" x14ac:dyDescent="0.25">
      <c r="A2606" s="230" t="s">
        <v>1422</v>
      </c>
      <c r="B2606" s="343" t="str">
        <f>"61.0212"</f>
        <v>61.0212</v>
      </c>
      <c r="C2606" s="75" t="s">
        <v>6154</v>
      </c>
      <c r="D2606" s="127" t="s">
        <v>6155</v>
      </c>
      <c r="E2606" s="232"/>
    </row>
    <row r="2607" spans="1:5" ht="14.55" customHeight="1" outlineLevel="1" x14ac:dyDescent="0.25">
      <c r="A2607" s="230" t="s">
        <v>1422</v>
      </c>
      <c r="B2607" s="343" t="str">
        <f>"61.0213"</f>
        <v>61.0213</v>
      </c>
      <c r="C2607" s="75" t="s">
        <v>6156</v>
      </c>
      <c r="D2607" s="127" t="s">
        <v>6157</v>
      </c>
      <c r="E2607" s="232"/>
    </row>
    <row r="2608" spans="1:5" ht="14.55" customHeight="1" outlineLevel="1" x14ac:dyDescent="0.25">
      <c r="A2608" s="230" t="s">
        <v>1422</v>
      </c>
      <c r="B2608" s="343" t="str">
        <f>"61.0214"</f>
        <v>61.0214</v>
      </c>
      <c r="C2608" s="75" t="s">
        <v>6158</v>
      </c>
      <c r="D2608" s="127" t="s">
        <v>6159</v>
      </c>
      <c r="E2608" s="232"/>
    </row>
    <row r="2609" spans="1:5" ht="14.55" customHeight="1" outlineLevel="1" x14ac:dyDescent="0.25">
      <c r="A2609" s="230" t="s">
        <v>1422</v>
      </c>
      <c r="B2609" s="343" t="str">
        <f>"61.0215"</f>
        <v>61.0215</v>
      </c>
      <c r="C2609" s="75" t="s">
        <v>6160</v>
      </c>
      <c r="D2609" s="127" t="s">
        <v>6161</v>
      </c>
      <c r="E2609" s="232"/>
    </row>
    <row r="2610" spans="1:5" ht="14.55" customHeight="1" outlineLevel="1" x14ac:dyDescent="0.25">
      <c r="A2610" s="230" t="s">
        <v>1422</v>
      </c>
      <c r="B2610" s="343" t="str">
        <f>"61.0216"</f>
        <v>61.0216</v>
      </c>
      <c r="C2610" s="75" t="s">
        <v>6162</v>
      </c>
      <c r="D2610" s="127" t="s">
        <v>6163</v>
      </c>
      <c r="E2610" s="232"/>
    </row>
    <row r="2611" spans="1:5" ht="14.55" customHeight="1" outlineLevel="1" x14ac:dyDescent="0.25">
      <c r="A2611" s="230" t="s">
        <v>1422</v>
      </c>
      <c r="B2611" s="343" t="str">
        <f>"61.0217"</f>
        <v>61.0217</v>
      </c>
      <c r="C2611" s="75" t="s">
        <v>6164</v>
      </c>
      <c r="D2611" s="127" t="s">
        <v>6165</v>
      </c>
      <c r="E2611" s="232"/>
    </row>
    <row r="2612" spans="1:5" ht="14.55" customHeight="1" outlineLevel="1" x14ac:dyDescent="0.25">
      <c r="A2612" s="230" t="s">
        <v>1422</v>
      </c>
      <c r="B2612" s="343" t="str">
        <f>"61.0218"</f>
        <v>61.0218</v>
      </c>
      <c r="C2612" s="75" t="s">
        <v>6166</v>
      </c>
      <c r="D2612" s="127" t="s">
        <v>6167</v>
      </c>
      <c r="E2612" s="232"/>
    </row>
    <row r="2613" spans="1:5" ht="14.55" customHeight="1" outlineLevel="1" x14ac:dyDescent="0.25">
      <c r="A2613" s="230" t="s">
        <v>1422</v>
      </c>
      <c r="B2613" s="343" t="str">
        <f>"61.0299"</f>
        <v>61.0299</v>
      </c>
      <c r="C2613" s="75" t="s">
        <v>6168</v>
      </c>
      <c r="D2613" s="127" t="s">
        <v>6169</v>
      </c>
      <c r="E2613" s="232"/>
    </row>
    <row r="2614" spans="1:5" ht="14.55" customHeight="1" outlineLevel="1" x14ac:dyDescent="0.25">
      <c r="A2614" s="230" t="s">
        <v>1422</v>
      </c>
      <c r="B2614" s="343" t="str">
        <f>"61.03"</f>
        <v>61.03</v>
      </c>
      <c r="C2614" s="75" t="s">
        <v>6170</v>
      </c>
      <c r="D2614" s="127" t="s">
        <v>6171</v>
      </c>
      <c r="E2614" s="232"/>
    </row>
    <row r="2615" spans="1:5" ht="14.55" customHeight="1" outlineLevel="1" x14ac:dyDescent="0.25">
      <c r="A2615" s="230" t="s">
        <v>1422</v>
      </c>
      <c r="B2615" s="343" t="str">
        <f>"61.0301"</f>
        <v>61.0301</v>
      </c>
      <c r="C2615" s="75" t="s">
        <v>6172</v>
      </c>
      <c r="D2615" s="127" t="s">
        <v>6173</v>
      </c>
      <c r="E2615" s="232"/>
    </row>
    <row r="2616" spans="1:5" ht="14.55" customHeight="1" outlineLevel="1" x14ac:dyDescent="0.25">
      <c r="A2616" s="230" t="s">
        <v>1422</v>
      </c>
      <c r="B2616" s="343" t="str">
        <f>"61.0399"</f>
        <v>61.0399</v>
      </c>
      <c r="C2616" s="75" t="s">
        <v>6174</v>
      </c>
      <c r="D2616" s="127" t="s">
        <v>6175</v>
      </c>
      <c r="E2616" s="232"/>
    </row>
    <row r="2617" spans="1:5" ht="14.55" customHeight="1" outlineLevel="1" x14ac:dyDescent="0.25">
      <c r="A2617" s="230" t="s">
        <v>1422</v>
      </c>
      <c r="B2617" s="343" t="str">
        <f>"61.04"</f>
        <v>61.04</v>
      </c>
      <c r="C2617" s="75" t="s">
        <v>6176</v>
      </c>
      <c r="D2617" s="127" t="s">
        <v>6177</v>
      </c>
      <c r="E2617" s="232"/>
    </row>
    <row r="2618" spans="1:5" ht="14.55" customHeight="1" outlineLevel="1" x14ac:dyDescent="0.25">
      <c r="A2618" s="230" t="s">
        <v>1422</v>
      </c>
      <c r="B2618" s="343" t="str">
        <f>"61.0401"</f>
        <v>61.0401</v>
      </c>
      <c r="C2618" s="75" t="s">
        <v>6178</v>
      </c>
      <c r="D2618" s="127" t="s">
        <v>6179</v>
      </c>
      <c r="E2618" s="232"/>
    </row>
    <row r="2619" spans="1:5" ht="14.55" customHeight="1" outlineLevel="1" x14ac:dyDescent="0.25">
      <c r="A2619" s="230" t="s">
        <v>1422</v>
      </c>
      <c r="B2619" s="343" t="str">
        <f>"61.0499"</f>
        <v>61.0499</v>
      </c>
      <c r="C2619" s="75" t="s">
        <v>6180</v>
      </c>
      <c r="D2619" s="127" t="s">
        <v>6181</v>
      </c>
      <c r="E2619" s="232"/>
    </row>
    <row r="2620" spans="1:5" ht="14.55" customHeight="1" outlineLevel="1" x14ac:dyDescent="0.25">
      <c r="A2620" s="230" t="s">
        <v>1422</v>
      </c>
      <c r="B2620" s="343" t="str">
        <f>"61.05"</f>
        <v>61.05</v>
      </c>
      <c r="C2620" s="75" t="s">
        <v>6182</v>
      </c>
      <c r="D2620" s="127" t="s">
        <v>6183</v>
      </c>
      <c r="E2620" s="232"/>
    </row>
    <row r="2621" spans="1:5" ht="14.55" customHeight="1" outlineLevel="1" x14ac:dyDescent="0.25">
      <c r="A2621" s="230" t="s">
        <v>1422</v>
      </c>
      <c r="B2621" s="343" t="str">
        <f>"61.0501"</f>
        <v>61.0501</v>
      </c>
      <c r="C2621" s="75" t="s">
        <v>6184</v>
      </c>
      <c r="D2621" s="127" t="s">
        <v>6185</v>
      </c>
      <c r="E2621" s="232"/>
    </row>
    <row r="2622" spans="1:5" ht="14.55" customHeight="1" outlineLevel="1" x14ac:dyDescent="0.25">
      <c r="A2622" s="230" t="s">
        <v>1422</v>
      </c>
      <c r="B2622" s="343" t="str">
        <f>"61.0502"</f>
        <v>61.0502</v>
      </c>
      <c r="C2622" s="75" t="s">
        <v>6186</v>
      </c>
      <c r="D2622" s="127" t="s">
        <v>6187</v>
      </c>
      <c r="E2622" s="232"/>
    </row>
    <row r="2623" spans="1:5" ht="14.55" customHeight="1" outlineLevel="1" x14ac:dyDescent="0.25">
      <c r="A2623" s="230" t="s">
        <v>1422</v>
      </c>
      <c r="B2623" s="343" t="str">
        <f>"61.0503"</f>
        <v>61.0503</v>
      </c>
      <c r="C2623" s="75" t="s">
        <v>6188</v>
      </c>
      <c r="D2623" s="127" t="s">
        <v>6189</v>
      </c>
      <c r="E2623" s="232"/>
    </row>
    <row r="2624" spans="1:5" ht="14.55" customHeight="1" outlineLevel="1" x14ac:dyDescent="0.25">
      <c r="A2624" s="230" t="s">
        <v>1422</v>
      </c>
      <c r="B2624" s="343" t="str">
        <f>"61.0599"</f>
        <v>61.0599</v>
      </c>
      <c r="C2624" s="75" t="s">
        <v>6190</v>
      </c>
      <c r="D2624" s="127" t="s">
        <v>6191</v>
      </c>
      <c r="E2624" s="232"/>
    </row>
    <row r="2625" spans="1:5" ht="14.55" customHeight="1" outlineLevel="1" x14ac:dyDescent="0.25">
      <c r="A2625" s="230" t="s">
        <v>1422</v>
      </c>
      <c r="B2625" s="343" t="str">
        <f>"61.06"</f>
        <v>61.06</v>
      </c>
      <c r="C2625" s="75" t="s">
        <v>6192</v>
      </c>
      <c r="D2625" s="127" t="s">
        <v>6193</v>
      </c>
      <c r="E2625" s="232"/>
    </row>
    <row r="2626" spans="1:5" ht="14.55" customHeight="1" outlineLevel="1" x14ac:dyDescent="0.25">
      <c r="A2626" s="230" t="s">
        <v>1422</v>
      </c>
      <c r="B2626" s="343" t="str">
        <f>"61.0601"</f>
        <v>61.0601</v>
      </c>
      <c r="C2626" s="75" t="s">
        <v>6194</v>
      </c>
      <c r="D2626" s="127" t="s">
        <v>6195</v>
      </c>
      <c r="E2626" s="232"/>
    </row>
    <row r="2627" spans="1:5" ht="14.55" customHeight="1" outlineLevel="1" x14ac:dyDescent="0.25">
      <c r="A2627" s="230" t="s">
        <v>1422</v>
      </c>
      <c r="B2627" s="343" t="str">
        <f>"61.0602"</f>
        <v>61.0602</v>
      </c>
      <c r="C2627" s="75" t="s">
        <v>6196</v>
      </c>
      <c r="D2627" s="127" t="s">
        <v>6197</v>
      </c>
      <c r="E2627" s="232"/>
    </row>
    <row r="2628" spans="1:5" ht="14.55" customHeight="1" outlineLevel="1" x14ac:dyDescent="0.25">
      <c r="A2628" s="230" t="s">
        <v>1422</v>
      </c>
      <c r="B2628" s="343" t="str">
        <f>"61.0603"</f>
        <v>61.0603</v>
      </c>
      <c r="C2628" s="75" t="s">
        <v>6198</v>
      </c>
      <c r="D2628" s="127" t="s">
        <v>6199</v>
      </c>
      <c r="E2628" s="232"/>
    </row>
    <row r="2629" spans="1:5" ht="14.55" customHeight="1" outlineLevel="1" x14ac:dyDescent="0.25">
      <c r="A2629" s="230" t="s">
        <v>1422</v>
      </c>
      <c r="B2629" s="343" t="str">
        <f>"61.0699"</f>
        <v>61.0699</v>
      </c>
      <c r="C2629" s="75" t="s">
        <v>6200</v>
      </c>
      <c r="D2629" s="127" t="s">
        <v>6201</v>
      </c>
      <c r="E2629" s="232"/>
    </row>
    <row r="2630" spans="1:5" ht="14.55" customHeight="1" outlineLevel="1" x14ac:dyDescent="0.25">
      <c r="A2630" s="230" t="s">
        <v>1422</v>
      </c>
      <c r="B2630" s="343" t="str">
        <f>"61.07"</f>
        <v>61.07</v>
      </c>
      <c r="C2630" s="75" t="s">
        <v>6202</v>
      </c>
      <c r="D2630" s="127" t="s">
        <v>6203</v>
      </c>
      <c r="E2630" s="232"/>
    </row>
    <row r="2631" spans="1:5" ht="14.55" customHeight="1" outlineLevel="1" x14ac:dyDescent="0.25">
      <c r="A2631" s="230" t="s">
        <v>1422</v>
      </c>
      <c r="B2631" s="343" t="str">
        <f>"61.0701"</f>
        <v>61.0701</v>
      </c>
      <c r="C2631" s="75" t="s">
        <v>6204</v>
      </c>
      <c r="D2631" s="127" t="s">
        <v>6205</v>
      </c>
      <c r="E2631" s="232"/>
    </row>
    <row r="2632" spans="1:5" ht="14.55" customHeight="1" outlineLevel="1" x14ac:dyDescent="0.25">
      <c r="A2632" s="230" t="s">
        <v>1422</v>
      </c>
      <c r="B2632" s="343" t="str">
        <f>"61.0799"</f>
        <v>61.0799</v>
      </c>
      <c r="C2632" s="75" t="s">
        <v>6206</v>
      </c>
      <c r="D2632" s="127" t="s">
        <v>6207</v>
      </c>
      <c r="E2632" s="232"/>
    </row>
    <row r="2633" spans="1:5" ht="14.55" customHeight="1" outlineLevel="1" x14ac:dyDescent="0.25">
      <c r="A2633" s="230" t="s">
        <v>1422</v>
      </c>
      <c r="B2633" s="343" t="str">
        <f>"61.08"</f>
        <v>61.08</v>
      </c>
      <c r="C2633" s="75" t="s">
        <v>6208</v>
      </c>
      <c r="D2633" s="127" t="s">
        <v>6209</v>
      </c>
      <c r="E2633" s="232"/>
    </row>
    <row r="2634" spans="1:5" ht="14.55" customHeight="1" outlineLevel="1" x14ac:dyDescent="0.25">
      <c r="A2634" s="230" t="s">
        <v>1422</v>
      </c>
      <c r="B2634" s="343" t="str">
        <f>"61.0801"</f>
        <v>61.0801</v>
      </c>
      <c r="C2634" s="75" t="s">
        <v>6210</v>
      </c>
      <c r="D2634" s="127" t="s">
        <v>6211</v>
      </c>
      <c r="E2634" s="232"/>
    </row>
    <row r="2635" spans="1:5" ht="14.55" customHeight="1" outlineLevel="1" x14ac:dyDescent="0.25">
      <c r="A2635" s="230" t="s">
        <v>1422</v>
      </c>
      <c r="B2635" s="343" t="str">
        <f>"61.0804"</f>
        <v>61.0804</v>
      </c>
      <c r="C2635" s="75" t="s">
        <v>6212</v>
      </c>
      <c r="D2635" s="127" t="s">
        <v>6213</v>
      </c>
      <c r="E2635" s="232"/>
    </row>
    <row r="2636" spans="1:5" ht="14.55" customHeight="1" outlineLevel="1" x14ac:dyDescent="0.25">
      <c r="A2636" s="230" t="s">
        <v>1422</v>
      </c>
      <c r="B2636" s="343" t="str">
        <f>"61.0805"</f>
        <v>61.0805</v>
      </c>
      <c r="C2636" s="75" t="s">
        <v>6214</v>
      </c>
      <c r="D2636" s="127" t="s">
        <v>6215</v>
      </c>
      <c r="E2636" s="232"/>
    </row>
    <row r="2637" spans="1:5" ht="14.55" customHeight="1" outlineLevel="1" x14ac:dyDescent="0.25">
      <c r="A2637" s="230" t="s">
        <v>1422</v>
      </c>
      <c r="B2637" s="343" t="str">
        <f>"61.0806"</f>
        <v>61.0806</v>
      </c>
      <c r="C2637" s="75" t="s">
        <v>6216</v>
      </c>
      <c r="D2637" s="127" t="s">
        <v>6217</v>
      </c>
      <c r="E2637" s="232"/>
    </row>
    <row r="2638" spans="1:5" ht="14.55" customHeight="1" outlineLevel="1" x14ac:dyDescent="0.25">
      <c r="A2638" s="230" t="s">
        <v>1422</v>
      </c>
      <c r="B2638" s="343" t="str">
        <f>"61.0807"</f>
        <v>61.0807</v>
      </c>
      <c r="C2638" s="75" t="s">
        <v>6218</v>
      </c>
      <c r="D2638" s="127" t="s">
        <v>6219</v>
      </c>
      <c r="E2638" s="232"/>
    </row>
    <row r="2639" spans="1:5" ht="14.55" customHeight="1" outlineLevel="1" x14ac:dyDescent="0.25">
      <c r="A2639" s="230" t="s">
        <v>1422</v>
      </c>
      <c r="B2639" s="343" t="str">
        <f>"61.0808"</f>
        <v>61.0808</v>
      </c>
      <c r="C2639" s="75" t="s">
        <v>6220</v>
      </c>
      <c r="D2639" s="127" t="s">
        <v>6221</v>
      </c>
      <c r="E2639" s="232"/>
    </row>
    <row r="2640" spans="1:5" ht="14.55" customHeight="1" outlineLevel="1" x14ac:dyDescent="0.25">
      <c r="A2640" s="230" t="s">
        <v>1422</v>
      </c>
      <c r="B2640" s="343" t="str">
        <f>"61.0809"</f>
        <v>61.0809</v>
      </c>
      <c r="C2640" s="75" t="s">
        <v>6222</v>
      </c>
      <c r="D2640" s="127" t="s">
        <v>6223</v>
      </c>
      <c r="E2640" s="232"/>
    </row>
    <row r="2641" spans="1:5" ht="14.55" customHeight="1" outlineLevel="1" x14ac:dyDescent="0.25">
      <c r="A2641" s="230" t="s">
        <v>1422</v>
      </c>
      <c r="B2641" s="343" t="str">
        <f>"61.0810"</f>
        <v>61.0810</v>
      </c>
      <c r="C2641" s="75" t="s">
        <v>6224</v>
      </c>
      <c r="D2641" s="127" t="s">
        <v>6225</v>
      </c>
      <c r="E2641" s="232"/>
    </row>
    <row r="2642" spans="1:5" ht="14.55" customHeight="1" outlineLevel="1" x14ac:dyDescent="0.25">
      <c r="A2642" s="230" t="s">
        <v>1422</v>
      </c>
      <c r="B2642" s="343" t="str">
        <f>"61.0811"</f>
        <v>61.0811</v>
      </c>
      <c r="C2642" s="75" t="s">
        <v>6226</v>
      </c>
      <c r="D2642" s="127" t="s">
        <v>6227</v>
      </c>
      <c r="E2642" s="232"/>
    </row>
    <row r="2643" spans="1:5" ht="14.55" customHeight="1" outlineLevel="1" x14ac:dyDescent="0.25">
      <c r="A2643" s="230" t="s">
        <v>1422</v>
      </c>
      <c r="B2643" s="343" t="str">
        <f>"61.0812"</f>
        <v>61.0812</v>
      </c>
      <c r="C2643" s="75" t="s">
        <v>6228</v>
      </c>
      <c r="D2643" s="127" t="s">
        <v>6229</v>
      </c>
      <c r="E2643" s="232"/>
    </row>
    <row r="2644" spans="1:5" ht="14.55" customHeight="1" outlineLevel="1" x14ac:dyDescent="0.25">
      <c r="A2644" s="230" t="s">
        <v>1422</v>
      </c>
      <c r="B2644" s="343" t="str">
        <f>"61.0813"</f>
        <v>61.0813</v>
      </c>
      <c r="C2644" s="75" t="s">
        <v>6230</v>
      </c>
      <c r="D2644" s="127" t="s">
        <v>6231</v>
      </c>
      <c r="E2644" s="232"/>
    </row>
    <row r="2645" spans="1:5" ht="14.55" customHeight="1" outlineLevel="1" x14ac:dyDescent="0.25">
      <c r="A2645" s="230" t="s">
        <v>1422</v>
      </c>
      <c r="B2645" s="343" t="str">
        <f>"61.0814"</f>
        <v>61.0814</v>
      </c>
      <c r="C2645" s="75" t="s">
        <v>6232</v>
      </c>
      <c r="D2645" s="127" t="s">
        <v>6233</v>
      </c>
      <c r="E2645" s="232"/>
    </row>
    <row r="2646" spans="1:5" ht="14.55" customHeight="1" outlineLevel="1" x14ac:dyDescent="0.25">
      <c r="A2646" s="230" t="s">
        <v>1422</v>
      </c>
      <c r="B2646" s="343" t="str">
        <f>"61.0816"</f>
        <v>61.0816</v>
      </c>
      <c r="C2646" s="75" t="s">
        <v>6234</v>
      </c>
      <c r="D2646" s="127" t="s">
        <v>6235</v>
      </c>
      <c r="E2646" s="232"/>
    </row>
    <row r="2647" spans="1:5" ht="14.55" customHeight="1" outlineLevel="1" x14ac:dyDescent="0.25">
      <c r="A2647" s="230" t="s">
        <v>1422</v>
      </c>
      <c r="B2647" s="343" t="str">
        <f>"61.0818"</f>
        <v>61.0818</v>
      </c>
      <c r="C2647" s="75" t="s">
        <v>6236</v>
      </c>
      <c r="D2647" s="127" t="s">
        <v>6237</v>
      </c>
      <c r="E2647" s="232"/>
    </row>
    <row r="2648" spans="1:5" ht="14.55" customHeight="1" outlineLevel="1" x14ac:dyDescent="0.25">
      <c r="A2648" s="230" t="s">
        <v>1422</v>
      </c>
      <c r="B2648" s="343" t="str">
        <f>"61.0899"</f>
        <v>61.0899</v>
      </c>
      <c r="C2648" s="75" t="s">
        <v>6238</v>
      </c>
      <c r="D2648" s="127" t="s">
        <v>6239</v>
      </c>
      <c r="E2648" s="232"/>
    </row>
    <row r="2649" spans="1:5" ht="14.55" customHeight="1" outlineLevel="1" x14ac:dyDescent="0.25">
      <c r="A2649" s="230" t="s">
        <v>1422</v>
      </c>
      <c r="B2649" s="343" t="str">
        <f>"61.09"</f>
        <v>61.09</v>
      </c>
      <c r="C2649" s="75" t="s">
        <v>6240</v>
      </c>
      <c r="D2649" s="127" t="s">
        <v>6241</v>
      </c>
      <c r="E2649" s="232"/>
    </row>
    <row r="2650" spans="1:5" ht="14.55" customHeight="1" outlineLevel="1" x14ac:dyDescent="0.25">
      <c r="A2650" s="230" t="s">
        <v>1422</v>
      </c>
      <c r="B2650" s="343" t="str">
        <f>"61.0901"</f>
        <v>61.0901</v>
      </c>
      <c r="C2650" s="75" t="s">
        <v>6242</v>
      </c>
      <c r="D2650" s="127" t="s">
        <v>6243</v>
      </c>
      <c r="E2650" s="232"/>
    </row>
    <row r="2651" spans="1:5" ht="14.55" customHeight="1" outlineLevel="1" x14ac:dyDescent="0.25">
      <c r="A2651" s="230" t="s">
        <v>1422</v>
      </c>
      <c r="B2651" s="343" t="str">
        <f>"61.0902"</f>
        <v>61.0902</v>
      </c>
      <c r="C2651" s="75" t="s">
        <v>6244</v>
      </c>
      <c r="D2651" s="127" t="s">
        <v>6245</v>
      </c>
      <c r="E2651" s="232"/>
    </row>
    <row r="2652" spans="1:5" ht="14.55" customHeight="1" outlineLevel="1" x14ac:dyDescent="0.25">
      <c r="A2652" s="230" t="s">
        <v>1422</v>
      </c>
      <c r="B2652" s="343" t="str">
        <f>"61.0903"</f>
        <v>61.0903</v>
      </c>
      <c r="C2652" s="75" t="s">
        <v>6246</v>
      </c>
      <c r="D2652" s="127" t="s">
        <v>6247</v>
      </c>
      <c r="E2652" s="232"/>
    </row>
    <row r="2653" spans="1:5" ht="14.55" customHeight="1" outlineLevel="1" x14ac:dyDescent="0.25">
      <c r="A2653" s="230" t="s">
        <v>1422</v>
      </c>
      <c r="B2653" s="343" t="str">
        <f>"61.0904"</f>
        <v>61.0904</v>
      </c>
      <c r="C2653" s="75" t="s">
        <v>6248</v>
      </c>
      <c r="D2653" s="127" t="s">
        <v>6249</v>
      </c>
      <c r="E2653" s="232"/>
    </row>
    <row r="2654" spans="1:5" ht="14.55" customHeight="1" outlineLevel="1" x14ac:dyDescent="0.25">
      <c r="A2654" s="230" t="s">
        <v>1422</v>
      </c>
      <c r="B2654" s="343" t="str">
        <f>"61.0999"</f>
        <v>61.0999</v>
      </c>
      <c r="C2654" s="75" t="s">
        <v>6250</v>
      </c>
      <c r="D2654" s="127" t="s">
        <v>6251</v>
      </c>
      <c r="E2654" s="232"/>
    </row>
    <row r="2655" spans="1:5" ht="14.55" customHeight="1" outlineLevel="1" x14ac:dyDescent="0.25">
      <c r="A2655" s="230" t="s">
        <v>1422</v>
      </c>
      <c r="B2655" s="343" t="str">
        <f>"61.10"</f>
        <v>61.10</v>
      </c>
      <c r="C2655" s="75" t="s">
        <v>6252</v>
      </c>
      <c r="D2655" s="127" t="s">
        <v>6253</v>
      </c>
      <c r="E2655" s="232"/>
    </row>
    <row r="2656" spans="1:5" ht="14.55" customHeight="1" outlineLevel="1" x14ac:dyDescent="0.25">
      <c r="A2656" s="230" t="s">
        <v>1422</v>
      </c>
      <c r="B2656" s="343" t="str">
        <f>"61.1001"</f>
        <v>61.1001</v>
      </c>
      <c r="C2656" s="75" t="s">
        <v>6254</v>
      </c>
      <c r="D2656" s="127" t="s">
        <v>6255</v>
      </c>
      <c r="E2656" s="232"/>
    </row>
    <row r="2657" spans="1:5" ht="14.55" customHeight="1" outlineLevel="1" x14ac:dyDescent="0.25">
      <c r="A2657" s="230" t="s">
        <v>1422</v>
      </c>
      <c r="B2657" s="343" t="str">
        <f>"61.1099"</f>
        <v>61.1099</v>
      </c>
      <c r="C2657" s="75" t="s">
        <v>6256</v>
      </c>
      <c r="D2657" s="127" t="s">
        <v>6257</v>
      </c>
      <c r="E2657" s="232"/>
    </row>
    <row r="2658" spans="1:5" ht="14.55" customHeight="1" outlineLevel="1" x14ac:dyDescent="0.25">
      <c r="A2658" s="230" t="s">
        <v>1422</v>
      </c>
      <c r="B2658" s="343" t="str">
        <f>"61.11"</f>
        <v>61.11</v>
      </c>
      <c r="C2658" s="75" t="s">
        <v>6258</v>
      </c>
      <c r="D2658" s="127" t="s">
        <v>6259</v>
      </c>
      <c r="E2658" s="232"/>
    </row>
    <row r="2659" spans="1:5" ht="14.55" customHeight="1" outlineLevel="1" x14ac:dyDescent="0.25">
      <c r="A2659" s="230" t="s">
        <v>1422</v>
      </c>
      <c r="B2659" s="343" t="str">
        <f>"61.1101"</f>
        <v>61.1101</v>
      </c>
      <c r="C2659" s="75" t="s">
        <v>6260</v>
      </c>
      <c r="D2659" s="127" t="s">
        <v>6261</v>
      </c>
      <c r="E2659" s="232"/>
    </row>
    <row r="2660" spans="1:5" ht="14.55" customHeight="1" outlineLevel="1" x14ac:dyDescent="0.25">
      <c r="A2660" s="230" t="s">
        <v>1422</v>
      </c>
      <c r="B2660" s="343" t="str">
        <f>"61.1102"</f>
        <v>61.1102</v>
      </c>
      <c r="C2660" s="75" t="s">
        <v>6262</v>
      </c>
      <c r="D2660" s="127" t="s">
        <v>6263</v>
      </c>
      <c r="E2660" s="232"/>
    </row>
    <row r="2661" spans="1:5" ht="14.55" customHeight="1" outlineLevel="1" x14ac:dyDescent="0.25">
      <c r="A2661" s="230" t="s">
        <v>1422</v>
      </c>
      <c r="B2661" s="343" t="str">
        <f>"61.1103"</f>
        <v>61.1103</v>
      </c>
      <c r="C2661" s="75" t="s">
        <v>6264</v>
      </c>
      <c r="D2661" s="127" t="s">
        <v>6265</v>
      </c>
      <c r="E2661" s="232"/>
    </row>
    <row r="2662" spans="1:5" ht="14.55" customHeight="1" outlineLevel="1" x14ac:dyDescent="0.25">
      <c r="A2662" s="230" t="s">
        <v>1422</v>
      </c>
      <c r="B2662" s="343" t="str">
        <f>"61.1104"</f>
        <v>61.1104</v>
      </c>
      <c r="C2662" s="75" t="s">
        <v>6266</v>
      </c>
      <c r="D2662" s="127" t="s">
        <v>6267</v>
      </c>
      <c r="E2662" s="232"/>
    </row>
    <row r="2663" spans="1:5" ht="14.55" customHeight="1" outlineLevel="1" x14ac:dyDescent="0.25">
      <c r="A2663" s="230" t="s">
        <v>1422</v>
      </c>
      <c r="B2663" s="343" t="str">
        <f>"61.1105"</f>
        <v>61.1105</v>
      </c>
      <c r="C2663" s="75" t="s">
        <v>6268</v>
      </c>
      <c r="D2663" s="127" t="s">
        <v>6269</v>
      </c>
      <c r="E2663" s="232"/>
    </row>
    <row r="2664" spans="1:5" ht="14.55" customHeight="1" outlineLevel="1" x14ac:dyDescent="0.25">
      <c r="A2664" s="230" t="s">
        <v>1422</v>
      </c>
      <c r="B2664" s="343" t="str">
        <f>"61.1106"</f>
        <v>61.1106</v>
      </c>
      <c r="C2664" s="75" t="s">
        <v>6270</v>
      </c>
      <c r="D2664" s="127" t="s">
        <v>6271</v>
      </c>
      <c r="E2664" s="232"/>
    </row>
    <row r="2665" spans="1:5" ht="14.55" customHeight="1" outlineLevel="1" x14ac:dyDescent="0.25">
      <c r="A2665" s="230" t="s">
        <v>1422</v>
      </c>
      <c r="B2665" s="343" t="str">
        <f>"61.1107"</f>
        <v>61.1107</v>
      </c>
      <c r="C2665" s="75" t="s">
        <v>6272</v>
      </c>
      <c r="D2665" s="127" t="s">
        <v>6273</v>
      </c>
      <c r="E2665" s="232"/>
    </row>
    <row r="2666" spans="1:5" ht="14.55" customHeight="1" outlineLevel="1" x14ac:dyDescent="0.25">
      <c r="A2666" s="230" t="s">
        <v>1422</v>
      </c>
      <c r="B2666" s="343" t="str">
        <f>"61.1199"</f>
        <v>61.1199</v>
      </c>
      <c r="C2666" s="75" t="s">
        <v>6274</v>
      </c>
      <c r="D2666" s="127" t="s">
        <v>6275</v>
      </c>
      <c r="E2666" s="232"/>
    </row>
    <row r="2667" spans="1:5" ht="14.55" customHeight="1" outlineLevel="1" x14ac:dyDescent="0.25">
      <c r="A2667" s="230" t="s">
        <v>1422</v>
      </c>
      <c r="B2667" s="343" t="str">
        <f>"61.12"</f>
        <v>61.12</v>
      </c>
      <c r="C2667" s="75" t="s">
        <v>6276</v>
      </c>
      <c r="D2667" s="127" t="s">
        <v>6277</v>
      </c>
      <c r="E2667" s="232"/>
    </row>
    <row r="2668" spans="1:5" ht="14.55" customHeight="1" outlineLevel="1" x14ac:dyDescent="0.25">
      <c r="A2668" s="230" t="s">
        <v>1422</v>
      </c>
      <c r="B2668" s="343" t="str">
        <f>"61.1201"</f>
        <v>61.1201</v>
      </c>
      <c r="C2668" s="75" t="s">
        <v>6278</v>
      </c>
      <c r="D2668" s="127" t="s">
        <v>6279</v>
      </c>
      <c r="E2668" s="232"/>
    </row>
    <row r="2669" spans="1:5" ht="14.55" customHeight="1" outlineLevel="1" x14ac:dyDescent="0.25">
      <c r="A2669" s="230" t="s">
        <v>1422</v>
      </c>
      <c r="B2669" s="343" t="str">
        <f>"61.1299"</f>
        <v>61.1299</v>
      </c>
      <c r="C2669" s="75" t="s">
        <v>6280</v>
      </c>
      <c r="D2669" s="127" t="s">
        <v>6281</v>
      </c>
      <c r="E2669" s="232"/>
    </row>
    <row r="2670" spans="1:5" ht="14.55" customHeight="1" outlineLevel="1" x14ac:dyDescent="0.25">
      <c r="A2670" s="230" t="s">
        <v>1422</v>
      </c>
      <c r="B2670" s="343" t="str">
        <f>"61.13"</f>
        <v>61.13</v>
      </c>
      <c r="C2670" s="75" t="s">
        <v>6282</v>
      </c>
      <c r="D2670" s="127" t="s">
        <v>6283</v>
      </c>
      <c r="E2670" s="232"/>
    </row>
    <row r="2671" spans="1:5" ht="14.55" customHeight="1" outlineLevel="1" x14ac:dyDescent="0.25">
      <c r="A2671" s="230" t="s">
        <v>1422</v>
      </c>
      <c r="B2671" s="343" t="str">
        <f>"61.1301"</f>
        <v>61.1301</v>
      </c>
      <c r="C2671" s="75" t="s">
        <v>6284</v>
      </c>
      <c r="D2671" s="127" t="s">
        <v>6285</v>
      </c>
      <c r="E2671" s="232"/>
    </row>
    <row r="2672" spans="1:5" ht="14.55" customHeight="1" outlineLevel="1" x14ac:dyDescent="0.25">
      <c r="A2672" s="230" t="s">
        <v>1422</v>
      </c>
      <c r="B2672" s="343" t="str">
        <f>"61.1302"</f>
        <v>61.1302</v>
      </c>
      <c r="C2672" s="75" t="s">
        <v>6286</v>
      </c>
      <c r="D2672" s="127" t="s">
        <v>6287</v>
      </c>
      <c r="E2672" s="232"/>
    </row>
    <row r="2673" spans="1:5" ht="14.55" customHeight="1" outlineLevel="1" x14ac:dyDescent="0.25">
      <c r="A2673" s="230" t="s">
        <v>1422</v>
      </c>
      <c r="B2673" s="343" t="str">
        <f>"61.1303"</f>
        <v>61.1303</v>
      </c>
      <c r="C2673" s="75" t="s">
        <v>6288</v>
      </c>
      <c r="D2673" s="127" t="s">
        <v>6289</v>
      </c>
      <c r="E2673" s="232"/>
    </row>
    <row r="2674" spans="1:5" ht="14.55" customHeight="1" outlineLevel="1" x14ac:dyDescent="0.25">
      <c r="A2674" s="230" t="s">
        <v>1422</v>
      </c>
      <c r="B2674" s="343" t="str">
        <f>"61.1304"</f>
        <v>61.1304</v>
      </c>
      <c r="C2674" s="75" t="s">
        <v>6290</v>
      </c>
      <c r="D2674" s="127" t="s">
        <v>6291</v>
      </c>
      <c r="E2674" s="232"/>
    </row>
    <row r="2675" spans="1:5" ht="14.55" customHeight="1" outlineLevel="1" x14ac:dyDescent="0.25">
      <c r="A2675" s="230" t="s">
        <v>1422</v>
      </c>
      <c r="B2675" s="343" t="str">
        <f>"61.1399"</f>
        <v>61.1399</v>
      </c>
      <c r="C2675" s="75" t="s">
        <v>6292</v>
      </c>
      <c r="D2675" s="127" t="s">
        <v>6293</v>
      </c>
      <c r="E2675" s="232"/>
    </row>
    <row r="2676" spans="1:5" ht="14.55" customHeight="1" outlineLevel="1" x14ac:dyDescent="0.25">
      <c r="A2676" s="230" t="s">
        <v>1422</v>
      </c>
      <c r="B2676" s="343" t="str">
        <f>"61.14"</f>
        <v>61.14</v>
      </c>
      <c r="C2676" s="75" t="s">
        <v>6294</v>
      </c>
      <c r="D2676" s="127" t="s">
        <v>6295</v>
      </c>
      <c r="E2676" s="232"/>
    </row>
    <row r="2677" spans="1:5" ht="14.55" customHeight="1" outlineLevel="1" x14ac:dyDescent="0.25">
      <c r="A2677" s="230" t="s">
        <v>1422</v>
      </c>
      <c r="B2677" s="343" t="str">
        <f>"61.1401"</f>
        <v>61.1401</v>
      </c>
      <c r="C2677" s="75" t="s">
        <v>6296</v>
      </c>
      <c r="D2677" s="127" t="s">
        <v>6297</v>
      </c>
      <c r="E2677" s="232"/>
    </row>
    <row r="2678" spans="1:5" ht="14.55" customHeight="1" outlineLevel="1" x14ac:dyDescent="0.25">
      <c r="A2678" s="230" t="s">
        <v>1422</v>
      </c>
      <c r="B2678" s="343" t="str">
        <f>"61.1499"</f>
        <v>61.1499</v>
      </c>
      <c r="C2678" s="75" t="s">
        <v>6298</v>
      </c>
      <c r="D2678" s="127" t="s">
        <v>6299</v>
      </c>
      <c r="E2678" s="232"/>
    </row>
    <row r="2679" spans="1:5" ht="14.55" customHeight="1" outlineLevel="1" x14ac:dyDescent="0.25">
      <c r="A2679" s="230" t="s">
        <v>1422</v>
      </c>
      <c r="B2679" s="343" t="str">
        <f>"61.15"</f>
        <v>61.15</v>
      </c>
      <c r="C2679" s="75" t="s">
        <v>6300</v>
      </c>
      <c r="D2679" s="127" t="s">
        <v>6301</v>
      </c>
      <c r="E2679" s="232"/>
    </row>
    <row r="2680" spans="1:5" ht="14.55" customHeight="1" outlineLevel="1" x14ac:dyDescent="0.25">
      <c r="A2680" s="230" t="s">
        <v>1422</v>
      </c>
      <c r="B2680" s="343" t="str">
        <f>"61.1501"</f>
        <v>61.1501</v>
      </c>
      <c r="C2680" s="75" t="s">
        <v>6302</v>
      </c>
      <c r="D2680" s="127" t="s">
        <v>6303</v>
      </c>
      <c r="E2680" s="232"/>
    </row>
    <row r="2681" spans="1:5" ht="14.55" customHeight="1" outlineLevel="1" x14ac:dyDescent="0.25">
      <c r="A2681" s="230" t="s">
        <v>1422</v>
      </c>
      <c r="B2681" s="343" t="str">
        <f>"61.1502"</f>
        <v>61.1502</v>
      </c>
      <c r="C2681" s="75" t="s">
        <v>6304</v>
      </c>
      <c r="D2681" s="127" t="s">
        <v>6305</v>
      </c>
      <c r="E2681" s="232"/>
    </row>
    <row r="2682" spans="1:5" ht="14.55" customHeight="1" outlineLevel="1" x14ac:dyDescent="0.25">
      <c r="A2682" s="230" t="s">
        <v>1422</v>
      </c>
      <c r="B2682" s="343" t="str">
        <f>"61.1503"</f>
        <v>61.1503</v>
      </c>
      <c r="C2682" s="75" t="s">
        <v>6306</v>
      </c>
      <c r="D2682" s="127" t="s">
        <v>6307</v>
      </c>
      <c r="E2682" s="232"/>
    </row>
    <row r="2683" spans="1:5" ht="14.55" customHeight="1" outlineLevel="1" x14ac:dyDescent="0.25">
      <c r="A2683" s="230" t="s">
        <v>1422</v>
      </c>
      <c r="B2683" s="343" t="str">
        <f>"61.1504"</f>
        <v>61.1504</v>
      </c>
      <c r="C2683" s="75" t="s">
        <v>6308</v>
      </c>
      <c r="D2683" s="127" t="s">
        <v>6309</v>
      </c>
      <c r="E2683" s="232"/>
    </row>
    <row r="2684" spans="1:5" ht="14.55" customHeight="1" outlineLevel="1" x14ac:dyDescent="0.25">
      <c r="A2684" s="230" t="s">
        <v>1422</v>
      </c>
      <c r="B2684" s="343" t="str">
        <f>"61.1505"</f>
        <v>61.1505</v>
      </c>
      <c r="C2684" s="75" t="s">
        <v>6310</v>
      </c>
      <c r="D2684" s="127" t="s">
        <v>6311</v>
      </c>
      <c r="E2684" s="232"/>
    </row>
    <row r="2685" spans="1:5" ht="14.55" customHeight="1" outlineLevel="1" x14ac:dyDescent="0.25">
      <c r="A2685" s="230" t="s">
        <v>1422</v>
      </c>
      <c r="B2685" s="343" t="str">
        <f>"61.1599"</f>
        <v>61.1599</v>
      </c>
      <c r="C2685" s="75" t="s">
        <v>6312</v>
      </c>
      <c r="D2685" s="127" t="s">
        <v>6313</v>
      </c>
      <c r="E2685" s="232"/>
    </row>
    <row r="2686" spans="1:5" ht="14.55" customHeight="1" outlineLevel="1" x14ac:dyDescent="0.25">
      <c r="A2686" s="230" t="s">
        <v>1422</v>
      </c>
      <c r="B2686" s="343" t="str">
        <f>"61.16"</f>
        <v>61.16</v>
      </c>
      <c r="C2686" s="75" t="s">
        <v>6314</v>
      </c>
      <c r="D2686" s="127" t="s">
        <v>6315</v>
      </c>
      <c r="E2686" s="232"/>
    </row>
    <row r="2687" spans="1:5" ht="14.55" customHeight="1" outlineLevel="1" x14ac:dyDescent="0.25">
      <c r="A2687" s="230" t="s">
        <v>1422</v>
      </c>
      <c r="B2687" s="343" t="str">
        <f>"61.1601"</f>
        <v>61.1601</v>
      </c>
      <c r="C2687" s="75" t="s">
        <v>6316</v>
      </c>
      <c r="D2687" s="127" t="s">
        <v>6317</v>
      </c>
      <c r="E2687" s="232"/>
    </row>
    <row r="2688" spans="1:5" ht="14.55" customHeight="1" outlineLevel="1" x14ac:dyDescent="0.25">
      <c r="A2688" s="230" t="s">
        <v>1422</v>
      </c>
      <c r="B2688" s="343" t="str">
        <f>"61.1699"</f>
        <v>61.1699</v>
      </c>
      <c r="C2688" s="75" t="s">
        <v>6318</v>
      </c>
      <c r="D2688" s="127" t="s">
        <v>6319</v>
      </c>
      <c r="E2688" s="232"/>
    </row>
    <row r="2689" spans="1:5" ht="14.55" customHeight="1" outlineLevel="1" x14ac:dyDescent="0.25">
      <c r="A2689" s="230" t="s">
        <v>1422</v>
      </c>
      <c r="B2689" s="343" t="str">
        <f>"61.17"</f>
        <v>61.17</v>
      </c>
      <c r="C2689" s="75" t="s">
        <v>6320</v>
      </c>
      <c r="D2689" s="127" t="s">
        <v>6321</v>
      </c>
      <c r="E2689" s="232"/>
    </row>
    <row r="2690" spans="1:5" ht="14.55" customHeight="1" outlineLevel="1" x14ac:dyDescent="0.25">
      <c r="A2690" s="230" t="s">
        <v>1422</v>
      </c>
      <c r="B2690" s="343" t="str">
        <f>"61.1701"</f>
        <v>61.1701</v>
      </c>
      <c r="C2690" s="75" t="s">
        <v>6322</v>
      </c>
      <c r="D2690" s="127" t="s">
        <v>6323</v>
      </c>
      <c r="E2690" s="232"/>
    </row>
    <row r="2691" spans="1:5" ht="14.55" customHeight="1" outlineLevel="1" x14ac:dyDescent="0.25">
      <c r="A2691" s="230" t="s">
        <v>1422</v>
      </c>
      <c r="B2691" s="343" t="str">
        <f>"61.1702"</f>
        <v>61.1702</v>
      </c>
      <c r="C2691" s="75" t="s">
        <v>6324</v>
      </c>
      <c r="D2691" s="127" t="s">
        <v>6325</v>
      </c>
      <c r="E2691" s="232"/>
    </row>
    <row r="2692" spans="1:5" ht="14.55" customHeight="1" outlineLevel="1" x14ac:dyDescent="0.25">
      <c r="A2692" s="230" t="s">
        <v>1422</v>
      </c>
      <c r="B2692" s="343" t="str">
        <f>"61.1703"</f>
        <v>61.1703</v>
      </c>
      <c r="C2692" s="75" t="s">
        <v>6326</v>
      </c>
      <c r="D2692" s="127" t="s">
        <v>6327</v>
      </c>
      <c r="E2692" s="232"/>
    </row>
    <row r="2693" spans="1:5" ht="14.55" customHeight="1" outlineLevel="1" x14ac:dyDescent="0.25">
      <c r="A2693" s="230" t="s">
        <v>1422</v>
      </c>
      <c r="B2693" s="343" t="str">
        <f>"61.1799"</f>
        <v>61.1799</v>
      </c>
      <c r="C2693" s="75" t="s">
        <v>6328</v>
      </c>
      <c r="D2693" s="127" t="s">
        <v>6329</v>
      </c>
      <c r="E2693" s="232"/>
    </row>
    <row r="2694" spans="1:5" ht="14.55" customHeight="1" outlineLevel="1" x14ac:dyDescent="0.25">
      <c r="A2694" s="230" t="s">
        <v>1422</v>
      </c>
      <c r="B2694" s="343" t="str">
        <f>"61.18"</f>
        <v>61.18</v>
      </c>
      <c r="C2694" s="75" t="s">
        <v>6330</v>
      </c>
      <c r="D2694" s="127" t="s">
        <v>6331</v>
      </c>
      <c r="E2694" s="232"/>
    </row>
    <row r="2695" spans="1:5" ht="14.55" customHeight="1" outlineLevel="1" x14ac:dyDescent="0.25">
      <c r="A2695" s="230" t="s">
        <v>1422</v>
      </c>
      <c r="B2695" s="343" t="str">
        <f>"61.1801"</f>
        <v>61.1801</v>
      </c>
      <c r="C2695" s="75" t="s">
        <v>6332</v>
      </c>
      <c r="D2695" s="127" t="s">
        <v>6333</v>
      </c>
      <c r="E2695" s="232"/>
    </row>
    <row r="2696" spans="1:5" ht="14.55" customHeight="1" outlineLevel="1" x14ac:dyDescent="0.25">
      <c r="A2696" s="230" t="s">
        <v>1422</v>
      </c>
      <c r="B2696" s="343" t="str">
        <f>"61.1802"</f>
        <v>61.1802</v>
      </c>
      <c r="C2696" s="75" t="s">
        <v>6334</v>
      </c>
      <c r="D2696" s="127" t="s">
        <v>6335</v>
      </c>
      <c r="E2696" s="232"/>
    </row>
    <row r="2697" spans="1:5" ht="14.55" customHeight="1" outlineLevel="1" x14ac:dyDescent="0.25">
      <c r="A2697" s="230" t="s">
        <v>1422</v>
      </c>
      <c r="B2697" s="343" t="str">
        <f>"61.1803"</f>
        <v>61.1803</v>
      </c>
      <c r="C2697" s="75" t="s">
        <v>6336</v>
      </c>
      <c r="D2697" s="127" t="s">
        <v>6337</v>
      </c>
      <c r="E2697" s="232"/>
    </row>
    <row r="2698" spans="1:5" ht="14.55" customHeight="1" outlineLevel="1" x14ac:dyDescent="0.25">
      <c r="A2698" s="230" t="s">
        <v>1422</v>
      </c>
      <c r="B2698" s="343" t="str">
        <f>"61.1804"</f>
        <v>61.1804</v>
      </c>
      <c r="C2698" s="75" t="s">
        <v>6338</v>
      </c>
      <c r="D2698" s="127" t="s">
        <v>6339</v>
      </c>
      <c r="E2698" s="232"/>
    </row>
    <row r="2699" spans="1:5" ht="14.55" customHeight="1" outlineLevel="1" x14ac:dyDescent="0.25">
      <c r="A2699" s="230" t="s">
        <v>1422</v>
      </c>
      <c r="B2699" s="343" t="str">
        <f>"61.1805"</f>
        <v>61.1805</v>
      </c>
      <c r="C2699" s="75" t="s">
        <v>6340</v>
      </c>
      <c r="D2699" s="127" t="s">
        <v>6341</v>
      </c>
      <c r="E2699" s="232"/>
    </row>
    <row r="2700" spans="1:5" ht="14.55" customHeight="1" outlineLevel="1" x14ac:dyDescent="0.25">
      <c r="A2700" s="230" t="s">
        <v>1422</v>
      </c>
      <c r="B2700" s="343" t="str">
        <f>"61.1806"</f>
        <v>61.1806</v>
      </c>
      <c r="C2700" s="75" t="s">
        <v>6342</v>
      </c>
      <c r="D2700" s="127" t="s">
        <v>6343</v>
      </c>
      <c r="E2700" s="232"/>
    </row>
    <row r="2701" spans="1:5" ht="14.55" customHeight="1" outlineLevel="1" x14ac:dyDescent="0.25">
      <c r="A2701" s="230" t="s">
        <v>1422</v>
      </c>
      <c r="B2701" s="343" t="str">
        <f>"61.1807"</f>
        <v>61.1807</v>
      </c>
      <c r="C2701" s="75" t="s">
        <v>6344</v>
      </c>
      <c r="D2701" s="127" t="s">
        <v>6345</v>
      </c>
      <c r="E2701" s="232"/>
    </row>
    <row r="2702" spans="1:5" ht="14.55" customHeight="1" outlineLevel="1" x14ac:dyDescent="0.25">
      <c r="A2702" s="230" t="s">
        <v>1422</v>
      </c>
      <c r="B2702" s="343" t="str">
        <f>"61.1808"</f>
        <v>61.1808</v>
      </c>
      <c r="C2702" s="75" t="s">
        <v>6346</v>
      </c>
      <c r="D2702" s="127" t="s">
        <v>6347</v>
      </c>
      <c r="E2702" s="232"/>
    </row>
    <row r="2703" spans="1:5" ht="14.55" customHeight="1" outlineLevel="1" x14ac:dyDescent="0.25">
      <c r="A2703" s="230" t="s">
        <v>1422</v>
      </c>
      <c r="B2703" s="343" t="str">
        <f>"61.1809"</f>
        <v>61.1809</v>
      </c>
      <c r="C2703" s="75" t="s">
        <v>6348</v>
      </c>
      <c r="D2703" s="127" t="s">
        <v>6349</v>
      </c>
      <c r="E2703" s="232"/>
    </row>
    <row r="2704" spans="1:5" ht="14.55" customHeight="1" outlineLevel="1" x14ac:dyDescent="0.25">
      <c r="A2704" s="230" t="s">
        <v>1422</v>
      </c>
      <c r="B2704" s="343" t="str">
        <f>"61.1810"</f>
        <v>61.1810</v>
      </c>
      <c r="C2704" s="75" t="s">
        <v>6350</v>
      </c>
      <c r="D2704" s="127" t="s">
        <v>6351</v>
      </c>
      <c r="E2704" s="232"/>
    </row>
    <row r="2705" spans="1:5" ht="14.55" customHeight="1" outlineLevel="1" x14ac:dyDescent="0.25">
      <c r="A2705" s="230" t="s">
        <v>1422</v>
      </c>
      <c r="B2705" s="343" t="str">
        <f>"61.1811"</f>
        <v>61.1811</v>
      </c>
      <c r="C2705" s="75" t="s">
        <v>6352</v>
      </c>
      <c r="D2705" s="127" t="s">
        <v>6353</v>
      </c>
      <c r="E2705" s="232"/>
    </row>
    <row r="2706" spans="1:5" ht="14.55" customHeight="1" outlineLevel="1" x14ac:dyDescent="0.25">
      <c r="A2706" s="230" t="s">
        <v>1422</v>
      </c>
      <c r="B2706" s="343" t="str">
        <f>"61.1812"</f>
        <v>61.1812</v>
      </c>
      <c r="C2706" s="75" t="s">
        <v>6354</v>
      </c>
      <c r="D2706" s="127" t="s">
        <v>6355</v>
      </c>
      <c r="E2706" s="232"/>
    </row>
    <row r="2707" spans="1:5" ht="14.55" customHeight="1" outlineLevel="1" x14ac:dyDescent="0.25">
      <c r="A2707" s="230" t="s">
        <v>1422</v>
      </c>
      <c r="B2707" s="343" t="str">
        <f>"61.1813"</f>
        <v>61.1813</v>
      </c>
      <c r="C2707" s="75" t="s">
        <v>6356</v>
      </c>
      <c r="D2707" s="127" t="s">
        <v>6357</v>
      </c>
      <c r="E2707" s="232"/>
    </row>
    <row r="2708" spans="1:5" ht="14.55" customHeight="1" outlineLevel="1" x14ac:dyDescent="0.25">
      <c r="A2708" s="230" t="s">
        <v>1422</v>
      </c>
      <c r="B2708" s="343" t="str">
        <f>"61.1814"</f>
        <v>61.1814</v>
      </c>
      <c r="C2708" s="75" t="s">
        <v>6358</v>
      </c>
      <c r="D2708" s="127" t="s">
        <v>6359</v>
      </c>
      <c r="E2708" s="232"/>
    </row>
    <row r="2709" spans="1:5" ht="14.55" customHeight="1" outlineLevel="1" x14ac:dyDescent="0.25">
      <c r="A2709" s="230" t="s">
        <v>1422</v>
      </c>
      <c r="B2709" s="343" t="str">
        <f>"61.1815"</f>
        <v>61.1815</v>
      </c>
      <c r="C2709" s="75" t="s">
        <v>6360</v>
      </c>
      <c r="D2709" s="127" t="s">
        <v>6361</v>
      </c>
      <c r="E2709" s="232"/>
    </row>
    <row r="2710" spans="1:5" ht="14.55" customHeight="1" outlineLevel="1" x14ac:dyDescent="0.25">
      <c r="A2710" s="230" t="s">
        <v>1422</v>
      </c>
      <c r="B2710" s="343" t="str">
        <f>"61.1899"</f>
        <v>61.1899</v>
      </c>
      <c r="C2710" s="75" t="s">
        <v>6362</v>
      </c>
      <c r="D2710" s="127" t="s">
        <v>6363</v>
      </c>
      <c r="E2710" s="232"/>
    </row>
    <row r="2711" spans="1:5" ht="14.55" customHeight="1" outlineLevel="1" x14ac:dyDescent="0.25">
      <c r="A2711" s="230" t="s">
        <v>1422</v>
      </c>
      <c r="B2711" s="343" t="str">
        <f>"61.19"</f>
        <v>61.19</v>
      </c>
      <c r="C2711" s="75" t="s">
        <v>6364</v>
      </c>
      <c r="D2711" s="127" t="s">
        <v>6365</v>
      </c>
      <c r="E2711" s="232"/>
    </row>
    <row r="2712" spans="1:5" ht="14.55" customHeight="1" outlineLevel="1" x14ac:dyDescent="0.25">
      <c r="A2712" s="230" t="s">
        <v>1422</v>
      </c>
      <c r="B2712" s="343" t="str">
        <f>"61.1901"</f>
        <v>61.1901</v>
      </c>
      <c r="C2712" s="75" t="s">
        <v>6366</v>
      </c>
      <c r="D2712" s="127" t="s">
        <v>6367</v>
      </c>
      <c r="E2712" s="232"/>
    </row>
    <row r="2713" spans="1:5" ht="14.55" customHeight="1" outlineLevel="1" x14ac:dyDescent="0.25">
      <c r="A2713" s="230" t="s">
        <v>1422</v>
      </c>
      <c r="B2713" s="343" t="str">
        <f>"61.1902"</f>
        <v>61.1902</v>
      </c>
      <c r="C2713" s="75" t="s">
        <v>6368</v>
      </c>
      <c r="D2713" s="127" t="s">
        <v>6369</v>
      </c>
      <c r="E2713" s="232"/>
    </row>
    <row r="2714" spans="1:5" ht="14.55" customHeight="1" outlineLevel="1" x14ac:dyDescent="0.25">
      <c r="A2714" s="230" t="s">
        <v>1422</v>
      </c>
      <c r="B2714" s="343" t="str">
        <f>"61.1903"</f>
        <v>61.1903</v>
      </c>
      <c r="C2714" s="75" t="s">
        <v>6370</v>
      </c>
      <c r="D2714" s="127" t="s">
        <v>6371</v>
      </c>
      <c r="E2714" s="232"/>
    </row>
    <row r="2715" spans="1:5" ht="14.55" customHeight="1" outlineLevel="1" x14ac:dyDescent="0.25">
      <c r="A2715" s="230" t="s">
        <v>1422</v>
      </c>
      <c r="B2715" s="343" t="str">
        <f>"61.1904"</f>
        <v>61.1904</v>
      </c>
      <c r="C2715" s="75" t="s">
        <v>6372</v>
      </c>
      <c r="D2715" s="127" t="s">
        <v>6373</v>
      </c>
      <c r="E2715" s="232"/>
    </row>
    <row r="2716" spans="1:5" ht="14.55" customHeight="1" outlineLevel="1" x14ac:dyDescent="0.25">
      <c r="A2716" s="230" t="s">
        <v>1422</v>
      </c>
      <c r="B2716" s="343" t="str">
        <f>"61.1905"</f>
        <v>61.1905</v>
      </c>
      <c r="C2716" s="75" t="s">
        <v>6374</v>
      </c>
      <c r="D2716" s="127" t="s">
        <v>6375</v>
      </c>
      <c r="E2716" s="232"/>
    </row>
    <row r="2717" spans="1:5" ht="14.55" customHeight="1" outlineLevel="1" x14ac:dyDescent="0.25">
      <c r="A2717" s="230" t="s">
        <v>1422</v>
      </c>
      <c r="B2717" s="343" t="str">
        <f>"61.1906"</f>
        <v>61.1906</v>
      </c>
      <c r="C2717" s="75" t="s">
        <v>6376</v>
      </c>
      <c r="D2717" s="127" t="s">
        <v>6377</v>
      </c>
      <c r="E2717" s="232"/>
    </row>
    <row r="2718" spans="1:5" ht="14.55" customHeight="1" outlineLevel="1" x14ac:dyDescent="0.25">
      <c r="A2718" s="230" t="s">
        <v>1422</v>
      </c>
      <c r="B2718" s="343" t="str">
        <f>"61.1907"</f>
        <v>61.1907</v>
      </c>
      <c r="C2718" s="75" t="s">
        <v>6378</v>
      </c>
      <c r="D2718" s="127" t="s">
        <v>6379</v>
      </c>
      <c r="E2718" s="232"/>
    </row>
    <row r="2719" spans="1:5" ht="14.55" customHeight="1" outlineLevel="1" x14ac:dyDescent="0.25">
      <c r="A2719" s="230" t="s">
        <v>1422</v>
      </c>
      <c r="B2719" s="343" t="str">
        <f>"61.1908"</f>
        <v>61.1908</v>
      </c>
      <c r="C2719" s="75" t="s">
        <v>6380</v>
      </c>
      <c r="D2719" s="127" t="s">
        <v>6381</v>
      </c>
      <c r="E2719" s="232"/>
    </row>
    <row r="2720" spans="1:5" ht="14.55" customHeight="1" outlineLevel="1" x14ac:dyDescent="0.25">
      <c r="A2720" s="230" t="s">
        <v>1422</v>
      </c>
      <c r="B2720" s="343" t="str">
        <f>"61.1909"</f>
        <v>61.1909</v>
      </c>
      <c r="C2720" s="75" t="s">
        <v>6382</v>
      </c>
      <c r="D2720" s="127" t="s">
        <v>6383</v>
      </c>
      <c r="E2720" s="232"/>
    </row>
    <row r="2721" spans="1:5" ht="14.55" customHeight="1" outlineLevel="1" x14ac:dyDescent="0.25">
      <c r="A2721" s="230" t="s">
        <v>1422</v>
      </c>
      <c r="B2721" s="343" t="str">
        <f>"61.1910"</f>
        <v>61.1910</v>
      </c>
      <c r="C2721" s="75" t="s">
        <v>6384</v>
      </c>
      <c r="D2721" s="127" t="s">
        <v>6385</v>
      </c>
      <c r="E2721" s="232"/>
    </row>
    <row r="2722" spans="1:5" ht="14.55" customHeight="1" outlineLevel="1" x14ac:dyDescent="0.25">
      <c r="A2722" s="230" t="s">
        <v>1422</v>
      </c>
      <c r="B2722" s="343" t="str">
        <f>"61.1911"</f>
        <v>61.1911</v>
      </c>
      <c r="C2722" s="75" t="s">
        <v>6386</v>
      </c>
      <c r="D2722" s="127" t="s">
        <v>6387</v>
      </c>
      <c r="E2722" s="232"/>
    </row>
    <row r="2723" spans="1:5" ht="14.55" customHeight="1" outlineLevel="1" x14ac:dyDescent="0.25">
      <c r="A2723" s="230" t="s">
        <v>1422</v>
      </c>
      <c r="B2723" s="343" t="str">
        <f>"61.1912"</f>
        <v>61.1912</v>
      </c>
      <c r="C2723" s="75" t="s">
        <v>6388</v>
      </c>
      <c r="D2723" s="127" t="s">
        <v>6389</v>
      </c>
      <c r="E2723" s="232"/>
    </row>
    <row r="2724" spans="1:5" ht="14.55" customHeight="1" outlineLevel="1" x14ac:dyDescent="0.25">
      <c r="A2724" s="230" t="s">
        <v>1422</v>
      </c>
      <c r="B2724" s="343" t="str">
        <f>"61.1913"</f>
        <v>61.1913</v>
      </c>
      <c r="C2724" s="75" t="s">
        <v>6390</v>
      </c>
      <c r="D2724" s="127" t="s">
        <v>6391</v>
      </c>
      <c r="E2724" s="232"/>
    </row>
    <row r="2725" spans="1:5" ht="14.55" customHeight="1" outlineLevel="1" x14ac:dyDescent="0.25">
      <c r="A2725" s="230" t="s">
        <v>1422</v>
      </c>
      <c r="B2725" s="343" t="str">
        <f>"61.1914"</f>
        <v>61.1914</v>
      </c>
      <c r="C2725" s="75" t="s">
        <v>6392</v>
      </c>
      <c r="D2725" s="127" t="s">
        <v>6393</v>
      </c>
      <c r="E2725" s="232"/>
    </row>
    <row r="2726" spans="1:5" ht="14.55" customHeight="1" outlineLevel="1" x14ac:dyDescent="0.25">
      <c r="A2726" s="230" t="s">
        <v>1422</v>
      </c>
      <c r="B2726" s="343" t="str">
        <f>"61.1915"</f>
        <v>61.1915</v>
      </c>
      <c r="C2726" s="75" t="s">
        <v>6394</v>
      </c>
      <c r="D2726" s="127" t="s">
        <v>6395</v>
      </c>
      <c r="E2726" s="232"/>
    </row>
    <row r="2727" spans="1:5" ht="14.55" customHeight="1" outlineLevel="1" x14ac:dyDescent="0.25">
      <c r="A2727" s="230" t="s">
        <v>1422</v>
      </c>
      <c r="B2727" s="343" t="str">
        <f>"61.1917"</f>
        <v>61.1917</v>
      </c>
      <c r="C2727" s="75" t="s">
        <v>6396</v>
      </c>
      <c r="D2727" s="127" t="s">
        <v>6397</v>
      </c>
      <c r="E2727" s="232"/>
    </row>
    <row r="2728" spans="1:5" ht="14.55" customHeight="1" outlineLevel="1" x14ac:dyDescent="0.25">
      <c r="A2728" s="230" t="s">
        <v>1422</v>
      </c>
      <c r="B2728" s="343" t="str">
        <f>"61.1999"</f>
        <v>61.1999</v>
      </c>
      <c r="C2728" s="75" t="s">
        <v>6398</v>
      </c>
      <c r="D2728" s="127" t="s">
        <v>6399</v>
      </c>
      <c r="E2728" s="232"/>
    </row>
    <row r="2729" spans="1:5" ht="14.55" customHeight="1" outlineLevel="1" x14ac:dyDescent="0.25">
      <c r="A2729" s="230" t="s">
        <v>1422</v>
      </c>
      <c r="B2729" s="343" t="str">
        <f>"61.20"</f>
        <v>61.20</v>
      </c>
      <c r="C2729" s="75" t="s">
        <v>6400</v>
      </c>
      <c r="D2729" s="127" t="s">
        <v>6401</v>
      </c>
      <c r="E2729" s="232"/>
    </row>
    <row r="2730" spans="1:5" ht="14.55" customHeight="1" outlineLevel="1" x14ac:dyDescent="0.25">
      <c r="A2730" s="230" t="s">
        <v>1422</v>
      </c>
      <c r="B2730" s="343" t="str">
        <f>"61.2001"</f>
        <v>61.2001</v>
      </c>
      <c r="C2730" s="75" t="s">
        <v>6402</v>
      </c>
      <c r="D2730" s="127" t="s">
        <v>6403</v>
      </c>
      <c r="E2730" s="232"/>
    </row>
    <row r="2731" spans="1:5" ht="14.55" customHeight="1" outlineLevel="1" x14ac:dyDescent="0.25">
      <c r="A2731" s="230" t="s">
        <v>1422</v>
      </c>
      <c r="B2731" s="343" t="str">
        <f>"61.2002"</f>
        <v>61.2002</v>
      </c>
      <c r="C2731" s="75" t="s">
        <v>6404</v>
      </c>
      <c r="D2731" s="127" t="s">
        <v>6405</v>
      </c>
      <c r="E2731" s="232"/>
    </row>
    <row r="2732" spans="1:5" ht="14.55" customHeight="1" outlineLevel="1" x14ac:dyDescent="0.25">
      <c r="A2732" s="230" t="s">
        <v>1422</v>
      </c>
      <c r="B2732" s="343" t="str">
        <f>"61.2003"</f>
        <v>61.2003</v>
      </c>
      <c r="C2732" s="75" t="s">
        <v>6406</v>
      </c>
      <c r="D2732" s="127" t="s">
        <v>6407</v>
      </c>
      <c r="E2732" s="232"/>
    </row>
    <row r="2733" spans="1:5" ht="14.55" customHeight="1" outlineLevel="1" x14ac:dyDescent="0.25">
      <c r="A2733" s="230" t="s">
        <v>1422</v>
      </c>
      <c r="B2733" s="343" t="str">
        <f>"61.2099"</f>
        <v>61.2099</v>
      </c>
      <c r="C2733" s="75" t="s">
        <v>6408</v>
      </c>
      <c r="D2733" s="127" t="s">
        <v>6409</v>
      </c>
      <c r="E2733" s="232"/>
    </row>
    <row r="2734" spans="1:5" ht="14.55" customHeight="1" outlineLevel="1" x14ac:dyDescent="0.25">
      <c r="A2734" s="230" t="s">
        <v>1422</v>
      </c>
      <c r="B2734" s="343" t="str">
        <f>"61.21"</f>
        <v>61.21</v>
      </c>
      <c r="C2734" s="75" t="s">
        <v>6410</v>
      </c>
      <c r="D2734" s="127" t="s">
        <v>6411</v>
      </c>
      <c r="E2734" s="232"/>
    </row>
    <row r="2735" spans="1:5" ht="14.55" customHeight="1" outlineLevel="1" x14ac:dyDescent="0.25">
      <c r="A2735" s="230" t="s">
        <v>1422</v>
      </c>
      <c r="B2735" s="343" t="str">
        <f>"61.2101"</f>
        <v>61.2101</v>
      </c>
      <c r="C2735" s="75" t="s">
        <v>6412</v>
      </c>
      <c r="D2735" s="127" t="s">
        <v>6413</v>
      </c>
      <c r="E2735" s="232"/>
    </row>
    <row r="2736" spans="1:5" ht="14.55" customHeight="1" outlineLevel="1" x14ac:dyDescent="0.25">
      <c r="A2736" s="230" t="s">
        <v>1422</v>
      </c>
      <c r="B2736" s="343" t="str">
        <f>"61.2102"</f>
        <v>61.2102</v>
      </c>
      <c r="C2736" s="75" t="s">
        <v>6414</v>
      </c>
      <c r="D2736" s="127" t="s">
        <v>6415</v>
      </c>
      <c r="E2736" s="232"/>
    </row>
    <row r="2737" spans="1:5" ht="14.55" customHeight="1" outlineLevel="1" x14ac:dyDescent="0.25">
      <c r="A2737" s="230" t="s">
        <v>1422</v>
      </c>
      <c r="B2737" s="343" t="str">
        <f>"61.2103"</f>
        <v>61.2103</v>
      </c>
      <c r="C2737" s="75" t="s">
        <v>6416</v>
      </c>
      <c r="D2737" s="127" t="s">
        <v>6417</v>
      </c>
      <c r="E2737" s="232"/>
    </row>
    <row r="2738" spans="1:5" ht="14.55" customHeight="1" outlineLevel="1" x14ac:dyDescent="0.25">
      <c r="A2738" s="230" t="s">
        <v>1422</v>
      </c>
      <c r="B2738" s="343" t="str">
        <f>"61.2199"</f>
        <v>61.2199</v>
      </c>
      <c r="C2738" s="75" t="s">
        <v>6418</v>
      </c>
      <c r="D2738" s="127" t="s">
        <v>6419</v>
      </c>
      <c r="E2738" s="232"/>
    </row>
    <row r="2739" spans="1:5" ht="14.55" customHeight="1" outlineLevel="1" x14ac:dyDescent="0.25">
      <c r="A2739" s="230" t="s">
        <v>1422</v>
      </c>
      <c r="B2739" s="343" t="str">
        <f>"61.22"</f>
        <v>61.22</v>
      </c>
      <c r="C2739" s="75" t="s">
        <v>6420</v>
      </c>
      <c r="D2739" s="127" t="s">
        <v>6421</v>
      </c>
      <c r="E2739" s="232"/>
    </row>
    <row r="2740" spans="1:5" ht="14.55" customHeight="1" outlineLevel="1" x14ac:dyDescent="0.25">
      <c r="A2740" s="230" t="s">
        <v>1422</v>
      </c>
      <c r="B2740" s="343" t="str">
        <f>"61.2201"</f>
        <v>61.2201</v>
      </c>
      <c r="C2740" s="75" t="s">
        <v>6422</v>
      </c>
      <c r="D2740" s="127" t="s">
        <v>6423</v>
      </c>
      <c r="E2740" s="232"/>
    </row>
    <row r="2741" spans="1:5" ht="14.55" customHeight="1" outlineLevel="1" x14ac:dyDescent="0.25">
      <c r="A2741" s="230" t="s">
        <v>1422</v>
      </c>
      <c r="B2741" s="343" t="str">
        <f>"61.2299"</f>
        <v>61.2299</v>
      </c>
      <c r="C2741" s="75" t="s">
        <v>6424</v>
      </c>
      <c r="D2741" s="127" t="s">
        <v>6425</v>
      </c>
      <c r="E2741" s="232"/>
    </row>
    <row r="2742" spans="1:5" ht="14.55" customHeight="1" outlineLevel="1" x14ac:dyDescent="0.25">
      <c r="A2742" s="230" t="s">
        <v>1422</v>
      </c>
      <c r="B2742" s="343" t="str">
        <f>"61.23"</f>
        <v>61.23</v>
      </c>
      <c r="C2742" s="75" t="s">
        <v>6426</v>
      </c>
      <c r="D2742" s="127" t="s">
        <v>6427</v>
      </c>
      <c r="E2742" s="232"/>
    </row>
    <row r="2743" spans="1:5" ht="14.55" customHeight="1" outlineLevel="1" x14ac:dyDescent="0.25">
      <c r="A2743" s="230" t="s">
        <v>1422</v>
      </c>
      <c r="B2743" s="343" t="str">
        <f>"61.2301"</f>
        <v>61.2301</v>
      </c>
      <c r="C2743" s="75" t="s">
        <v>6428</v>
      </c>
      <c r="D2743" s="127" t="s">
        <v>6429</v>
      </c>
      <c r="E2743" s="232"/>
    </row>
    <row r="2744" spans="1:5" ht="14.55" customHeight="1" outlineLevel="1" x14ac:dyDescent="0.25">
      <c r="A2744" s="230" t="s">
        <v>1422</v>
      </c>
      <c r="B2744" s="343" t="str">
        <f>"61.2302"</f>
        <v>61.2302</v>
      </c>
      <c r="C2744" s="75" t="s">
        <v>6430</v>
      </c>
      <c r="D2744" s="127" t="s">
        <v>6431</v>
      </c>
      <c r="E2744" s="232"/>
    </row>
    <row r="2745" spans="1:5" ht="14.55" customHeight="1" outlineLevel="1" x14ac:dyDescent="0.25">
      <c r="A2745" s="230" t="s">
        <v>1422</v>
      </c>
      <c r="B2745" s="343" t="str">
        <f>"61.2303"</f>
        <v>61.2303</v>
      </c>
      <c r="C2745" s="75" t="s">
        <v>6432</v>
      </c>
      <c r="D2745" s="127" t="s">
        <v>6433</v>
      </c>
      <c r="E2745" s="232"/>
    </row>
    <row r="2746" spans="1:5" ht="14.55" customHeight="1" outlineLevel="1" x14ac:dyDescent="0.25">
      <c r="A2746" s="230" t="s">
        <v>1422</v>
      </c>
      <c r="B2746" s="343" t="str">
        <f>"61.2399"</f>
        <v>61.2399</v>
      </c>
      <c r="C2746" s="75" t="s">
        <v>6434</v>
      </c>
      <c r="D2746" s="127" t="s">
        <v>6435</v>
      </c>
      <c r="E2746" s="232"/>
    </row>
    <row r="2747" spans="1:5" ht="14.55" customHeight="1" outlineLevel="1" x14ac:dyDescent="0.25">
      <c r="A2747" s="230" t="s">
        <v>1422</v>
      </c>
      <c r="B2747" s="343" t="str">
        <f>"61.24"</f>
        <v>61.24</v>
      </c>
      <c r="C2747" s="75" t="s">
        <v>6436</v>
      </c>
      <c r="D2747" s="127" t="s">
        <v>6437</v>
      </c>
      <c r="E2747" s="232"/>
    </row>
    <row r="2748" spans="1:5" ht="14.55" customHeight="1" outlineLevel="1" x14ac:dyDescent="0.25">
      <c r="A2748" s="230" t="s">
        <v>1422</v>
      </c>
      <c r="B2748" s="343" t="str">
        <f>"61.2401"</f>
        <v>61.2401</v>
      </c>
      <c r="C2748" s="75" t="s">
        <v>6438</v>
      </c>
      <c r="D2748" s="127" t="s">
        <v>6439</v>
      </c>
      <c r="E2748" s="232"/>
    </row>
    <row r="2749" spans="1:5" ht="14.55" customHeight="1" outlineLevel="1" x14ac:dyDescent="0.25">
      <c r="A2749" s="230" t="s">
        <v>1422</v>
      </c>
      <c r="B2749" s="343" t="str">
        <f>"61.2402"</f>
        <v>61.2402</v>
      </c>
      <c r="C2749" s="75" t="s">
        <v>6440</v>
      </c>
      <c r="D2749" s="127" t="s">
        <v>6441</v>
      </c>
      <c r="E2749" s="232"/>
    </row>
    <row r="2750" spans="1:5" ht="14.55" customHeight="1" outlineLevel="1" x14ac:dyDescent="0.25">
      <c r="A2750" s="230" t="s">
        <v>1422</v>
      </c>
      <c r="B2750" s="343" t="str">
        <f>"61.2403"</f>
        <v>61.2403</v>
      </c>
      <c r="C2750" s="75" t="s">
        <v>6442</v>
      </c>
      <c r="D2750" s="127" t="s">
        <v>6443</v>
      </c>
      <c r="E2750" s="232"/>
    </row>
    <row r="2751" spans="1:5" ht="14.55" customHeight="1" outlineLevel="1" x14ac:dyDescent="0.25">
      <c r="A2751" s="230" t="s">
        <v>1422</v>
      </c>
      <c r="B2751" s="343" t="str">
        <f>"61.2404"</f>
        <v>61.2404</v>
      </c>
      <c r="C2751" s="75" t="s">
        <v>6444</v>
      </c>
      <c r="D2751" s="127" t="s">
        <v>6445</v>
      </c>
      <c r="E2751" s="232"/>
    </row>
    <row r="2752" spans="1:5" ht="14.55" customHeight="1" outlineLevel="1" x14ac:dyDescent="0.25">
      <c r="A2752" s="230" t="s">
        <v>1422</v>
      </c>
      <c r="B2752" s="343" t="str">
        <f>"61.2405"</f>
        <v>61.2405</v>
      </c>
      <c r="C2752" s="75" t="s">
        <v>6446</v>
      </c>
      <c r="D2752" s="127" t="s">
        <v>6447</v>
      </c>
      <c r="E2752" s="232"/>
    </row>
    <row r="2753" spans="1:5" ht="14.55" customHeight="1" outlineLevel="1" x14ac:dyDescent="0.25">
      <c r="A2753" s="230" t="s">
        <v>1422</v>
      </c>
      <c r="B2753" s="343" t="str">
        <f>"61.2406"</f>
        <v>61.2406</v>
      </c>
      <c r="C2753" s="75" t="s">
        <v>6448</v>
      </c>
      <c r="D2753" s="127" t="s">
        <v>6449</v>
      </c>
      <c r="E2753" s="232"/>
    </row>
    <row r="2754" spans="1:5" ht="14.55" customHeight="1" outlineLevel="1" x14ac:dyDescent="0.25">
      <c r="A2754" s="230" t="s">
        <v>1422</v>
      </c>
      <c r="B2754" s="343" t="str">
        <f>"61.2499"</f>
        <v>61.2499</v>
      </c>
      <c r="C2754" s="75" t="s">
        <v>6450</v>
      </c>
      <c r="D2754" s="127" t="s">
        <v>6451</v>
      </c>
      <c r="E2754" s="232"/>
    </row>
    <row r="2755" spans="1:5" ht="14.55" customHeight="1" outlineLevel="1" x14ac:dyDescent="0.25">
      <c r="A2755" s="230" t="s">
        <v>1422</v>
      </c>
      <c r="B2755" s="343" t="str">
        <f>"61.25"</f>
        <v>61.25</v>
      </c>
      <c r="C2755" s="75" t="s">
        <v>6452</v>
      </c>
      <c r="D2755" s="127" t="s">
        <v>6453</v>
      </c>
      <c r="E2755" s="232"/>
    </row>
    <row r="2756" spans="1:5" ht="14.55" customHeight="1" outlineLevel="1" x14ac:dyDescent="0.25">
      <c r="A2756" s="230" t="s">
        <v>1422</v>
      </c>
      <c r="B2756" s="343" t="str">
        <f>"61.2501"</f>
        <v>61.2501</v>
      </c>
      <c r="C2756" s="75" t="s">
        <v>6454</v>
      </c>
      <c r="D2756" s="127" t="s">
        <v>6455</v>
      </c>
      <c r="E2756" s="232"/>
    </row>
    <row r="2757" spans="1:5" ht="14.55" customHeight="1" outlineLevel="1" x14ac:dyDescent="0.25">
      <c r="A2757" s="230" t="s">
        <v>1422</v>
      </c>
      <c r="B2757" s="343" t="str">
        <f>"61.2599"</f>
        <v>61.2599</v>
      </c>
      <c r="C2757" s="75" t="s">
        <v>6456</v>
      </c>
      <c r="D2757" s="127" t="s">
        <v>6457</v>
      </c>
      <c r="E2757" s="232"/>
    </row>
    <row r="2758" spans="1:5" ht="14.55" customHeight="1" outlineLevel="1" x14ac:dyDescent="0.25">
      <c r="A2758" s="230" t="s">
        <v>1422</v>
      </c>
      <c r="B2758" s="343" t="str">
        <f>"61.26"</f>
        <v>61.26</v>
      </c>
      <c r="C2758" s="75" t="s">
        <v>6458</v>
      </c>
      <c r="D2758" s="127" t="s">
        <v>6459</v>
      </c>
      <c r="E2758" s="232"/>
    </row>
    <row r="2759" spans="1:5" ht="14.55" customHeight="1" outlineLevel="1" x14ac:dyDescent="0.25">
      <c r="A2759" s="230" t="s">
        <v>1422</v>
      </c>
      <c r="B2759" s="343" t="str">
        <f>"61.2601"</f>
        <v>61.2601</v>
      </c>
      <c r="C2759" s="75" t="s">
        <v>6460</v>
      </c>
      <c r="D2759" s="127" t="s">
        <v>6461</v>
      </c>
      <c r="E2759" s="232"/>
    </row>
    <row r="2760" spans="1:5" ht="14.55" customHeight="1" outlineLevel="1" x14ac:dyDescent="0.25">
      <c r="A2760" s="230" t="s">
        <v>1422</v>
      </c>
      <c r="B2760" s="343" t="str">
        <f>"61.2602"</f>
        <v>61.2602</v>
      </c>
      <c r="C2760" s="75" t="s">
        <v>6462</v>
      </c>
      <c r="D2760" s="127" t="s">
        <v>6463</v>
      </c>
      <c r="E2760" s="232"/>
    </row>
    <row r="2761" spans="1:5" ht="14.55" customHeight="1" outlineLevel="1" x14ac:dyDescent="0.25">
      <c r="A2761" s="230" t="s">
        <v>1422</v>
      </c>
      <c r="B2761" s="343" t="str">
        <f>"61.2603"</f>
        <v>61.2603</v>
      </c>
      <c r="C2761" s="75" t="s">
        <v>6464</v>
      </c>
      <c r="D2761" s="127" t="s">
        <v>6465</v>
      </c>
      <c r="E2761" s="232"/>
    </row>
    <row r="2762" spans="1:5" ht="14.55" customHeight="1" outlineLevel="1" x14ac:dyDescent="0.25">
      <c r="A2762" s="230" t="s">
        <v>1422</v>
      </c>
      <c r="B2762" s="343" t="str">
        <f>"61.2604"</f>
        <v>61.2604</v>
      </c>
      <c r="C2762" s="75" t="s">
        <v>6466</v>
      </c>
      <c r="D2762" s="127" t="s">
        <v>6467</v>
      </c>
      <c r="E2762" s="232"/>
    </row>
    <row r="2763" spans="1:5" ht="14.55" customHeight="1" outlineLevel="1" x14ac:dyDescent="0.25">
      <c r="A2763" s="230" t="s">
        <v>1422</v>
      </c>
      <c r="B2763" s="343" t="str">
        <f>"61.2605"</f>
        <v>61.2605</v>
      </c>
      <c r="C2763" s="75" t="s">
        <v>6468</v>
      </c>
      <c r="D2763" s="127" t="s">
        <v>6469</v>
      </c>
      <c r="E2763" s="232"/>
    </row>
    <row r="2764" spans="1:5" ht="14.55" customHeight="1" outlineLevel="1" x14ac:dyDescent="0.25">
      <c r="A2764" s="230" t="s">
        <v>1422</v>
      </c>
      <c r="B2764" s="343" t="str">
        <f>"61.2606"</f>
        <v>61.2606</v>
      </c>
      <c r="C2764" s="75" t="s">
        <v>6470</v>
      </c>
      <c r="D2764" s="127" t="s">
        <v>6471</v>
      </c>
      <c r="E2764" s="232"/>
    </row>
    <row r="2765" spans="1:5" ht="14.55" customHeight="1" outlineLevel="1" x14ac:dyDescent="0.25">
      <c r="A2765" s="230" t="s">
        <v>1422</v>
      </c>
      <c r="B2765" s="343" t="str">
        <f>"61.2607"</f>
        <v>61.2607</v>
      </c>
      <c r="C2765" s="75" t="s">
        <v>6472</v>
      </c>
      <c r="D2765" s="127" t="s">
        <v>6473</v>
      </c>
      <c r="E2765" s="232"/>
    </row>
    <row r="2766" spans="1:5" ht="14.55" customHeight="1" outlineLevel="1" x14ac:dyDescent="0.25">
      <c r="A2766" s="230" t="s">
        <v>1422</v>
      </c>
      <c r="B2766" s="343" t="str">
        <f>"61.2608"</f>
        <v>61.2608</v>
      </c>
      <c r="C2766" s="75" t="s">
        <v>6474</v>
      </c>
      <c r="D2766" s="127" t="s">
        <v>6475</v>
      </c>
      <c r="E2766" s="232"/>
    </row>
    <row r="2767" spans="1:5" ht="14.55" customHeight="1" outlineLevel="1" x14ac:dyDescent="0.25">
      <c r="A2767" s="230" t="s">
        <v>1422</v>
      </c>
      <c r="B2767" s="343" t="str">
        <f>"61.2609"</f>
        <v>61.2609</v>
      </c>
      <c r="C2767" s="75" t="s">
        <v>6476</v>
      </c>
      <c r="D2767" s="127" t="s">
        <v>6477</v>
      </c>
      <c r="E2767" s="232"/>
    </row>
    <row r="2768" spans="1:5" ht="14.55" customHeight="1" outlineLevel="1" x14ac:dyDescent="0.25">
      <c r="A2768" s="230" t="s">
        <v>1422</v>
      </c>
      <c r="B2768" s="343" t="str">
        <f>"61.2610"</f>
        <v>61.2610</v>
      </c>
      <c r="C2768" s="75" t="s">
        <v>6478</v>
      </c>
      <c r="D2768" s="127" t="s">
        <v>6479</v>
      </c>
      <c r="E2768" s="232"/>
    </row>
    <row r="2769" spans="1:5" ht="14.55" customHeight="1" outlineLevel="1" x14ac:dyDescent="0.25">
      <c r="A2769" s="230" t="s">
        <v>1422</v>
      </c>
      <c r="B2769" s="343" t="str">
        <f>"61.2611"</f>
        <v>61.2611</v>
      </c>
      <c r="C2769" s="75" t="s">
        <v>6480</v>
      </c>
      <c r="D2769" s="127" t="s">
        <v>6481</v>
      </c>
      <c r="E2769" s="232"/>
    </row>
    <row r="2770" spans="1:5" ht="14.55" customHeight="1" outlineLevel="1" x14ac:dyDescent="0.25">
      <c r="A2770" s="230" t="s">
        <v>1422</v>
      </c>
      <c r="B2770" s="343" t="str">
        <f>"61.2612"</f>
        <v>61.2612</v>
      </c>
      <c r="C2770" s="75" t="s">
        <v>6482</v>
      </c>
      <c r="D2770" s="127" t="s">
        <v>6483</v>
      </c>
      <c r="E2770" s="232"/>
    </row>
    <row r="2771" spans="1:5" ht="14.55" customHeight="1" outlineLevel="1" x14ac:dyDescent="0.25">
      <c r="A2771" s="230" t="s">
        <v>1422</v>
      </c>
      <c r="B2771" s="343" t="str">
        <f>"61.2699"</f>
        <v>61.2699</v>
      </c>
      <c r="C2771" s="75" t="s">
        <v>6484</v>
      </c>
      <c r="D2771" s="127" t="s">
        <v>6485</v>
      </c>
      <c r="E2771" s="232"/>
    </row>
    <row r="2772" spans="1:5" ht="14.55" customHeight="1" outlineLevel="1" x14ac:dyDescent="0.25">
      <c r="A2772" s="230" t="s">
        <v>1422</v>
      </c>
      <c r="B2772" s="343" t="str">
        <f>"61.27"</f>
        <v>61.27</v>
      </c>
      <c r="C2772" s="75" t="s">
        <v>6486</v>
      </c>
      <c r="D2772" s="127" t="s">
        <v>6487</v>
      </c>
      <c r="E2772" s="232"/>
    </row>
    <row r="2773" spans="1:5" ht="14.55" customHeight="1" outlineLevel="1" x14ac:dyDescent="0.25">
      <c r="A2773" s="230" t="s">
        <v>1422</v>
      </c>
      <c r="B2773" s="343" t="str">
        <f>"61.2701"</f>
        <v>61.2701</v>
      </c>
      <c r="C2773" s="75" t="s">
        <v>6488</v>
      </c>
      <c r="D2773" s="127" t="s">
        <v>6489</v>
      </c>
      <c r="E2773" s="232"/>
    </row>
    <row r="2774" spans="1:5" ht="14.55" customHeight="1" outlineLevel="1" x14ac:dyDescent="0.25">
      <c r="A2774" s="230" t="s">
        <v>1422</v>
      </c>
      <c r="B2774" s="343" t="str">
        <f>"61.2702"</f>
        <v>61.2702</v>
      </c>
      <c r="C2774" s="75" t="s">
        <v>6490</v>
      </c>
      <c r="D2774" s="127" t="s">
        <v>6491</v>
      </c>
      <c r="E2774" s="232"/>
    </row>
    <row r="2775" spans="1:5" ht="14.55" customHeight="1" outlineLevel="1" x14ac:dyDescent="0.25">
      <c r="A2775" s="230" t="s">
        <v>1422</v>
      </c>
      <c r="B2775" s="343" t="str">
        <f>"61.2703"</f>
        <v>61.2703</v>
      </c>
      <c r="C2775" s="75" t="s">
        <v>6492</v>
      </c>
      <c r="D2775" s="127" t="s">
        <v>6493</v>
      </c>
      <c r="E2775" s="232"/>
    </row>
    <row r="2776" spans="1:5" ht="14.55" customHeight="1" outlineLevel="1" x14ac:dyDescent="0.25">
      <c r="A2776" s="230" t="s">
        <v>1422</v>
      </c>
      <c r="B2776" s="343" t="str">
        <f>"61.2704"</f>
        <v>61.2704</v>
      </c>
      <c r="C2776" s="75" t="s">
        <v>6494</v>
      </c>
      <c r="D2776" s="127" t="s">
        <v>6495</v>
      </c>
      <c r="E2776" s="232"/>
    </row>
    <row r="2777" spans="1:5" ht="14.55" customHeight="1" outlineLevel="1" x14ac:dyDescent="0.25">
      <c r="A2777" s="230" t="s">
        <v>1422</v>
      </c>
      <c r="B2777" s="343" t="str">
        <f>"61.2705"</f>
        <v>61.2705</v>
      </c>
      <c r="C2777" s="75" t="s">
        <v>6496</v>
      </c>
      <c r="D2777" s="127" t="s">
        <v>6497</v>
      </c>
      <c r="E2777" s="232"/>
    </row>
    <row r="2778" spans="1:5" ht="14.55" customHeight="1" outlineLevel="1" x14ac:dyDescent="0.25">
      <c r="A2778" s="230" t="s">
        <v>1422</v>
      </c>
      <c r="B2778" s="343" t="str">
        <f>"61.2706"</f>
        <v>61.2706</v>
      </c>
      <c r="C2778" s="75" t="s">
        <v>6498</v>
      </c>
      <c r="D2778" s="127" t="s">
        <v>6499</v>
      </c>
      <c r="E2778" s="232"/>
    </row>
    <row r="2779" spans="1:5" ht="14.55" customHeight="1" outlineLevel="1" x14ac:dyDescent="0.25">
      <c r="A2779" s="230" t="s">
        <v>1422</v>
      </c>
      <c r="B2779" s="343" t="str">
        <f>"61.2707"</f>
        <v>61.2707</v>
      </c>
      <c r="C2779" s="75" t="s">
        <v>6500</v>
      </c>
      <c r="D2779" s="127" t="s">
        <v>6501</v>
      </c>
      <c r="E2779" s="232"/>
    </row>
    <row r="2780" spans="1:5" ht="14.55" customHeight="1" outlineLevel="1" x14ac:dyDescent="0.25">
      <c r="A2780" s="230" t="s">
        <v>1422</v>
      </c>
      <c r="B2780" s="343" t="str">
        <f>"61.2708"</f>
        <v>61.2708</v>
      </c>
      <c r="C2780" s="75" t="s">
        <v>6502</v>
      </c>
      <c r="D2780" s="127" t="s">
        <v>6503</v>
      </c>
      <c r="E2780" s="232"/>
    </row>
    <row r="2781" spans="1:5" ht="14.55" customHeight="1" outlineLevel="1" x14ac:dyDescent="0.25">
      <c r="A2781" s="230" t="s">
        <v>1422</v>
      </c>
      <c r="B2781" s="343" t="str">
        <f>"61.2799"</f>
        <v>61.2799</v>
      </c>
      <c r="C2781" s="75" t="s">
        <v>6504</v>
      </c>
      <c r="D2781" s="127" t="s">
        <v>6505</v>
      </c>
      <c r="E2781" s="232"/>
    </row>
    <row r="2782" spans="1:5" ht="14.55" customHeight="1" outlineLevel="1" x14ac:dyDescent="0.25">
      <c r="A2782" s="230" t="s">
        <v>1422</v>
      </c>
      <c r="B2782" s="343" t="str">
        <f>"61.28"</f>
        <v>61.28</v>
      </c>
      <c r="C2782" s="75" t="s">
        <v>6506</v>
      </c>
      <c r="D2782" s="127" t="s">
        <v>6507</v>
      </c>
      <c r="E2782" s="232"/>
    </row>
    <row r="2783" spans="1:5" ht="14.55" customHeight="1" outlineLevel="1" x14ac:dyDescent="0.25">
      <c r="A2783" s="230" t="s">
        <v>1422</v>
      </c>
      <c r="B2783" s="343" t="str">
        <f>"61.2801"</f>
        <v>61.2801</v>
      </c>
      <c r="C2783" s="75" t="s">
        <v>6508</v>
      </c>
      <c r="D2783" s="127" t="s">
        <v>6509</v>
      </c>
      <c r="E2783" s="232"/>
    </row>
    <row r="2784" spans="1:5" ht="14.55" customHeight="1" outlineLevel="1" x14ac:dyDescent="0.25">
      <c r="A2784" s="230" t="s">
        <v>1422</v>
      </c>
      <c r="B2784" s="343" t="str">
        <f>"61.2802"</f>
        <v>61.2802</v>
      </c>
      <c r="C2784" s="75" t="s">
        <v>6510</v>
      </c>
      <c r="D2784" s="127" t="s">
        <v>6511</v>
      </c>
      <c r="E2784" s="232"/>
    </row>
    <row r="2785" spans="1:5" ht="14.55" customHeight="1" outlineLevel="1" x14ac:dyDescent="0.25">
      <c r="A2785" s="230" t="s">
        <v>1422</v>
      </c>
      <c r="B2785" s="343" t="str">
        <f>"61.2899"</f>
        <v>61.2899</v>
      </c>
      <c r="C2785" s="75" t="s">
        <v>6512</v>
      </c>
      <c r="D2785" s="127" t="s">
        <v>6513</v>
      </c>
      <c r="E2785" s="232"/>
    </row>
    <row r="2786" spans="1:5" ht="14.55" customHeight="1" outlineLevel="1" x14ac:dyDescent="0.25">
      <c r="A2786" s="230" t="s">
        <v>1422</v>
      </c>
      <c r="B2786" s="343" t="str">
        <f>"61.99"</f>
        <v>61.99</v>
      </c>
      <c r="C2786" s="75" t="s">
        <v>6514</v>
      </c>
      <c r="D2786" s="127" t="s">
        <v>6515</v>
      </c>
      <c r="E2786" s="232"/>
    </row>
    <row r="2787" spans="1:5" ht="14.55" customHeight="1" outlineLevel="1" x14ac:dyDescent="0.25">
      <c r="A2787" s="230" t="s">
        <v>1422</v>
      </c>
      <c r="B2787" s="343" t="str">
        <f>"61.9999"</f>
        <v>61.9999</v>
      </c>
      <c r="C2787" s="75" t="s">
        <v>6514</v>
      </c>
      <c r="D2787" s="127" t="s">
        <v>6516</v>
      </c>
      <c r="E2787" s="232"/>
    </row>
    <row r="2788" spans="1:5" ht="14.55" customHeight="1" x14ac:dyDescent="0.25">
      <c r="A2788" s="240" t="s">
        <v>1422</v>
      </c>
      <c r="B2788" s="240" t="s">
        <v>1203</v>
      </c>
      <c r="C2788" s="240" t="s">
        <v>6517</v>
      </c>
      <c r="D2788" s="240" t="s">
        <v>6517</v>
      </c>
    </row>
    <row r="2789" spans="1:5" ht="14.55" customHeight="1" x14ac:dyDescent="0.25">
      <c r="A2789" s="230" t="s">
        <v>433</v>
      </c>
      <c r="B2789" s="241" t="s">
        <v>6518</v>
      </c>
      <c r="C2789" s="230" t="s">
        <v>6519</v>
      </c>
      <c r="D2789" s="242" t="s">
        <v>6520</v>
      </c>
    </row>
    <row r="2790" spans="1:5" ht="14.55" customHeight="1" x14ac:dyDescent="0.25">
      <c r="A2790" s="230" t="s">
        <v>433</v>
      </c>
      <c r="B2790" s="241" t="s">
        <v>6521</v>
      </c>
      <c r="C2790" s="230" t="s">
        <v>6522</v>
      </c>
      <c r="D2790" s="242" t="s">
        <v>6520</v>
      </c>
    </row>
    <row r="2791" spans="1:5" ht="14.55" customHeight="1" x14ac:dyDescent="0.25">
      <c r="A2791" s="230" t="s">
        <v>433</v>
      </c>
      <c r="B2791" s="241" t="s">
        <v>6523</v>
      </c>
      <c r="C2791" s="230" t="s">
        <v>6524</v>
      </c>
      <c r="D2791" s="242" t="s">
        <v>6520</v>
      </c>
    </row>
    <row r="2792" spans="1:5" ht="14.55" customHeight="1" x14ac:dyDescent="0.25">
      <c r="A2792" s="230" t="s">
        <v>433</v>
      </c>
      <c r="B2792" s="241" t="s">
        <v>6525</v>
      </c>
      <c r="C2792" s="230" t="s">
        <v>6526</v>
      </c>
      <c r="D2792" s="242" t="s">
        <v>6520</v>
      </c>
    </row>
    <row r="2793" spans="1:5" ht="14.55" customHeight="1" x14ac:dyDescent="0.25">
      <c r="A2793" s="243" t="s">
        <v>433</v>
      </c>
      <c r="B2793" s="231" t="s">
        <v>6527</v>
      </c>
      <c r="C2793" s="243" t="s">
        <v>6528</v>
      </c>
      <c r="D2793" s="230" t="s">
        <v>6520</v>
      </c>
    </row>
    <row r="2794" spans="1:5" ht="14.55" customHeight="1" x14ac:dyDescent="0.25">
      <c r="A2794" s="244" t="s">
        <v>433</v>
      </c>
      <c r="B2794" s="231" t="s">
        <v>6529</v>
      </c>
      <c r="C2794" s="244" t="s">
        <v>6530</v>
      </c>
      <c r="D2794" s="230" t="s">
        <v>6520</v>
      </c>
    </row>
    <row r="2795" spans="1:5" ht="14.55" customHeight="1" x14ac:dyDescent="0.25">
      <c r="A2795" s="243" t="s">
        <v>433</v>
      </c>
      <c r="B2795" s="231" t="s">
        <v>6531</v>
      </c>
      <c r="C2795" s="243" t="s">
        <v>6532</v>
      </c>
      <c r="D2795" s="230" t="s">
        <v>6520</v>
      </c>
    </row>
    <row r="2796" spans="1:5" ht="14.55" customHeight="1" x14ac:dyDescent="0.25">
      <c r="A2796" s="243" t="s">
        <v>433</v>
      </c>
      <c r="B2796" s="231" t="s">
        <v>6533</v>
      </c>
      <c r="C2796" s="243" t="s">
        <v>6534</v>
      </c>
      <c r="D2796" s="230" t="s">
        <v>6520</v>
      </c>
    </row>
    <row r="2797" spans="1:5" ht="14.55" customHeight="1" x14ac:dyDescent="0.25">
      <c r="A2797" s="243" t="s">
        <v>433</v>
      </c>
      <c r="B2797" s="231" t="s">
        <v>6535</v>
      </c>
      <c r="C2797" s="243" t="s">
        <v>6536</v>
      </c>
      <c r="D2797" s="230" t="s">
        <v>6520</v>
      </c>
    </row>
    <row r="2798" spans="1:5" ht="14.55" customHeight="1" x14ac:dyDescent="0.25">
      <c r="A2798" s="243" t="s">
        <v>433</v>
      </c>
      <c r="B2798" s="231" t="s">
        <v>6537</v>
      </c>
      <c r="C2798" s="243" t="s">
        <v>6538</v>
      </c>
      <c r="D2798" s="230" t="s">
        <v>6520</v>
      </c>
    </row>
    <row r="2799" spans="1:5" ht="14.55" customHeight="1" x14ac:dyDescent="0.25">
      <c r="A2799" s="243" t="s">
        <v>433</v>
      </c>
      <c r="B2799" s="231" t="s">
        <v>6539</v>
      </c>
      <c r="C2799" s="243" t="s">
        <v>6540</v>
      </c>
      <c r="D2799" s="230" t="s">
        <v>6520</v>
      </c>
    </row>
    <row r="2800" spans="1:5" ht="14.55" customHeight="1" x14ac:dyDescent="0.25">
      <c r="A2800" s="243" t="s">
        <v>433</v>
      </c>
      <c r="B2800" s="231" t="s">
        <v>6541</v>
      </c>
      <c r="C2800" s="243" t="s">
        <v>6542</v>
      </c>
      <c r="D2800" s="230" t="s">
        <v>6520</v>
      </c>
    </row>
    <row r="2801" spans="1:4" ht="14.55" customHeight="1" x14ac:dyDescent="0.25">
      <c r="A2801" s="243" t="s">
        <v>433</v>
      </c>
      <c r="B2801" s="231" t="s">
        <v>6543</v>
      </c>
      <c r="C2801" s="243" t="s">
        <v>6544</v>
      </c>
      <c r="D2801" s="230" t="s">
        <v>6520</v>
      </c>
    </row>
    <row r="2802" spans="1:4" ht="14.55" customHeight="1" x14ac:dyDescent="0.25">
      <c r="A2802" s="243" t="s">
        <v>433</v>
      </c>
      <c r="B2802" s="231" t="s">
        <v>6545</v>
      </c>
      <c r="C2802" s="243" t="s">
        <v>6546</v>
      </c>
      <c r="D2802" s="230" t="s">
        <v>6520</v>
      </c>
    </row>
    <row r="2803" spans="1:4" ht="14.55" customHeight="1" x14ac:dyDescent="0.25">
      <c r="A2803" s="243" t="s">
        <v>433</v>
      </c>
      <c r="B2803" s="231" t="s">
        <v>79</v>
      </c>
      <c r="C2803" s="243" t="s">
        <v>6547</v>
      </c>
      <c r="D2803" s="230" t="s">
        <v>6520</v>
      </c>
    </row>
    <row r="2804" spans="1:4" ht="14.55" customHeight="1" x14ac:dyDescent="0.25">
      <c r="A2804" s="243" t="s">
        <v>110</v>
      </c>
      <c r="B2804" s="231" t="s">
        <v>74</v>
      </c>
      <c r="C2804" s="243" t="s">
        <v>6548</v>
      </c>
      <c r="D2804" s="230" t="s">
        <v>6549</v>
      </c>
    </row>
    <row r="2805" spans="1:4" ht="14.55" customHeight="1" x14ac:dyDescent="0.25">
      <c r="A2805" s="243" t="s">
        <v>110</v>
      </c>
      <c r="B2805" s="231" t="s">
        <v>84</v>
      </c>
      <c r="C2805" s="243" t="s">
        <v>6550</v>
      </c>
      <c r="D2805" s="230" t="s">
        <v>6551</v>
      </c>
    </row>
    <row r="2806" spans="1:4" ht="14.55" customHeight="1" x14ac:dyDescent="0.25">
      <c r="A2806" s="243" t="s">
        <v>110</v>
      </c>
      <c r="B2806" s="231" t="s">
        <v>90</v>
      </c>
      <c r="C2806" s="243" t="s">
        <v>6552</v>
      </c>
      <c r="D2806" s="230" t="s">
        <v>6553</v>
      </c>
    </row>
    <row r="2807" spans="1:4" ht="14.55" customHeight="1" x14ac:dyDescent="0.25">
      <c r="A2807" s="243" t="s">
        <v>110</v>
      </c>
      <c r="B2807" s="231" t="s">
        <v>96</v>
      </c>
      <c r="C2807" s="243" t="s">
        <v>6554</v>
      </c>
      <c r="D2807" s="230" t="s">
        <v>6555</v>
      </c>
    </row>
    <row r="2808" spans="1:4" ht="14.55" customHeight="1" x14ac:dyDescent="0.25">
      <c r="A2808" s="243" t="s">
        <v>110</v>
      </c>
      <c r="B2808" s="231" t="s">
        <v>102</v>
      </c>
      <c r="C2808" s="243" t="s">
        <v>6556</v>
      </c>
      <c r="D2808" s="230" t="s">
        <v>6557</v>
      </c>
    </row>
    <row r="2809" spans="1:4" ht="14.55" customHeight="1" x14ac:dyDescent="0.25">
      <c r="A2809" s="243" t="s">
        <v>110</v>
      </c>
      <c r="B2809" s="231" t="s">
        <v>109</v>
      </c>
      <c r="C2809" s="243" t="s">
        <v>6558</v>
      </c>
      <c r="D2809" s="230" t="s">
        <v>6559</v>
      </c>
    </row>
    <row r="2810" spans="1:4" ht="14.55" customHeight="1" x14ac:dyDescent="0.25">
      <c r="A2810" s="243" t="s">
        <v>110</v>
      </c>
      <c r="B2810" s="231" t="s">
        <v>114</v>
      </c>
      <c r="C2810" s="243" t="s">
        <v>6560</v>
      </c>
      <c r="D2810" s="230" t="s">
        <v>6561</v>
      </c>
    </row>
    <row r="2811" spans="1:4" ht="14.55" customHeight="1" x14ac:dyDescent="0.25">
      <c r="A2811" s="243" t="s">
        <v>110</v>
      </c>
      <c r="B2811" s="231" t="s">
        <v>120</v>
      </c>
      <c r="C2811" s="243" t="s">
        <v>6562</v>
      </c>
      <c r="D2811" s="230" t="s">
        <v>6563</v>
      </c>
    </row>
    <row r="2812" spans="1:4" ht="14.55" customHeight="1" x14ac:dyDescent="0.25">
      <c r="A2812" s="243" t="s">
        <v>110</v>
      </c>
      <c r="B2812" s="231" t="s">
        <v>126</v>
      </c>
      <c r="C2812" s="243" t="s">
        <v>6564</v>
      </c>
      <c r="D2812" s="230" t="s">
        <v>6565</v>
      </c>
    </row>
    <row r="2813" spans="1:4" ht="14.55" customHeight="1" x14ac:dyDescent="0.25">
      <c r="A2813" s="243" t="s">
        <v>110</v>
      </c>
      <c r="B2813" s="231" t="s">
        <v>130</v>
      </c>
      <c r="C2813" s="243" t="s">
        <v>6566</v>
      </c>
      <c r="D2813" s="230" t="s">
        <v>6567</v>
      </c>
    </row>
    <row r="2814" spans="1:4" ht="14.55" customHeight="1" x14ac:dyDescent="0.25">
      <c r="A2814" s="243" t="s">
        <v>110</v>
      </c>
      <c r="B2814" s="231" t="s">
        <v>136</v>
      </c>
      <c r="C2814" s="243" t="s">
        <v>6568</v>
      </c>
      <c r="D2814" s="230" t="s">
        <v>6569</v>
      </c>
    </row>
    <row r="2815" spans="1:4" ht="14.55" customHeight="1" x14ac:dyDescent="0.25">
      <c r="A2815" s="243" t="s">
        <v>110</v>
      </c>
      <c r="B2815" s="231" t="s">
        <v>140</v>
      </c>
      <c r="C2815" s="243" t="s">
        <v>6570</v>
      </c>
      <c r="D2815" s="230" t="s">
        <v>6571</v>
      </c>
    </row>
    <row r="2816" spans="1:4" ht="14.55" customHeight="1" x14ac:dyDescent="0.25">
      <c r="A2816" s="243" t="s">
        <v>110</v>
      </c>
      <c r="B2816" s="231" t="s">
        <v>6572</v>
      </c>
      <c r="C2816" s="243" t="s">
        <v>1409</v>
      </c>
      <c r="D2816" s="230" t="s">
        <v>6573</v>
      </c>
    </row>
    <row r="2817" spans="1:5" ht="14.55" customHeight="1" x14ac:dyDescent="0.25">
      <c r="A2817" s="243" t="s">
        <v>110</v>
      </c>
      <c r="B2817" s="231" t="s">
        <v>6574</v>
      </c>
      <c r="C2817" s="243" t="s">
        <v>6575</v>
      </c>
      <c r="D2817" s="230" t="s">
        <v>6576</v>
      </c>
    </row>
    <row r="2818" spans="1:5" ht="14.55" customHeight="1" x14ac:dyDescent="0.25">
      <c r="A2818" s="243" t="s">
        <v>110</v>
      </c>
      <c r="B2818" s="231" t="s">
        <v>6577</v>
      </c>
      <c r="C2818" s="243" t="s">
        <v>6578</v>
      </c>
      <c r="D2818" s="230" t="s">
        <v>6579</v>
      </c>
    </row>
    <row r="2819" spans="1:5" ht="14.55" customHeight="1" x14ac:dyDescent="0.25">
      <c r="A2819" s="248" t="s">
        <v>1004</v>
      </c>
      <c r="B2819" s="337">
        <v>1</v>
      </c>
      <c r="C2819" s="338" t="s">
        <v>13558</v>
      </c>
      <c r="D2819" s="339" t="s">
        <v>13561</v>
      </c>
      <c r="E2819" s="339" t="s">
        <v>13470</v>
      </c>
    </row>
    <row r="2820" spans="1:5" ht="14.55" customHeight="1" x14ac:dyDescent="0.25">
      <c r="A2820" s="248" t="s">
        <v>1004</v>
      </c>
      <c r="B2820" s="337">
        <v>2</v>
      </c>
      <c r="C2820" s="338" t="s">
        <v>13559</v>
      </c>
      <c r="D2820" s="339" t="s">
        <v>13562</v>
      </c>
      <c r="E2820" s="339" t="s">
        <v>13471</v>
      </c>
    </row>
    <row r="2821" spans="1:5" ht="14.55" customHeight="1" x14ac:dyDescent="0.25">
      <c r="A2821" s="248" t="s">
        <v>1004</v>
      </c>
      <c r="B2821" s="337">
        <v>3</v>
      </c>
      <c r="C2821" s="338" t="s">
        <v>13560</v>
      </c>
      <c r="D2821" s="339" t="s">
        <v>13563</v>
      </c>
      <c r="E2821" s="339" t="s">
        <v>13472</v>
      </c>
    </row>
    <row r="2822" spans="1:5" ht="14.55" customHeight="1" x14ac:dyDescent="0.25">
      <c r="A2822" s="243" t="s">
        <v>797</v>
      </c>
      <c r="B2822" s="231">
        <v>1</v>
      </c>
      <c r="C2822" s="243" t="s">
        <v>6580</v>
      </c>
      <c r="D2822" s="230" t="s">
        <v>6581</v>
      </c>
    </row>
    <row r="2823" spans="1:5" ht="14.55" customHeight="1" x14ac:dyDescent="0.25">
      <c r="A2823" s="243" t="s">
        <v>797</v>
      </c>
      <c r="B2823" s="231">
        <v>2</v>
      </c>
      <c r="C2823" s="243" t="s">
        <v>6582</v>
      </c>
      <c r="D2823" s="230" t="s">
        <v>6583</v>
      </c>
    </row>
    <row r="2824" spans="1:5" ht="14.55" customHeight="1" x14ac:dyDescent="0.25">
      <c r="A2824" s="243" t="s">
        <v>797</v>
      </c>
      <c r="B2824" s="231">
        <v>3</v>
      </c>
      <c r="C2824" s="243" t="s">
        <v>6584</v>
      </c>
      <c r="D2824" s="230" t="s">
        <v>6585</v>
      </c>
    </row>
    <row r="2825" spans="1:5" ht="14.55" customHeight="1" x14ac:dyDescent="0.25">
      <c r="A2825" s="243" t="s">
        <v>797</v>
      </c>
      <c r="B2825" s="231" t="s">
        <v>1401</v>
      </c>
      <c r="C2825" s="243" t="s">
        <v>6586</v>
      </c>
      <c r="D2825" s="230" t="s">
        <v>6587</v>
      </c>
    </row>
    <row r="2826" spans="1:5" ht="14.55" customHeight="1" x14ac:dyDescent="0.25">
      <c r="A2826" s="243" t="s">
        <v>797</v>
      </c>
      <c r="B2826" s="231" t="s">
        <v>6588</v>
      </c>
      <c r="C2826" s="243" t="s">
        <v>6589</v>
      </c>
      <c r="D2826" s="230" t="s">
        <v>6590</v>
      </c>
    </row>
    <row r="2827" spans="1:5" ht="14.55" customHeight="1" x14ac:dyDescent="0.25">
      <c r="A2827" s="243" t="s">
        <v>797</v>
      </c>
      <c r="B2827" s="231" t="s">
        <v>6591</v>
      </c>
      <c r="C2827" s="243" t="s">
        <v>6592</v>
      </c>
      <c r="D2827" s="230" t="s">
        <v>6593</v>
      </c>
    </row>
    <row r="2828" spans="1:5" ht="14.55" customHeight="1" x14ac:dyDescent="0.25">
      <c r="A2828" s="243" t="s">
        <v>797</v>
      </c>
      <c r="B2828" s="231" t="s">
        <v>6594</v>
      </c>
      <c r="C2828" s="243" t="s">
        <v>6595</v>
      </c>
      <c r="D2828" s="230" t="s">
        <v>6596</v>
      </c>
    </row>
    <row r="2829" spans="1:5" ht="14.55" customHeight="1" x14ac:dyDescent="0.25">
      <c r="A2829" s="243" t="s">
        <v>797</v>
      </c>
      <c r="B2829" s="231" t="s">
        <v>6597</v>
      </c>
      <c r="C2829" s="243" t="s">
        <v>6598</v>
      </c>
      <c r="D2829" s="230" t="s">
        <v>6599</v>
      </c>
    </row>
    <row r="2830" spans="1:5" ht="14.55" customHeight="1" x14ac:dyDescent="0.25">
      <c r="A2830" s="243" t="s">
        <v>797</v>
      </c>
      <c r="B2830" s="231" t="s">
        <v>1411</v>
      </c>
      <c r="C2830" s="243" t="s">
        <v>6600</v>
      </c>
      <c r="D2830" s="230" t="s">
        <v>6601</v>
      </c>
    </row>
    <row r="2831" spans="1:5" ht="14.55" customHeight="1" x14ac:dyDescent="0.25">
      <c r="A2831" s="243" t="s">
        <v>797</v>
      </c>
      <c r="B2831" s="231" t="s">
        <v>6602</v>
      </c>
      <c r="C2831" s="243" t="s">
        <v>6603</v>
      </c>
      <c r="D2831" s="230" t="s">
        <v>6604</v>
      </c>
    </row>
    <row r="2832" spans="1:5" ht="14.55" customHeight="1" x14ac:dyDescent="0.25">
      <c r="A2832" s="243" t="s">
        <v>797</v>
      </c>
      <c r="B2832" s="231" t="s">
        <v>6605</v>
      </c>
      <c r="C2832" s="243" t="s">
        <v>6606</v>
      </c>
      <c r="D2832" s="230" t="s">
        <v>6607</v>
      </c>
    </row>
    <row r="2833" spans="1:5" ht="14.55" customHeight="1" x14ac:dyDescent="0.25">
      <c r="A2833" s="243" t="s">
        <v>797</v>
      </c>
      <c r="B2833" s="231" t="s">
        <v>6608</v>
      </c>
      <c r="C2833" s="243" t="s">
        <v>6609</v>
      </c>
      <c r="D2833" s="230" t="s">
        <v>6610</v>
      </c>
      <c r="E2833" s="230" t="s">
        <v>6611</v>
      </c>
    </row>
    <row r="2834" spans="1:5" ht="14.55" customHeight="1" outlineLevel="1" x14ac:dyDescent="0.25">
      <c r="A2834" s="243" t="s">
        <v>330</v>
      </c>
      <c r="B2834" s="245" t="s">
        <v>6612</v>
      </c>
      <c r="C2834" s="246" t="s">
        <v>6613</v>
      </c>
      <c r="D2834" s="230"/>
    </row>
    <row r="2835" spans="1:5" ht="14.55" customHeight="1" outlineLevel="1" x14ac:dyDescent="0.25">
      <c r="A2835" s="244" t="s">
        <v>330</v>
      </c>
      <c r="B2835" s="245" t="s">
        <v>6588</v>
      </c>
      <c r="C2835" s="247" t="s">
        <v>6614</v>
      </c>
      <c r="D2835" s="230"/>
    </row>
    <row r="2836" spans="1:5" ht="14.55" customHeight="1" outlineLevel="1" x14ac:dyDescent="0.25">
      <c r="A2836" s="243" t="s">
        <v>330</v>
      </c>
      <c r="B2836" s="245" t="s">
        <v>6615</v>
      </c>
      <c r="C2836" s="246" t="s">
        <v>6616</v>
      </c>
      <c r="D2836" s="230"/>
    </row>
    <row r="2837" spans="1:5" ht="14.55" customHeight="1" outlineLevel="1" x14ac:dyDescent="0.25">
      <c r="A2837" s="243" t="s">
        <v>330</v>
      </c>
      <c r="B2837" s="245" t="s">
        <v>6617</v>
      </c>
      <c r="C2837" s="246" t="s">
        <v>6618</v>
      </c>
      <c r="D2837" s="230"/>
    </row>
    <row r="2838" spans="1:5" ht="14.55" customHeight="1" outlineLevel="1" x14ac:dyDescent="0.25">
      <c r="A2838" s="243" t="s">
        <v>330</v>
      </c>
      <c r="B2838" s="245" t="s">
        <v>6619</v>
      </c>
      <c r="C2838" s="246" t="s">
        <v>6620</v>
      </c>
      <c r="D2838" s="230"/>
    </row>
    <row r="2839" spans="1:5" ht="14.55" customHeight="1" outlineLevel="1" x14ac:dyDescent="0.25">
      <c r="A2839" s="243" t="s">
        <v>330</v>
      </c>
      <c r="B2839" s="245" t="s">
        <v>6621</v>
      </c>
      <c r="C2839" s="246" t="s">
        <v>6622</v>
      </c>
      <c r="D2839" s="230"/>
    </row>
    <row r="2840" spans="1:5" ht="14.55" customHeight="1" outlineLevel="1" x14ac:dyDescent="0.25">
      <c r="A2840" s="243" t="s">
        <v>330</v>
      </c>
      <c r="B2840" s="245" t="s">
        <v>6623</v>
      </c>
      <c r="C2840" s="246" t="s">
        <v>6624</v>
      </c>
      <c r="D2840" s="230"/>
    </row>
    <row r="2841" spans="1:5" ht="14.55" customHeight="1" outlineLevel="1" x14ac:dyDescent="0.25">
      <c r="A2841" s="344" t="s">
        <v>330</v>
      </c>
      <c r="B2841" s="345" t="s">
        <v>6625</v>
      </c>
      <c r="C2841" s="346" t="s">
        <v>6626</v>
      </c>
      <c r="D2841" s="230"/>
    </row>
    <row r="2842" spans="1:5" ht="14.55" customHeight="1" outlineLevel="1" x14ac:dyDescent="0.25">
      <c r="A2842" s="243" t="s">
        <v>330</v>
      </c>
      <c r="B2842" s="245" t="s">
        <v>6627</v>
      </c>
      <c r="C2842" s="246" t="s">
        <v>6628</v>
      </c>
      <c r="D2842" s="230"/>
    </row>
    <row r="2843" spans="1:5" ht="14.55" customHeight="1" outlineLevel="1" x14ac:dyDescent="0.25">
      <c r="A2843" s="243" t="s">
        <v>330</v>
      </c>
      <c r="B2843" s="245" t="s">
        <v>6629</v>
      </c>
      <c r="C2843" s="246" t="s">
        <v>6630</v>
      </c>
      <c r="D2843" s="230"/>
    </row>
    <row r="2844" spans="1:5" ht="14.55" customHeight="1" outlineLevel="1" x14ac:dyDescent="0.25">
      <c r="A2844" s="243" t="s">
        <v>330</v>
      </c>
      <c r="B2844" s="245" t="s">
        <v>6591</v>
      </c>
      <c r="C2844" s="246" t="s">
        <v>6631</v>
      </c>
      <c r="D2844" s="230"/>
    </row>
    <row r="2845" spans="1:5" ht="14.55" customHeight="1" outlineLevel="1" x14ac:dyDescent="0.25">
      <c r="A2845" s="243" t="s">
        <v>330</v>
      </c>
      <c r="B2845" s="245" t="s">
        <v>6594</v>
      </c>
      <c r="C2845" s="246" t="s">
        <v>6632</v>
      </c>
      <c r="D2845" s="230"/>
    </row>
    <row r="2846" spans="1:5" ht="14.55" customHeight="1" outlineLevel="1" x14ac:dyDescent="0.25">
      <c r="A2846" s="243" t="s">
        <v>330</v>
      </c>
      <c r="B2846" s="245" t="s">
        <v>6633</v>
      </c>
      <c r="C2846" s="246" t="s">
        <v>6634</v>
      </c>
      <c r="D2846" s="230"/>
    </row>
    <row r="2847" spans="1:5" ht="14.55" customHeight="1" outlineLevel="1" x14ac:dyDescent="0.25">
      <c r="A2847" s="243" t="s">
        <v>330</v>
      </c>
      <c r="B2847" s="245" t="s">
        <v>6635</v>
      </c>
      <c r="C2847" s="246" t="s">
        <v>6636</v>
      </c>
      <c r="D2847" s="230"/>
    </row>
    <row r="2848" spans="1:5" ht="14.55" customHeight="1" outlineLevel="1" x14ac:dyDescent="0.25">
      <c r="A2848" s="243" t="s">
        <v>330</v>
      </c>
      <c r="B2848" s="245" t="s">
        <v>6637</v>
      </c>
      <c r="C2848" s="246" t="s">
        <v>6638</v>
      </c>
      <c r="D2848" s="230"/>
    </row>
    <row r="2849" spans="1:4" ht="14.55" customHeight="1" outlineLevel="1" x14ac:dyDescent="0.25">
      <c r="A2849" s="243" t="s">
        <v>330</v>
      </c>
      <c r="B2849" s="245" t="s">
        <v>6639</v>
      </c>
      <c r="C2849" s="246" t="s">
        <v>6640</v>
      </c>
      <c r="D2849" s="230"/>
    </row>
    <row r="2850" spans="1:4" ht="14.55" customHeight="1" outlineLevel="1" x14ac:dyDescent="0.25">
      <c r="A2850" s="243" t="s">
        <v>330</v>
      </c>
      <c r="B2850" s="245" t="s">
        <v>6641</v>
      </c>
      <c r="C2850" s="246" t="s">
        <v>6642</v>
      </c>
      <c r="D2850" s="230"/>
    </row>
    <row r="2851" spans="1:4" ht="14.55" customHeight="1" outlineLevel="1" x14ac:dyDescent="0.25">
      <c r="A2851" s="243" t="s">
        <v>330</v>
      </c>
      <c r="B2851" s="245" t="s">
        <v>6643</v>
      </c>
      <c r="C2851" s="246" t="s">
        <v>6644</v>
      </c>
      <c r="D2851" s="230"/>
    </row>
    <row r="2852" spans="1:4" ht="14.55" customHeight="1" outlineLevel="1" x14ac:dyDescent="0.25">
      <c r="A2852" s="243" t="s">
        <v>330</v>
      </c>
      <c r="B2852" s="245" t="s">
        <v>6645</v>
      </c>
      <c r="C2852" s="246" t="s">
        <v>6646</v>
      </c>
      <c r="D2852" s="230"/>
    </row>
    <row r="2853" spans="1:4" ht="14.55" customHeight="1" outlineLevel="1" x14ac:dyDescent="0.25">
      <c r="A2853" s="243" t="s">
        <v>330</v>
      </c>
      <c r="B2853" s="245" t="s">
        <v>6647</v>
      </c>
      <c r="C2853" s="246" t="s">
        <v>6648</v>
      </c>
      <c r="D2853" s="230"/>
    </row>
    <row r="2854" spans="1:4" ht="14.55" customHeight="1" outlineLevel="1" x14ac:dyDescent="0.25">
      <c r="A2854" s="243" t="s">
        <v>330</v>
      </c>
      <c r="B2854" s="245" t="s">
        <v>6649</v>
      </c>
      <c r="C2854" s="246" t="s">
        <v>6650</v>
      </c>
      <c r="D2854" s="230"/>
    </row>
    <row r="2855" spans="1:4" ht="14.55" customHeight="1" outlineLevel="1" x14ac:dyDescent="0.25">
      <c r="A2855" s="243" t="s">
        <v>330</v>
      </c>
      <c r="B2855" s="245" t="s">
        <v>6651</v>
      </c>
      <c r="C2855" s="246" t="s">
        <v>6652</v>
      </c>
      <c r="D2855" s="230"/>
    </row>
    <row r="2856" spans="1:4" ht="14.55" customHeight="1" outlineLevel="1" x14ac:dyDescent="0.25">
      <c r="A2856" s="243" t="s">
        <v>330</v>
      </c>
      <c r="B2856" s="245" t="s">
        <v>6653</v>
      </c>
      <c r="C2856" s="246" t="s">
        <v>6654</v>
      </c>
      <c r="D2856" s="230"/>
    </row>
    <row r="2857" spans="1:4" ht="14.55" customHeight="1" outlineLevel="1" x14ac:dyDescent="0.25">
      <c r="A2857" s="243" t="s">
        <v>330</v>
      </c>
      <c r="B2857" s="245" t="s">
        <v>6655</v>
      </c>
      <c r="C2857" s="246" t="s">
        <v>6656</v>
      </c>
      <c r="D2857" s="230"/>
    </row>
    <row r="2858" spans="1:4" ht="14.55" customHeight="1" outlineLevel="1" x14ac:dyDescent="0.25">
      <c r="A2858" s="243" t="s">
        <v>330</v>
      </c>
      <c r="B2858" s="245" t="s">
        <v>6657</v>
      </c>
      <c r="C2858" s="246" t="s">
        <v>6658</v>
      </c>
      <c r="D2858" s="230"/>
    </row>
    <row r="2859" spans="1:4" ht="14.55" customHeight="1" outlineLevel="1" x14ac:dyDescent="0.25">
      <c r="A2859" s="243" t="s">
        <v>330</v>
      </c>
      <c r="B2859" s="245" t="s">
        <v>6659</v>
      </c>
      <c r="C2859" s="246" t="s">
        <v>6660</v>
      </c>
      <c r="D2859" s="230"/>
    </row>
    <row r="2860" spans="1:4" ht="14.55" customHeight="1" outlineLevel="1" x14ac:dyDescent="0.25">
      <c r="A2860" s="248" t="s">
        <v>330</v>
      </c>
      <c r="B2860" s="249" t="s">
        <v>6661</v>
      </c>
      <c r="C2860" s="250" t="s">
        <v>6662</v>
      </c>
      <c r="D2860" s="230"/>
    </row>
    <row r="2861" spans="1:4" ht="14.55" customHeight="1" outlineLevel="1" x14ac:dyDescent="0.25">
      <c r="A2861" s="243" t="s">
        <v>330</v>
      </c>
      <c r="B2861" s="245" t="s">
        <v>6663</v>
      </c>
      <c r="C2861" s="246" t="s">
        <v>6664</v>
      </c>
      <c r="D2861" s="230"/>
    </row>
    <row r="2862" spans="1:4" ht="14.55" customHeight="1" outlineLevel="1" x14ac:dyDescent="0.25">
      <c r="A2862" s="243" t="s">
        <v>330</v>
      </c>
      <c r="B2862" s="245" t="s">
        <v>6665</v>
      </c>
      <c r="C2862" s="246" t="s">
        <v>6666</v>
      </c>
      <c r="D2862" s="230"/>
    </row>
    <row r="2863" spans="1:4" ht="14.55" customHeight="1" outlineLevel="1" x14ac:dyDescent="0.25">
      <c r="A2863" s="244" t="s">
        <v>330</v>
      </c>
      <c r="B2863" s="245" t="s">
        <v>6667</v>
      </c>
      <c r="C2863" s="247" t="s">
        <v>6668</v>
      </c>
      <c r="D2863" s="230"/>
    </row>
    <row r="2864" spans="1:4" ht="14.55" customHeight="1" outlineLevel="1" x14ac:dyDescent="0.25">
      <c r="A2864" s="248" t="s">
        <v>330</v>
      </c>
      <c r="B2864" s="249" t="s">
        <v>6669</v>
      </c>
      <c r="C2864" s="250" t="s">
        <v>6670</v>
      </c>
      <c r="D2864" s="230"/>
    </row>
    <row r="2865" spans="1:4" ht="14.55" customHeight="1" outlineLevel="1" x14ac:dyDescent="0.25">
      <c r="A2865" s="243" t="s">
        <v>330</v>
      </c>
      <c r="B2865" s="245" t="s">
        <v>6671</v>
      </c>
      <c r="C2865" s="246" t="s">
        <v>6672</v>
      </c>
      <c r="D2865" s="230"/>
    </row>
    <row r="2866" spans="1:4" ht="14.55" customHeight="1" outlineLevel="1" x14ac:dyDescent="0.25">
      <c r="A2866" s="244" t="s">
        <v>330</v>
      </c>
      <c r="B2866" s="245" t="s">
        <v>6673</v>
      </c>
      <c r="C2866" s="247" t="s">
        <v>6674</v>
      </c>
      <c r="D2866" s="230"/>
    </row>
    <row r="2867" spans="1:4" ht="14.55" customHeight="1" outlineLevel="1" x14ac:dyDescent="0.25">
      <c r="A2867" s="243" t="s">
        <v>330</v>
      </c>
      <c r="B2867" s="245" t="s">
        <v>6675</v>
      </c>
      <c r="C2867" s="246" t="s">
        <v>6676</v>
      </c>
      <c r="D2867" s="230"/>
    </row>
    <row r="2868" spans="1:4" ht="14.55" customHeight="1" outlineLevel="1" x14ac:dyDescent="0.25">
      <c r="A2868" s="243" t="s">
        <v>330</v>
      </c>
      <c r="B2868" s="245" t="s">
        <v>6677</v>
      </c>
      <c r="C2868" s="246" t="s">
        <v>6678</v>
      </c>
      <c r="D2868" s="230"/>
    </row>
    <row r="2869" spans="1:4" ht="14.55" customHeight="1" outlineLevel="1" x14ac:dyDescent="0.25">
      <c r="A2869" s="243" t="s">
        <v>330</v>
      </c>
      <c r="B2869" s="245" t="s">
        <v>6679</v>
      </c>
      <c r="C2869" s="246" t="s">
        <v>6680</v>
      </c>
      <c r="D2869" s="230"/>
    </row>
    <row r="2870" spans="1:4" ht="14.55" customHeight="1" outlineLevel="1" x14ac:dyDescent="0.25">
      <c r="A2870" s="243" t="s">
        <v>330</v>
      </c>
      <c r="B2870" s="245" t="s">
        <v>6681</v>
      </c>
      <c r="C2870" s="246" t="s">
        <v>6682</v>
      </c>
      <c r="D2870" s="230"/>
    </row>
    <row r="2871" spans="1:4" ht="14.55" customHeight="1" outlineLevel="1" x14ac:dyDescent="0.25">
      <c r="A2871" s="243" t="s">
        <v>330</v>
      </c>
      <c r="B2871" s="245" t="s">
        <v>6683</v>
      </c>
      <c r="C2871" s="246" t="s">
        <v>6684</v>
      </c>
      <c r="D2871" s="230"/>
    </row>
    <row r="2872" spans="1:4" ht="14.55" customHeight="1" outlineLevel="1" x14ac:dyDescent="0.25">
      <c r="A2872" s="243" t="s">
        <v>330</v>
      </c>
      <c r="B2872" s="245" t="s">
        <v>6685</v>
      </c>
      <c r="C2872" s="246" t="s">
        <v>6686</v>
      </c>
      <c r="D2872" s="230"/>
    </row>
    <row r="2873" spans="1:4" ht="14.55" customHeight="1" outlineLevel="1" x14ac:dyDescent="0.25">
      <c r="A2873" s="244" t="s">
        <v>330</v>
      </c>
      <c r="B2873" s="245" t="s">
        <v>6687</v>
      </c>
      <c r="C2873" s="247" t="s">
        <v>6688</v>
      </c>
      <c r="D2873" s="230"/>
    </row>
    <row r="2874" spans="1:4" ht="14.55" customHeight="1" outlineLevel="1" x14ac:dyDescent="0.25">
      <c r="A2874" s="244" t="s">
        <v>330</v>
      </c>
      <c r="B2874" s="245" t="s">
        <v>6689</v>
      </c>
      <c r="C2874" s="247" t="s">
        <v>6690</v>
      </c>
      <c r="D2874" s="230"/>
    </row>
    <row r="2875" spans="1:4" ht="14.55" customHeight="1" outlineLevel="1" x14ac:dyDescent="0.25">
      <c r="A2875" s="244" t="s">
        <v>330</v>
      </c>
      <c r="B2875" s="245" t="s">
        <v>6691</v>
      </c>
      <c r="C2875" s="247" t="s">
        <v>6692</v>
      </c>
      <c r="D2875" s="230"/>
    </row>
    <row r="2876" spans="1:4" ht="14.55" customHeight="1" outlineLevel="1" x14ac:dyDescent="0.25">
      <c r="A2876" s="244" t="s">
        <v>330</v>
      </c>
      <c r="B2876" s="245" t="s">
        <v>6693</v>
      </c>
      <c r="C2876" s="247" t="s">
        <v>6694</v>
      </c>
      <c r="D2876" s="230"/>
    </row>
    <row r="2877" spans="1:4" ht="14.55" customHeight="1" outlineLevel="1" x14ac:dyDescent="0.25">
      <c r="A2877" s="243" t="s">
        <v>330</v>
      </c>
      <c r="B2877" s="245" t="s">
        <v>6605</v>
      </c>
      <c r="C2877" s="246" t="s">
        <v>6695</v>
      </c>
      <c r="D2877" s="230"/>
    </row>
    <row r="2878" spans="1:4" ht="14.55" customHeight="1" outlineLevel="1" x14ac:dyDescent="0.25">
      <c r="A2878" s="243" t="s">
        <v>330</v>
      </c>
      <c r="B2878" s="245" t="s">
        <v>6696</v>
      </c>
      <c r="C2878" s="246" t="s">
        <v>6697</v>
      </c>
      <c r="D2878" s="230"/>
    </row>
    <row r="2879" spans="1:4" ht="14.55" customHeight="1" outlineLevel="1" x14ac:dyDescent="0.25">
      <c r="A2879" s="244" t="s">
        <v>330</v>
      </c>
      <c r="B2879" s="245" t="s">
        <v>6698</v>
      </c>
      <c r="C2879" s="247" t="s">
        <v>6699</v>
      </c>
      <c r="D2879" s="230"/>
    </row>
    <row r="2880" spans="1:4" ht="14.55" customHeight="1" outlineLevel="1" x14ac:dyDescent="0.25">
      <c r="A2880" s="243" t="s">
        <v>330</v>
      </c>
      <c r="B2880" s="245" t="s">
        <v>6700</v>
      </c>
      <c r="C2880" s="246" t="s">
        <v>6701</v>
      </c>
      <c r="D2880" s="230"/>
    </row>
    <row r="2881" spans="1:4" ht="14.55" customHeight="1" outlineLevel="1" x14ac:dyDescent="0.25">
      <c r="A2881" s="243" t="s">
        <v>330</v>
      </c>
      <c r="B2881" s="245" t="s">
        <v>6702</v>
      </c>
      <c r="C2881" s="246" t="s">
        <v>6703</v>
      </c>
      <c r="D2881" s="230"/>
    </row>
    <row r="2882" spans="1:4" ht="14.55" customHeight="1" outlineLevel="1" x14ac:dyDescent="0.25">
      <c r="A2882" s="243" t="s">
        <v>330</v>
      </c>
      <c r="B2882" s="245" t="s">
        <v>6704</v>
      </c>
      <c r="C2882" s="246" t="s">
        <v>6705</v>
      </c>
      <c r="D2882" s="230"/>
    </row>
    <row r="2883" spans="1:4" ht="14.55" customHeight="1" outlineLevel="1" x14ac:dyDescent="0.25">
      <c r="A2883" s="243" t="s">
        <v>330</v>
      </c>
      <c r="B2883" s="245" t="s">
        <v>6706</v>
      </c>
      <c r="C2883" s="246" t="s">
        <v>6707</v>
      </c>
      <c r="D2883" s="230"/>
    </row>
    <row r="2884" spans="1:4" ht="14.55" customHeight="1" outlineLevel="1" x14ac:dyDescent="0.25">
      <c r="A2884" s="243" t="s">
        <v>330</v>
      </c>
      <c r="B2884" s="245" t="s">
        <v>6708</v>
      </c>
      <c r="C2884" s="246" t="s">
        <v>6709</v>
      </c>
      <c r="D2884" s="230"/>
    </row>
    <row r="2885" spans="1:4" ht="14.55" customHeight="1" outlineLevel="1" x14ac:dyDescent="0.25">
      <c r="A2885" s="344" t="s">
        <v>330</v>
      </c>
      <c r="B2885" s="345" t="s">
        <v>6710</v>
      </c>
      <c r="C2885" s="346" t="s">
        <v>6711</v>
      </c>
      <c r="D2885" s="230"/>
    </row>
    <row r="2886" spans="1:4" ht="14.55" customHeight="1" outlineLevel="1" x14ac:dyDescent="0.25">
      <c r="A2886" s="243" t="s">
        <v>330</v>
      </c>
      <c r="B2886" s="245" t="s">
        <v>6712</v>
      </c>
      <c r="C2886" s="246" t="s">
        <v>6713</v>
      </c>
      <c r="D2886" s="230"/>
    </row>
    <row r="2887" spans="1:4" ht="14.55" customHeight="1" outlineLevel="1" x14ac:dyDescent="0.25">
      <c r="A2887" s="244" t="s">
        <v>330</v>
      </c>
      <c r="B2887" s="245" t="s">
        <v>6714</v>
      </c>
      <c r="C2887" s="247" t="s">
        <v>6715</v>
      </c>
      <c r="D2887" s="230"/>
    </row>
    <row r="2888" spans="1:4" ht="14.55" customHeight="1" outlineLevel="1" x14ac:dyDescent="0.25">
      <c r="A2888" s="248" t="s">
        <v>330</v>
      </c>
      <c r="B2888" s="249" t="s">
        <v>6716</v>
      </c>
      <c r="C2888" s="250" t="s">
        <v>6717</v>
      </c>
      <c r="D2888" s="230"/>
    </row>
    <row r="2889" spans="1:4" ht="14.55" customHeight="1" outlineLevel="1" x14ac:dyDescent="0.25">
      <c r="A2889" s="243" t="s">
        <v>330</v>
      </c>
      <c r="B2889" s="245" t="s">
        <v>6718</v>
      </c>
      <c r="C2889" s="246" t="s">
        <v>6719</v>
      </c>
      <c r="D2889" s="230"/>
    </row>
    <row r="2890" spans="1:4" ht="14.55" customHeight="1" outlineLevel="1" x14ac:dyDescent="0.25">
      <c r="A2890" s="243" t="s">
        <v>330</v>
      </c>
      <c r="B2890" s="245" t="s">
        <v>6720</v>
      </c>
      <c r="C2890" s="246" t="s">
        <v>6721</v>
      </c>
      <c r="D2890" s="230"/>
    </row>
    <row r="2891" spans="1:4" ht="14.55" customHeight="1" outlineLevel="1" x14ac:dyDescent="0.25">
      <c r="A2891" s="244" t="s">
        <v>330</v>
      </c>
      <c r="B2891" s="245" t="s">
        <v>6722</v>
      </c>
      <c r="C2891" s="247" t="s">
        <v>6723</v>
      </c>
      <c r="D2891" s="230"/>
    </row>
    <row r="2892" spans="1:4" ht="14.55" customHeight="1" outlineLevel="1" x14ac:dyDescent="0.25">
      <c r="A2892" s="243" t="s">
        <v>330</v>
      </c>
      <c r="B2892" s="245" t="s">
        <v>6724</v>
      </c>
      <c r="C2892" s="246" t="s">
        <v>6725</v>
      </c>
      <c r="D2892" s="230"/>
    </row>
    <row r="2893" spans="1:4" ht="14.55" customHeight="1" outlineLevel="1" x14ac:dyDescent="0.25">
      <c r="A2893" s="243" t="s">
        <v>330</v>
      </c>
      <c r="B2893" s="245" t="s">
        <v>6726</v>
      </c>
      <c r="C2893" s="246" t="s">
        <v>6727</v>
      </c>
      <c r="D2893" s="230"/>
    </row>
    <row r="2894" spans="1:4" ht="14.55" customHeight="1" outlineLevel="1" x14ac:dyDescent="0.25">
      <c r="A2894" s="243" t="s">
        <v>330</v>
      </c>
      <c r="B2894" s="245" t="s">
        <v>6728</v>
      </c>
      <c r="C2894" s="246" t="s">
        <v>6729</v>
      </c>
      <c r="D2894" s="230"/>
    </row>
    <row r="2895" spans="1:4" ht="14.55" customHeight="1" outlineLevel="1" x14ac:dyDescent="0.25">
      <c r="A2895" s="243" t="s">
        <v>330</v>
      </c>
      <c r="B2895" s="245" t="s">
        <v>6730</v>
      </c>
      <c r="C2895" s="246" t="s">
        <v>6731</v>
      </c>
      <c r="D2895" s="230"/>
    </row>
    <row r="2896" spans="1:4" ht="14.55" customHeight="1" outlineLevel="1" x14ac:dyDescent="0.25">
      <c r="A2896" s="244" t="s">
        <v>330</v>
      </c>
      <c r="B2896" s="245" t="s">
        <v>6732</v>
      </c>
      <c r="C2896" s="247" t="s">
        <v>6733</v>
      </c>
      <c r="D2896" s="230"/>
    </row>
    <row r="2897" spans="1:4" ht="14.55" customHeight="1" outlineLevel="1" x14ac:dyDescent="0.25">
      <c r="A2897" s="243" t="s">
        <v>330</v>
      </c>
      <c r="B2897" s="245" t="s">
        <v>6734</v>
      </c>
      <c r="C2897" s="246" t="s">
        <v>6735</v>
      </c>
      <c r="D2897" s="230"/>
    </row>
    <row r="2898" spans="1:4" ht="14.55" customHeight="1" outlineLevel="1" x14ac:dyDescent="0.25">
      <c r="A2898" s="243" t="s">
        <v>330</v>
      </c>
      <c r="B2898" s="245" t="s">
        <v>6736</v>
      </c>
      <c r="C2898" s="246" t="s">
        <v>6737</v>
      </c>
      <c r="D2898" s="230"/>
    </row>
    <row r="2899" spans="1:4" ht="14.55" customHeight="1" outlineLevel="1" x14ac:dyDescent="0.25">
      <c r="A2899" s="243" t="s">
        <v>330</v>
      </c>
      <c r="B2899" s="245" t="s">
        <v>6738</v>
      </c>
      <c r="C2899" s="246" t="s">
        <v>6739</v>
      </c>
      <c r="D2899" s="230"/>
    </row>
    <row r="2900" spans="1:4" ht="14.55" customHeight="1" outlineLevel="1" x14ac:dyDescent="0.25">
      <c r="A2900" s="243" t="s">
        <v>330</v>
      </c>
      <c r="B2900" s="245" t="s">
        <v>6740</v>
      </c>
      <c r="C2900" s="246" t="s">
        <v>6741</v>
      </c>
      <c r="D2900" s="230"/>
    </row>
    <row r="2901" spans="1:4" ht="14.55" customHeight="1" outlineLevel="1" x14ac:dyDescent="0.25">
      <c r="A2901" s="243" t="s">
        <v>330</v>
      </c>
      <c r="B2901" s="245" t="s">
        <v>6742</v>
      </c>
      <c r="C2901" s="246" t="s">
        <v>6743</v>
      </c>
      <c r="D2901" s="230"/>
    </row>
    <row r="2902" spans="1:4" ht="14.55" customHeight="1" outlineLevel="1" x14ac:dyDescent="0.25">
      <c r="A2902" s="243" t="s">
        <v>330</v>
      </c>
      <c r="B2902" s="245" t="s">
        <v>6744</v>
      </c>
      <c r="C2902" s="246" t="s">
        <v>6745</v>
      </c>
      <c r="D2902" s="230"/>
    </row>
    <row r="2903" spans="1:4" ht="14.55" customHeight="1" outlineLevel="1" x14ac:dyDescent="0.25">
      <c r="A2903" s="243" t="s">
        <v>330</v>
      </c>
      <c r="B2903" s="245" t="s">
        <v>6746</v>
      </c>
      <c r="C2903" s="246" t="s">
        <v>6747</v>
      </c>
      <c r="D2903" s="230"/>
    </row>
    <row r="2904" spans="1:4" ht="14.55" customHeight="1" outlineLevel="1" x14ac:dyDescent="0.25">
      <c r="A2904" s="243" t="s">
        <v>330</v>
      </c>
      <c r="B2904" s="245" t="s">
        <v>6748</v>
      </c>
      <c r="C2904" s="246" t="s">
        <v>6749</v>
      </c>
      <c r="D2904" s="230"/>
    </row>
    <row r="2905" spans="1:4" ht="14.55" customHeight="1" outlineLevel="1" x14ac:dyDescent="0.25">
      <c r="A2905" s="243" t="s">
        <v>330</v>
      </c>
      <c r="B2905" s="245" t="s">
        <v>6750</v>
      </c>
      <c r="C2905" s="246" t="s">
        <v>6751</v>
      </c>
      <c r="D2905" s="230"/>
    </row>
    <row r="2906" spans="1:4" ht="14.55" customHeight="1" outlineLevel="1" x14ac:dyDescent="0.25">
      <c r="A2906" s="243" t="s">
        <v>330</v>
      </c>
      <c r="B2906" s="245" t="s">
        <v>6752</v>
      </c>
      <c r="C2906" s="246" t="s">
        <v>6753</v>
      </c>
      <c r="D2906" s="230"/>
    </row>
    <row r="2907" spans="1:4" ht="14.55" customHeight="1" outlineLevel="1" x14ac:dyDescent="0.25">
      <c r="A2907" s="244" t="s">
        <v>330</v>
      </c>
      <c r="B2907" s="245" t="s">
        <v>6754</v>
      </c>
      <c r="C2907" s="247" t="s">
        <v>6755</v>
      </c>
      <c r="D2907" s="230"/>
    </row>
    <row r="2908" spans="1:4" ht="14.55" customHeight="1" outlineLevel="1" x14ac:dyDescent="0.25">
      <c r="A2908" s="244" t="s">
        <v>330</v>
      </c>
      <c r="B2908" s="245" t="s">
        <v>6756</v>
      </c>
      <c r="C2908" s="247" t="s">
        <v>6757</v>
      </c>
      <c r="D2908" s="230"/>
    </row>
    <row r="2909" spans="1:4" ht="14.55" customHeight="1" outlineLevel="1" x14ac:dyDescent="0.25">
      <c r="A2909" s="244" t="s">
        <v>330</v>
      </c>
      <c r="B2909" s="245" t="s">
        <v>6758</v>
      </c>
      <c r="C2909" s="247" t="s">
        <v>6759</v>
      </c>
      <c r="D2909" s="230"/>
    </row>
    <row r="2910" spans="1:4" ht="14.55" customHeight="1" outlineLevel="1" x14ac:dyDescent="0.25">
      <c r="A2910" s="243" t="s">
        <v>330</v>
      </c>
      <c r="B2910" s="245" t="s">
        <v>6760</v>
      </c>
      <c r="C2910" s="246" t="s">
        <v>6761</v>
      </c>
      <c r="D2910" s="230"/>
    </row>
    <row r="2911" spans="1:4" ht="14.55" customHeight="1" outlineLevel="1" x14ac:dyDescent="0.25">
      <c r="A2911" s="344" t="s">
        <v>330</v>
      </c>
      <c r="B2911" s="345" t="s">
        <v>6762</v>
      </c>
      <c r="C2911" s="346" t="s">
        <v>6763</v>
      </c>
      <c r="D2911" s="230"/>
    </row>
    <row r="2912" spans="1:4" ht="14.55" customHeight="1" outlineLevel="1" x14ac:dyDescent="0.25">
      <c r="A2912" s="243" t="s">
        <v>330</v>
      </c>
      <c r="B2912" s="245" t="s">
        <v>6764</v>
      </c>
      <c r="C2912" s="246" t="s">
        <v>6765</v>
      </c>
      <c r="D2912" s="230"/>
    </row>
    <row r="2913" spans="1:4" ht="14.55" customHeight="1" outlineLevel="1" x14ac:dyDescent="0.25">
      <c r="A2913" s="244" t="s">
        <v>330</v>
      </c>
      <c r="B2913" s="245" t="s">
        <v>6766</v>
      </c>
      <c r="C2913" s="247" t="s">
        <v>6767</v>
      </c>
      <c r="D2913" s="230"/>
    </row>
    <row r="2914" spans="1:4" ht="14.55" customHeight="1" outlineLevel="1" x14ac:dyDescent="0.25">
      <c r="A2914" s="243" t="s">
        <v>330</v>
      </c>
      <c r="B2914" s="245" t="s">
        <v>6768</v>
      </c>
      <c r="C2914" s="246" t="s">
        <v>6769</v>
      </c>
      <c r="D2914" s="230"/>
    </row>
    <row r="2915" spans="1:4" ht="14.55" customHeight="1" outlineLevel="1" x14ac:dyDescent="0.25">
      <c r="A2915" s="243" t="s">
        <v>330</v>
      </c>
      <c r="B2915" s="245" t="s">
        <v>6770</v>
      </c>
      <c r="C2915" s="246" t="s">
        <v>6771</v>
      </c>
      <c r="D2915" s="230"/>
    </row>
    <row r="2916" spans="1:4" ht="14.55" customHeight="1" outlineLevel="1" x14ac:dyDescent="0.25">
      <c r="A2916" s="243" t="s">
        <v>330</v>
      </c>
      <c r="B2916" s="245" t="s">
        <v>6772</v>
      </c>
      <c r="C2916" s="246" t="s">
        <v>6773</v>
      </c>
      <c r="D2916" s="230"/>
    </row>
    <row r="2917" spans="1:4" ht="14.55" customHeight="1" outlineLevel="1" x14ac:dyDescent="0.25">
      <c r="A2917" s="248" t="s">
        <v>330</v>
      </c>
      <c r="B2917" s="249" t="s">
        <v>6774</v>
      </c>
      <c r="C2917" s="250" t="s">
        <v>6775</v>
      </c>
      <c r="D2917" s="230"/>
    </row>
    <row r="2918" spans="1:4" ht="14.55" customHeight="1" outlineLevel="1" x14ac:dyDescent="0.25">
      <c r="A2918" s="243" t="s">
        <v>330</v>
      </c>
      <c r="B2918" s="245" t="s">
        <v>6776</v>
      </c>
      <c r="C2918" s="246" t="s">
        <v>6777</v>
      </c>
      <c r="D2918" s="230"/>
    </row>
    <row r="2919" spans="1:4" ht="14.55" customHeight="1" outlineLevel="1" x14ac:dyDescent="0.25">
      <c r="A2919" s="243" t="s">
        <v>330</v>
      </c>
      <c r="B2919" s="245" t="s">
        <v>6778</v>
      </c>
      <c r="C2919" s="246" t="s">
        <v>6779</v>
      </c>
      <c r="D2919" s="230"/>
    </row>
    <row r="2920" spans="1:4" ht="14.55" customHeight="1" outlineLevel="1" x14ac:dyDescent="0.25">
      <c r="A2920" s="243" t="s">
        <v>330</v>
      </c>
      <c r="B2920" s="245" t="s">
        <v>6780</v>
      </c>
      <c r="C2920" s="246" t="s">
        <v>6781</v>
      </c>
      <c r="D2920" s="230"/>
    </row>
    <row r="2921" spans="1:4" ht="14.55" customHeight="1" outlineLevel="1" x14ac:dyDescent="0.25">
      <c r="A2921" s="244" t="s">
        <v>330</v>
      </c>
      <c r="B2921" s="245" t="s">
        <v>6782</v>
      </c>
      <c r="C2921" s="247" t="s">
        <v>6783</v>
      </c>
      <c r="D2921" s="230"/>
    </row>
    <row r="2922" spans="1:4" ht="14.55" customHeight="1" outlineLevel="1" x14ac:dyDescent="0.25">
      <c r="A2922" s="243" t="s">
        <v>330</v>
      </c>
      <c r="B2922" s="245" t="s">
        <v>6784</v>
      </c>
      <c r="C2922" s="246" t="s">
        <v>6785</v>
      </c>
      <c r="D2922" s="230"/>
    </row>
    <row r="2923" spans="1:4" ht="14.55" customHeight="1" outlineLevel="1" x14ac:dyDescent="0.25">
      <c r="A2923" s="243" t="s">
        <v>330</v>
      </c>
      <c r="B2923" s="245" t="s">
        <v>6786</v>
      </c>
      <c r="C2923" s="246" t="s">
        <v>6787</v>
      </c>
      <c r="D2923" s="230"/>
    </row>
    <row r="2924" spans="1:4" ht="14.55" customHeight="1" outlineLevel="1" x14ac:dyDescent="0.25">
      <c r="A2924" s="243" t="s">
        <v>330</v>
      </c>
      <c r="B2924" s="245" t="s">
        <v>6788</v>
      </c>
      <c r="C2924" s="246" t="s">
        <v>6789</v>
      </c>
      <c r="D2924" s="230"/>
    </row>
    <row r="2925" spans="1:4" ht="14.55" customHeight="1" outlineLevel="1" x14ac:dyDescent="0.25">
      <c r="A2925" s="243" t="s">
        <v>330</v>
      </c>
      <c r="B2925" s="245" t="s">
        <v>6790</v>
      </c>
      <c r="C2925" s="246" t="s">
        <v>6791</v>
      </c>
      <c r="D2925" s="230"/>
    </row>
    <row r="2926" spans="1:4" ht="14.55" customHeight="1" outlineLevel="1" x14ac:dyDescent="0.25">
      <c r="A2926" s="244" t="s">
        <v>330</v>
      </c>
      <c r="B2926" s="245" t="s">
        <v>6792</v>
      </c>
      <c r="C2926" s="247" t="s">
        <v>6793</v>
      </c>
      <c r="D2926" s="230"/>
    </row>
    <row r="2927" spans="1:4" ht="14.55" customHeight="1" outlineLevel="1" x14ac:dyDescent="0.25">
      <c r="A2927" s="243" t="s">
        <v>330</v>
      </c>
      <c r="B2927" s="245" t="s">
        <v>6794</v>
      </c>
      <c r="C2927" s="246" t="s">
        <v>6795</v>
      </c>
      <c r="D2927" s="230"/>
    </row>
    <row r="2928" spans="1:4" ht="14.55" customHeight="1" outlineLevel="1" x14ac:dyDescent="0.25">
      <c r="A2928" s="243" t="s">
        <v>330</v>
      </c>
      <c r="B2928" s="245" t="s">
        <v>6796</v>
      </c>
      <c r="C2928" s="246" t="s">
        <v>6797</v>
      </c>
      <c r="D2928" s="230"/>
    </row>
    <row r="2929" spans="1:4" ht="14.55" customHeight="1" outlineLevel="1" x14ac:dyDescent="0.25">
      <c r="A2929" s="243" t="s">
        <v>330</v>
      </c>
      <c r="B2929" s="245" t="s">
        <v>6798</v>
      </c>
      <c r="C2929" s="246" t="s">
        <v>6799</v>
      </c>
      <c r="D2929" s="230"/>
    </row>
    <row r="2930" spans="1:4" ht="14.55" customHeight="1" outlineLevel="1" x14ac:dyDescent="0.25">
      <c r="A2930" s="243" t="s">
        <v>330</v>
      </c>
      <c r="B2930" s="245" t="s">
        <v>6800</v>
      </c>
      <c r="C2930" s="246" t="s">
        <v>6801</v>
      </c>
      <c r="D2930" s="230"/>
    </row>
    <row r="2931" spans="1:4" ht="14.55" customHeight="1" outlineLevel="1" x14ac:dyDescent="0.25">
      <c r="A2931" s="243" t="s">
        <v>330</v>
      </c>
      <c r="B2931" s="245" t="s">
        <v>6802</v>
      </c>
      <c r="C2931" s="246" t="s">
        <v>6803</v>
      </c>
      <c r="D2931" s="230"/>
    </row>
    <row r="2932" spans="1:4" ht="14.55" customHeight="1" outlineLevel="1" x14ac:dyDescent="0.25">
      <c r="A2932" s="243" t="s">
        <v>330</v>
      </c>
      <c r="B2932" s="245" t="s">
        <v>6804</v>
      </c>
      <c r="C2932" s="246" t="s">
        <v>6805</v>
      </c>
      <c r="D2932" s="230"/>
    </row>
    <row r="2933" spans="1:4" ht="14.55" customHeight="1" outlineLevel="1" x14ac:dyDescent="0.25">
      <c r="A2933" s="243" t="s">
        <v>330</v>
      </c>
      <c r="B2933" s="245" t="s">
        <v>6806</v>
      </c>
      <c r="C2933" s="246" t="s">
        <v>6807</v>
      </c>
      <c r="D2933" s="230"/>
    </row>
    <row r="2934" spans="1:4" ht="14.55" customHeight="1" outlineLevel="1" x14ac:dyDescent="0.25">
      <c r="A2934" s="244" t="s">
        <v>330</v>
      </c>
      <c r="B2934" s="245" t="s">
        <v>6808</v>
      </c>
      <c r="C2934" s="247" t="s">
        <v>6809</v>
      </c>
      <c r="D2934" s="230"/>
    </row>
    <row r="2935" spans="1:4" ht="14.55" customHeight="1" outlineLevel="1" x14ac:dyDescent="0.25">
      <c r="A2935" s="243" t="s">
        <v>330</v>
      </c>
      <c r="B2935" s="245" t="s">
        <v>6810</v>
      </c>
      <c r="C2935" s="246" t="s">
        <v>6811</v>
      </c>
      <c r="D2935" s="230"/>
    </row>
    <row r="2936" spans="1:4" ht="14.55" customHeight="1" outlineLevel="1" x14ac:dyDescent="0.25">
      <c r="A2936" s="243" t="s">
        <v>330</v>
      </c>
      <c r="B2936" s="245" t="s">
        <v>6812</v>
      </c>
      <c r="C2936" s="246" t="s">
        <v>6813</v>
      </c>
      <c r="D2936" s="230"/>
    </row>
    <row r="2937" spans="1:4" ht="14.55" customHeight="1" outlineLevel="1" x14ac:dyDescent="0.25">
      <c r="A2937" s="243" t="s">
        <v>330</v>
      </c>
      <c r="B2937" s="245" t="s">
        <v>6814</v>
      </c>
      <c r="C2937" s="246" t="s">
        <v>6815</v>
      </c>
      <c r="D2937" s="230"/>
    </row>
    <row r="2938" spans="1:4" ht="14.55" customHeight="1" outlineLevel="1" x14ac:dyDescent="0.25">
      <c r="A2938" s="243" t="s">
        <v>330</v>
      </c>
      <c r="B2938" s="245" t="s">
        <v>6816</v>
      </c>
      <c r="C2938" s="246" t="s">
        <v>6817</v>
      </c>
      <c r="D2938" s="230"/>
    </row>
    <row r="2939" spans="1:4" ht="14.55" customHeight="1" outlineLevel="1" x14ac:dyDescent="0.25">
      <c r="A2939" s="243" t="s">
        <v>330</v>
      </c>
      <c r="B2939" s="245" t="s">
        <v>6818</v>
      </c>
      <c r="C2939" s="246" t="s">
        <v>6819</v>
      </c>
      <c r="D2939" s="230"/>
    </row>
    <row r="2940" spans="1:4" ht="14.55" customHeight="1" outlineLevel="1" x14ac:dyDescent="0.25">
      <c r="A2940" s="248" t="s">
        <v>330</v>
      </c>
      <c r="B2940" s="249" t="s">
        <v>6820</v>
      </c>
      <c r="C2940" s="250" t="s">
        <v>6821</v>
      </c>
      <c r="D2940" s="230"/>
    </row>
    <row r="2941" spans="1:4" ht="14.55" customHeight="1" outlineLevel="1" x14ac:dyDescent="0.25">
      <c r="A2941" s="243" t="s">
        <v>330</v>
      </c>
      <c r="B2941" s="245" t="s">
        <v>6822</v>
      </c>
      <c r="C2941" s="246" t="s">
        <v>6823</v>
      </c>
      <c r="D2941" s="230"/>
    </row>
    <row r="2942" spans="1:4" ht="14.55" customHeight="1" outlineLevel="1" x14ac:dyDescent="0.25">
      <c r="A2942" s="244" t="s">
        <v>330</v>
      </c>
      <c r="B2942" s="245" t="s">
        <v>6824</v>
      </c>
      <c r="C2942" s="247" t="s">
        <v>6825</v>
      </c>
      <c r="D2942" s="230"/>
    </row>
    <row r="2943" spans="1:4" ht="14.55" customHeight="1" outlineLevel="1" x14ac:dyDescent="0.25">
      <c r="A2943" s="243" t="s">
        <v>330</v>
      </c>
      <c r="B2943" s="245" t="s">
        <v>6826</v>
      </c>
      <c r="C2943" s="246" t="s">
        <v>6827</v>
      </c>
      <c r="D2943" s="230"/>
    </row>
    <row r="2944" spans="1:4" ht="14.55" customHeight="1" outlineLevel="1" x14ac:dyDescent="0.25">
      <c r="A2944" s="244" t="s">
        <v>330</v>
      </c>
      <c r="B2944" s="245" t="s">
        <v>6828</v>
      </c>
      <c r="C2944" s="247" t="s">
        <v>6829</v>
      </c>
      <c r="D2944" s="230"/>
    </row>
    <row r="2945" spans="1:4" ht="14.55" customHeight="1" outlineLevel="1" x14ac:dyDescent="0.25">
      <c r="A2945" s="243" t="s">
        <v>330</v>
      </c>
      <c r="B2945" s="245" t="s">
        <v>6830</v>
      </c>
      <c r="C2945" s="246" t="s">
        <v>6831</v>
      </c>
      <c r="D2945" s="230"/>
    </row>
    <row r="2946" spans="1:4" ht="14.55" customHeight="1" outlineLevel="1" x14ac:dyDescent="0.25">
      <c r="A2946" s="243" t="s">
        <v>330</v>
      </c>
      <c r="B2946" s="245" t="s">
        <v>6832</v>
      </c>
      <c r="C2946" s="246" t="s">
        <v>6833</v>
      </c>
      <c r="D2946" s="230"/>
    </row>
    <row r="2947" spans="1:4" ht="14.55" customHeight="1" outlineLevel="1" x14ac:dyDescent="0.25">
      <c r="A2947" s="248" t="s">
        <v>330</v>
      </c>
      <c r="B2947" s="249" t="s">
        <v>6834</v>
      </c>
      <c r="C2947" s="250" t="s">
        <v>6835</v>
      </c>
      <c r="D2947" s="230"/>
    </row>
    <row r="2948" spans="1:4" ht="14.55" customHeight="1" outlineLevel="1" x14ac:dyDescent="0.25">
      <c r="A2948" s="243" t="s">
        <v>330</v>
      </c>
      <c r="B2948" s="245" t="s">
        <v>6836</v>
      </c>
      <c r="C2948" s="246" t="s">
        <v>6837</v>
      </c>
      <c r="D2948" s="230"/>
    </row>
    <row r="2949" spans="1:4" ht="14.55" customHeight="1" outlineLevel="1" x14ac:dyDescent="0.25">
      <c r="A2949" s="243" t="s">
        <v>330</v>
      </c>
      <c r="B2949" s="245" t="s">
        <v>6838</v>
      </c>
      <c r="C2949" s="246" t="s">
        <v>6839</v>
      </c>
      <c r="D2949" s="230"/>
    </row>
    <row r="2950" spans="1:4" ht="14.55" customHeight="1" outlineLevel="1" x14ac:dyDescent="0.25">
      <c r="A2950" s="243" t="s">
        <v>330</v>
      </c>
      <c r="B2950" s="245" t="s">
        <v>6840</v>
      </c>
      <c r="C2950" s="246" t="s">
        <v>6841</v>
      </c>
      <c r="D2950" s="230"/>
    </row>
    <row r="2951" spans="1:4" ht="14.55" customHeight="1" outlineLevel="1" x14ac:dyDescent="0.25">
      <c r="A2951" s="243" t="s">
        <v>330</v>
      </c>
      <c r="B2951" s="245" t="s">
        <v>6842</v>
      </c>
      <c r="C2951" s="246" t="s">
        <v>6843</v>
      </c>
      <c r="D2951" s="230"/>
    </row>
    <row r="2952" spans="1:4" ht="14.55" customHeight="1" outlineLevel="1" x14ac:dyDescent="0.25">
      <c r="A2952" s="243" t="s">
        <v>330</v>
      </c>
      <c r="B2952" s="245" t="s">
        <v>6572</v>
      </c>
      <c r="C2952" s="246" t="s">
        <v>6844</v>
      </c>
      <c r="D2952" s="230"/>
    </row>
    <row r="2953" spans="1:4" ht="14.55" customHeight="1" outlineLevel="1" x14ac:dyDescent="0.25">
      <c r="A2953" s="243" t="s">
        <v>330</v>
      </c>
      <c r="B2953" s="245" t="s">
        <v>6845</v>
      </c>
      <c r="C2953" s="246" t="s">
        <v>6846</v>
      </c>
      <c r="D2953" s="230"/>
    </row>
    <row r="2954" spans="1:4" ht="14.55" customHeight="1" outlineLevel="1" x14ac:dyDescent="0.25">
      <c r="A2954" s="243" t="s">
        <v>330</v>
      </c>
      <c r="B2954" s="245" t="s">
        <v>6847</v>
      </c>
      <c r="C2954" s="246" t="s">
        <v>6848</v>
      </c>
      <c r="D2954" s="230"/>
    </row>
    <row r="2955" spans="1:4" ht="14.55" customHeight="1" outlineLevel="1" x14ac:dyDescent="0.25">
      <c r="A2955" s="244" t="s">
        <v>330</v>
      </c>
      <c r="B2955" s="245" t="s">
        <v>6849</v>
      </c>
      <c r="C2955" s="247" t="s">
        <v>6850</v>
      </c>
      <c r="D2955" s="230"/>
    </row>
    <row r="2956" spans="1:4" ht="14.55" customHeight="1" outlineLevel="1" x14ac:dyDescent="0.25">
      <c r="A2956" s="243" t="s">
        <v>330</v>
      </c>
      <c r="B2956" s="245" t="s">
        <v>6851</v>
      </c>
      <c r="C2956" s="246" t="s">
        <v>6852</v>
      </c>
      <c r="D2956" s="230"/>
    </row>
    <row r="2957" spans="1:4" ht="14.55" customHeight="1" outlineLevel="1" x14ac:dyDescent="0.25">
      <c r="A2957" s="244" t="s">
        <v>330</v>
      </c>
      <c r="B2957" s="245" t="s">
        <v>6853</v>
      </c>
      <c r="C2957" s="247" t="s">
        <v>6854</v>
      </c>
      <c r="D2957" s="230"/>
    </row>
    <row r="2958" spans="1:4" ht="14.55" customHeight="1" outlineLevel="1" x14ac:dyDescent="0.25">
      <c r="A2958" s="244" t="s">
        <v>330</v>
      </c>
      <c r="B2958" s="245" t="s">
        <v>6855</v>
      </c>
      <c r="C2958" s="247" t="s">
        <v>6856</v>
      </c>
      <c r="D2958" s="230"/>
    </row>
    <row r="2959" spans="1:4" ht="14.55" customHeight="1" outlineLevel="1" x14ac:dyDescent="0.25">
      <c r="A2959" s="243" t="s">
        <v>330</v>
      </c>
      <c r="B2959" s="245" t="s">
        <v>6857</v>
      </c>
      <c r="C2959" s="246" t="s">
        <v>6858</v>
      </c>
      <c r="D2959" s="230"/>
    </row>
    <row r="2960" spans="1:4" ht="14.55" customHeight="1" outlineLevel="1" x14ac:dyDescent="0.25">
      <c r="A2960" s="244" t="s">
        <v>330</v>
      </c>
      <c r="B2960" s="245" t="s">
        <v>6859</v>
      </c>
      <c r="C2960" s="247" t="s">
        <v>6860</v>
      </c>
      <c r="D2960" s="230"/>
    </row>
    <row r="2961" spans="1:4" ht="14.55" customHeight="1" outlineLevel="1" x14ac:dyDescent="0.25">
      <c r="A2961" s="243" t="s">
        <v>330</v>
      </c>
      <c r="B2961" s="245" t="s">
        <v>6861</v>
      </c>
      <c r="C2961" s="246" t="s">
        <v>6862</v>
      </c>
      <c r="D2961" s="230"/>
    </row>
    <row r="2962" spans="1:4" ht="14.55" customHeight="1" outlineLevel="1" x14ac:dyDescent="0.25">
      <c r="A2962" s="244" t="s">
        <v>330</v>
      </c>
      <c r="B2962" s="245" t="s">
        <v>6863</v>
      </c>
      <c r="C2962" s="247" t="s">
        <v>6864</v>
      </c>
      <c r="D2962" s="230"/>
    </row>
    <row r="2963" spans="1:4" ht="14.55" customHeight="1" outlineLevel="1" x14ac:dyDescent="0.25">
      <c r="A2963" s="243" t="s">
        <v>330</v>
      </c>
      <c r="B2963" s="245" t="s">
        <v>6865</v>
      </c>
      <c r="C2963" s="246" t="s">
        <v>6866</v>
      </c>
      <c r="D2963" s="230"/>
    </row>
    <row r="2964" spans="1:4" ht="14.55" customHeight="1" outlineLevel="1" x14ac:dyDescent="0.25">
      <c r="A2964" s="243" t="s">
        <v>330</v>
      </c>
      <c r="B2964" s="245" t="s">
        <v>6867</v>
      </c>
      <c r="C2964" s="246" t="s">
        <v>6868</v>
      </c>
      <c r="D2964" s="230"/>
    </row>
    <row r="2965" spans="1:4" ht="14.55" customHeight="1" outlineLevel="1" x14ac:dyDescent="0.25">
      <c r="A2965" s="243" t="s">
        <v>330</v>
      </c>
      <c r="B2965" s="245" t="s">
        <v>6869</v>
      </c>
      <c r="C2965" s="246" t="s">
        <v>6870</v>
      </c>
      <c r="D2965" s="230"/>
    </row>
    <row r="2966" spans="1:4" ht="14.55" customHeight="1" outlineLevel="1" x14ac:dyDescent="0.25">
      <c r="A2966" s="243" t="s">
        <v>330</v>
      </c>
      <c r="B2966" s="245" t="s">
        <v>6871</v>
      </c>
      <c r="C2966" s="246" t="s">
        <v>6872</v>
      </c>
      <c r="D2966" s="230"/>
    </row>
    <row r="2967" spans="1:4" ht="14.55" customHeight="1" outlineLevel="1" x14ac:dyDescent="0.25">
      <c r="A2967" s="243" t="s">
        <v>330</v>
      </c>
      <c r="B2967" s="245" t="s">
        <v>6873</v>
      </c>
      <c r="C2967" s="246" t="s">
        <v>6874</v>
      </c>
      <c r="D2967" s="230"/>
    </row>
    <row r="2968" spans="1:4" ht="14.55" customHeight="1" outlineLevel="1" x14ac:dyDescent="0.25">
      <c r="A2968" s="243" t="s">
        <v>330</v>
      </c>
      <c r="B2968" s="245" t="s">
        <v>6875</v>
      </c>
      <c r="C2968" s="246" t="s">
        <v>6876</v>
      </c>
      <c r="D2968" s="230"/>
    </row>
    <row r="2969" spans="1:4" ht="14.55" customHeight="1" outlineLevel="1" x14ac:dyDescent="0.25">
      <c r="A2969" s="243" t="s">
        <v>330</v>
      </c>
      <c r="B2969" s="245" t="s">
        <v>6877</v>
      </c>
      <c r="C2969" s="246" t="s">
        <v>6878</v>
      </c>
      <c r="D2969" s="230"/>
    </row>
    <row r="2970" spans="1:4" ht="14.55" customHeight="1" outlineLevel="1" x14ac:dyDescent="0.25">
      <c r="A2970" s="243" t="s">
        <v>330</v>
      </c>
      <c r="B2970" s="245" t="s">
        <v>6879</v>
      </c>
      <c r="C2970" s="246" t="s">
        <v>6880</v>
      </c>
      <c r="D2970" s="230"/>
    </row>
    <row r="2971" spans="1:4" ht="14.55" customHeight="1" outlineLevel="1" x14ac:dyDescent="0.25">
      <c r="A2971" s="243" t="s">
        <v>330</v>
      </c>
      <c r="B2971" s="245" t="s">
        <v>6881</v>
      </c>
      <c r="C2971" s="246" t="s">
        <v>6882</v>
      </c>
      <c r="D2971" s="230"/>
    </row>
    <row r="2972" spans="1:4" ht="14.55" customHeight="1" outlineLevel="1" x14ac:dyDescent="0.25">
      <c r="A2972" s="243" t="s">
        <v>330</v>
      </c>
      <c r="B2972" s="245" t="s">
        <v>6883</v>
      </c>
      <c r="C2972" s="246" t="s">
        <v>6884</v>
      </c>
      <c r="D2972" s="230"/>
    </row>
    <row r="2973" spans="1:4" ht="14.55" customHeight="1" outlineLevel="1" x14ac:dyDescent="0.25">
      <c r="A2973" s="243" t="s">
        <v>330</v>
      </c>
      <c r="B2973" s="245" t="s">
        <v>6885</v>
      </c>
      <c r="C2973" s="246" t="s">
        <v>6886</v>
      </c>
      <c r="D2973" s="230"/>
    </row>
    <row r="2974" spans="1:4" ht="14.55" customHeight="1" outlineLevel="1" x14ac:dyDescent="0.25">
      <c r="A2974" s="243" t="s">
        <v>330</v>
      </c>
      <c r="B2974" s="245" t="s">
        <v>6887</v>
      </c>
      <c r="C2974" s="246" t="s">
        <v>6888</v>
      </c>
      <c r="D2974" s="230"/>
    </row>
    <row r="2975" spans="1:4" ht="14.55" customHeight="1" outlineLevel="1" x14ac:dyDescent="0.25">
      <c r="A2975" s="244" t="s">
        <v>330</v>
      </c>
      <c r="B2975" s="245" t="s">
        <v>6889</v>
      </c>
      <c r="C2975" s="247" t="s">
        <v>6890</v>
      </c>
      <c r="D2975" s="230"/>
    </row>
    <row r="2976" spans="1:4" ht="14.55" customHeight="1" outlineLevel="1" x14ac:dyDescent="0.25">
      <c r="A2976" s="248" t="s">
        <v>330</v>
      </c>
      <c r="B2976" s="249" t="s">
        <v>6891</v>
      </c>
      <c r="C2976" s="250" t="s">
        <v>6892</v>
      </c>
      <c r="D2976" s="230"/>
    </row>
    <row r="2977" spans="1:4" ht="14.55" customHeight="1" outlineLevel="1" x14ac:dyDescent="0.25">
      <c r="A2977" s="248" t="s">
        <v>330</v>
      </c>
      <c r="B2977" s="249" t="s">
        <v>6893</v>
      </c>
      <c r="C2977" s="250" t="s">
        <v>6894</v>
      </c>
      <c r="D2977" s="230"/>
    </row>
    <row r="2978" spans="1:4" ht="14.55" customHeight="1" outlineLevel="1" x14ac:dyDescent="0.25">
      <c r="A2978" s="243" t="s">
        <v>330</v>
      </c>
      <c r="B2978" s="245" t="s">
        <v>6895</v>
      </c>
      <c r="C2978" s="246" t="s">
        <v>6896</v>
      </c>
      <c r="D2978" s="230"/>
    </row>
    <row r="2979" spans="1:4" ht="14.55" customHeight="1" outlineLevel="1" x14ac:dyDescent="0.25">
      <c r="A2979" s="244" t="s">
        <v>330</v>
      </c>
      <c r="B2979" s="245" t="s">
        <v>6897</v>
      </c>
      <c r="C2979" s="247" t="s">
        <v>6898</v>
      </c>
      <c r="D2979" s="230"/>
    </row>
    <row r="2980" spans="1:4" ht="14.55" customHeight="1" outlineLevel="1" x14ac:dyDescent="0.25">
      <c r="A2980" s="244" t="s">
        <v>330</v>
      </c>
      <c r="B2980" s="245" t="s">
        <v>6899</v>
      </c>
      <c r="C2980" s="247" t="s">
        <v>6900</v>
      </c>
      <c r="D2980" s="230"/>
    </row>
    <row r="2981" spans="1:4" ht="14.55" customHeight="1" outlineLevel="1" x14ac:dyDescent="0.25">
      <c r="A2981" s="243" t="s">
        <v>330</v>
      </c>
      <c r="B2981" s="245" t="s">
        <v>6901</v>
      </c>
      <c r="C2981" s="246" t="s">
        <v>6902</v>
      </c>
      <c r="D2981" s="230"/>
    </row>
    <row r="2982" spans="1:4" ht="14.55" customHeight="1" outlineLevel="1" x14ac:dyDescent="0.25">
      <c r="A2982" s="243" t="s">
        <v>330</v>
      </c>
      <c r="B2982" s="245" t="s">
        <v>6903</v>
      </c>
      <c r="C2982" s="246" t="s">
        <v>6904</v>
      </c>
      <c r="D2982" s="230"/>
    </row>
    <row r="2983" spans="1:4" ht="14.55" customHeight="1" outlineLevel="1" x14ac:dyDescent="0.25">
      <c r="A2983" s="243" t="s">
        <v>330</v>
      </c>
      <c r="B2983" s="245" t="s">
        <v>6905</v>
      </c>
      <c r="C2983" s="246" t="s">
        <v>6906</v>
      </c>
      <c r="D2983" s="230"/>
    </row>
    <row r="2984" spans="1:4" ht="14.55" customHeight="1" outlineLevel="1" x14ac:dyDescent="0.25">
      <c r="A2984" s="243" t="s">
        <v>330</v>
      </c>
      <c r="B2984" s="245" t="s">
        <v>6907</v>
      </c>
      <c r="C2984" s="246" t="s">
        <v>6908</v>
      </c>
      <c r="D2984" s="230"/>
    </row>
    <row r="2985" spans="1:4" ht="14.55" customHeight="1" outlineLevel="1" x14ac:dyDescent="0.25">
      <c r="A2985" s="244" t="s">
        <v>330</v>
      </c>
      <c r="B2985" s="245" t="s">
        <v>6909</v>
      </c>
      <c r="C2985" s="247" t="s">
        <v>6910</v>
      </c>
      <c r="D2985" s="230"/>
    </row>
    <row r="2986" spans="1:4" ht="14.55" customHeight="1" outlineLevel="1" x14ac:dyDescent="0.25">
      <c r="A2986" s="243" t="s">
        <v>330</v>
      </c>
      <c r="B2986" s="245" t="s">
        <v>6911</v>
      </c>
      <c r="C2986" s="246" t="s">
        <v>6912</v>
      </c>
      <c r="D2986" s="230"/>
    </row>
    <row r="2987" spans="1:4" ht="14.55" customHeight="1" outlineLevel="1" x14ac:dyDescent="0.25">
      <c r="A2987" s="243" t="s">
        <v>330</v>
      </c>
      <c r="B2987" s="245" t="s">
        <v>6913</v>
      </c>
      <c r="C2987" s="246" t="s">
        <v>6914</v>
      </c>
      <c r="D2987" s="230"/>
    </row>
    <row r="2988" spans="1:4" ht="14.55" customHeight="1" outlineLevel="1" x14ac:dyDescent="0.25">
      <c r="A2988" s="243" t="s">
        <v>330</v>
      </c>
      <c r="B2988" s="245" t="s">
        <v>6915</v>
      </c>
      <c r="C2988" s="246" t="s">
        <v>6916</v>
      </c>
      <c r="D2988" s="230"/>
    </row>
    <row r="2989" spans="1:4" ht="14.55" customHeight="1" outlineLevel="1" x14ac:dyDescent="0.25">
      <c r="A2989" s="243" t="s">
        <v>330</v>
      </c>
      <c r="B2989" s="245" t="s">
        <v>6917</v>
      </c>
      <c r="C2989" s="246" t="s">
        <v>6918</v>
      </c>
      <c r="D2989" s="230"/>
    </row>
    <row r="2990" spans="1:4" ht="14.55" customHeight="1" outlineLevel="1" x14ac:dyDescent="0.25">
      <c r="A2990" s="243" t="s">
        <v>330</v>
      </c>
      <c r="B2990" s="245" t="s">
        <v>6919</v>
      </c>
      <c r="C2990" s="246" t="s">
        <v>6920</v>
      </c>
      <c r="D2990" s="230"/>
    </row>
    <row r="2991" spans="1:4" ht="14.55" customHeight="1" outlineLevel="1" x14ac:dyDescent="0.25">
      <c r="A2991" s="243" t="s">
        <v>330</v>
      </c>
      <c r="B2991" s="245" t="s">
        <v>6921</v>
      </c>
      <c r="C2991" s="246" t="s">
        <v>6922</v>
      </c>
      <c r="D2991" s="230"/>
    </row>
    <row r="2992" spans="1:4" ht="14.55" customHeight="1" outlineLevel="1" x14ac:dyDescent="0.25">
      <c r="A2992" s="243" t="s">
        <v>330</v>
      </c>
      <c r="B2992" s="245" t="s">
        <v>6923</v>
      </c>
      <c r="C2992" s="246" t="s">
        <v>6924</v>
      </c>
      <c r="D2992" s="230"/>
    </row>
    <row r="2993" spans="1:4" ht="14.55" customHeight="1" outlineLevel="1" x14ac:dyDescent="0.25">
      <c r="A2993" s="243" t="s">
        <v>330</v>
      </c>
      <c r="B2993" s="245" t="s">
        <v>6574</v>
      </c>
      <c r="C2993" s="246" t="s">
        <v>6925</v>
      </c>
      <c r="D2993" s="230"/>
    </row>
    <row r="2994" spans="1:4" ht="14.55" customHeight="1" outlineLevel="1" x14ac:dyDescent="0.25">
      <c r="A2994" s="243" t="s">
        <v>330</v>
      </c>
      <c r="B2994" s="245" t="s">
        <v>6926</v>
      </c>
      <c r="C2994" s="246" t="s">
        <v>6927</v>
      </c>
      <c r="D2994" s="230"/>
    </row>
    <row r="2995" spans="1:4" ht="14.55" customHeight="1" outlineLevel="1" x14ac:dyDescent="0.25">
      <c r="A2995" s="243" t="s">
        <v>330</v>
      </c>
      <c r="B2995" s="245" t="s">
        <v>6928</v>
      </c>
      <c r="C2995" s="246" t="s">
        <v>6929</v>
      </c>
      <c r="D2995" s="230"/>
    </row>
    <row r="2996" spans="1:4" ht="14.55" customHeight="1" outlineLevel="1" x14ac:dyDescent="0.25">
      <c r="A2996" s="243" t="s">
        <v>330</v>
      </c>
      <c r="B2996" s="245" t="s">
        <v>6930</v>
      </c>
      <c r="C2996" s="246" t="s">
        <v>6931</v>
      </c>
      <c r="D2996" s="230"/>
    </row>
    <row r="2997" spans="1:4" ht="14.55" customHeight="1" outlineLevel="1" x14ac:dyDescent="0.25">
      <c r="A2997" s="243" t="s">
        <v>330</v>
      </c>
      <c r="B2997" s="245" t="s">
        <v>6932</v>
      </c>
      <c r="C2997" s="246" t="s">
        <v>6933</v>
      </c>
      <c r="D2997" s="230"/>
    </row>
    <row r="2998" spans="1:4" ht="14.55" customHeight="1" outlineLevel="1" x14ac:dyDescent="0.25">
      <c r="A2998" s="244" t="s">
        <v>330</v>
      </c>
      <c r="B2998" s="245" t="s">
        <v>6608</v>
      </c>
      <c r="C2998" s="247" t="s">
        <v>6934</v>
      </c>
      <c r="D2998" s="230"/>
    </row>
    <row r="2999" spans="1:4" ht="14.55" customHeight="1" outlineLevel="1" x14ac:dyDescent="0.25">
      <c r="A2999" s="243" t="s">
        <v>330</v>
      </c>
      <c r="B2999" s="245" t="s">
        <v>6935</v>
      </c>
      <c r="C2999" s="246" t="s">
        <v>6936</v>
      </c>
      <c r="D2999" s="230"/>
    </row>
    <row r="3000" spans="1:4" ht="14.55" customHeight="1" outlineLevel="1" x14ac:dyDescent="0.25">
      <c r="A3000" s="243" t="s">
        <v>330</v>
      </c>
      <c r="B3000" s="245" t="s">
        <v>6937</v>
      </c>
      <c r="C3000" s="246" t="s">
        <v>6938</v>
      </c>
      <c r="D3000" s="230"/>
    </row>
    <row r="3001" spans="1:4" ht="14.55" customHeight="1" outlineLevel="1" x14ac:dyDescent="0.25">
      <c r="A3001" s="243" t="s">
        <v>330</v>
      </c>
      <c r="B3001" s="245" t="s">
        <v>6939</v>
      </c>
      <c r="C3001" s="246" t="s">
        <v>6940</v>
      </c>
      <c r="D3001" s="230"/>
    </row>
    <row r="3002" spans="1:4" ht="14.55" customHeight="1" outlineLevel="1" x14ac:dyDescent="0.25">
      <c r="A3002" s="244" t="s">
        <v>330</v>
      </c>
      <c r="B3002" s="245" t="s">
        <v>6941</v>
      </c>
      <c r="C3002" s="247" t="s">
        <v>6942</v>
      </c>
      <c r="D3002" s="230"/>
    </row>
    <row r="3003" spans="1:4" ht="14.55" customHeight="1" outlineLevel="1" x14ac:dyDescent="0.25">
      <c r="A3003" s="243" t="s">
        <v>330</v>
      </c>
      <c r="B3003" s="245" t="s">
        <v>6943</v>
      </c>
      <c r="C3003" s="246" t="s">
        <v>6944</v>
      </c>
      <c r="D3003" s="230"/>
    </row>
    <row r="3004" spans="1:4" ht="14.55" customHeight="1" outlineLevel="1" x14ac:dyDescent="0.25">
      <c r="A3004" s="243" t="s">
        <v>330</v>
      </c>
      <c r="B3004" s="245" t="s">
        <v>6945</v>
      </c>
      <c r="C3004" s="246" t="s">
        <v>6946</v>
      </c>
      <c r="D3004" s="230"/>
    </row>
    <row r="3005" spans="1:4" ht="14.55" customHeight="1" outlineLevel="1" x14ac:dyDescent="0.25">
      <c r="A3005" s="243" t="s">
        <v>330</v>
      </c>
      <c r="B3005" s="245" t="s">
        <v>6947</v>
      </c>
      <c r="C3005" s="246" t="s">
        <v>6948</v>
      </c>
      <c r="D3005" s="230"/>
    </row>
    <row r="3006" spans="1:4" ht="14.55" customHeight="1" outlineLevel="1" x14ac:dyDescent="0.25">
      <c r="A3006" s="243" t="s">
        <v>330</v>
      </c>
      <c r="B3006" s="245" t="s">
        <v>6949</v>
      </c>
      <c r="C3006" s="246" t="s">
        <v>6950</v>
      </c>
      <c r="D3006" s="230"/>
    </row>
    <row r="3007" spans="1:4" ht="14.55" customHeight="1" outlineLevel="1" x14ac:dyDescent="0.25">
      <c r="A3007" s="244" t="s">
        <v>330</v>
      </c>
      <c r="B3007" s="245" t="s">
        <v>6951</v>
      </c>
      <c r="C3007" s="247" t="s">
        <v>6952</v>
      </c>
      <c r="D3007" s="230"/>
    </row>
    <row r="3008" spans="1:4" ht="14.55" customHeight="1" outlineLevel="1" x14ac:dyDescent="0.25">
      <c r="A3008" s="243" t="s">
        <v>330</v>
      </c>
      <c r="B3008" s="245" t="s">
        <v>6953</v>
      </c>
      <c r="C3008" s="246" t="s">
        <v>6954</v>
      </c>
      <c r="D3008" s="230"/>
    </row>
    <row r="3009" spans="1:4" ht="14.55" customHeight="1" outlineLevel="1" x14ac:dyDescent="0.25">
      <c r="A3009" s="243" t="s">
        <v>330</v>
      </c>
      <c r="B3009" s="245" t="s">
        <v>6955</v>
      </c>
      <c r="C3009" s="246" t="s">
        <v>6956</v>
      </c>
      <c r="D3009" s="230"/>
    </row>
    <row r="3010" spans="1:4" ht="14.55" customHeight="1" outlineLevel="1" x14ac:dyDescent="0.25">
      <c r="A3010" s="243" t="s">
        <v>330</v>
      </c>
      <c r="B3010" s="245" t="s">
        <v>6957</v>
      </c>
      <c r="C3010" s="246" t="s">
        <v>6958</v>
      </c>
      <c r="D3010" s="230"/>
    </row>
    <row r="3011" spans="1:4" ht="14.55" customHeight="1" outlineLevel="1" x14ac:dyDescent="0.25">
      <c r="A3011" s="243" t="s">
        <v>330</v>
      </c>
      <c r="B3011" s="245" t="s">
        <v>6959</v>
      </c>
      <c r="C3011" s="246" t="s">
        <v>6960</v>
      </c>
      <c r="D3011" s="230"/>
    </row>
    <row r="3012" spans="1:4" ht="14.55" customHeight="1" outlineLevel="1" x14ac:dyDescent="0.25">
      <c r="A3012" s="243" t="s">
        <v>330</v>
      </c>
      <c r="B3012" s="245" t="s">
        <v>6961</v>
      </c>
      <c r="C3012" s="246" t="s">
        <v>6962</v>
      </c>
      <c r="D3012" s="230"/>
    </row>
    <row r="3013" spans="1:4" ht="14.55" customHeight="1" outlineLevel="1" x14ac:dyDescent="0.25">
      <c r="A3013" s="244" t="s">
        <v>330</v>
      </c>
      <c r="B3013" s="245" t="s">
        <v>6963</v>
      </c>
      <c r="C3013" s="247" t="s">
        <v>6964</v>
      </c>
      <c r="D3013" s="230"/>
    </row>
    <row r="3014" spans="1:4" ht="14.55" customHeight="1" outlineLevel="1" x14ac:dyDescent="0.25">
      <c r="A3014" s="243" t="s">
        <v>330</v>
      </c>
      <c r="B3014" s="245" t="s">
        <v>6577</v>
      </c>
      <c r="C3014" s="246" t="s">
        <v>6965</v>
      </c>
      <c r="D3014" s="230"/>
    </row>
    <row r="3015" spans="1:4" ht="14.55" customHeight="1" outlineLevel="1" x14ac:dyDescent="0.25">
      <c r="A3015" s="243" t="s">
        <v>330</v>
      </c>
      <c r="B3015" s="245" t="s">
        <v>6966</v>
      </c>
      <c r="C3015" s="246" t="s">
        <v>6967</v>
      </c>
      <c r="D3015" s="230"/>
    </row>
    <row r="3016" spans="1:4" ht="14.55" customHeight="1" outlineLevel="1" x14ac:dyDescent="0.25">
      <c r="A3016" s="243" t="s">
        <v>330</v>
      </c>
      <c r="B3016" s="245" t="s">
        <v>6968</v>
      </c>
      <c r="C3016" s="246" t="s">
        <v>6969</v>
      </c>
      <c r="D3016" s="230"/>
    </row>
    <row r="3017" spans="1:4" ht="14.55" customHeight="1" outlineLevel="1" x14ac:dyDescent="0.25">
      <c r="A3017" s="243" t="s">
        <v>330</v>
      </c>
      <c r="B3017" s="245" t="s">
        <v>6970</v>
      </c>
      <c r="C3017" s="246" t="s">
        <v>6971</v>
      </c>
      <c r="D3017" s="230"/>
    </row>
    <row r="3018" spans="1:4" ht="14.55" customHeight="1" outlineLevel="1" x14ac:dyDescent="0.25">
      <c r="A3018" s="243" t="s">
        <v>330</v>
      </c>
      <c r="B3018" s="245" t="s">
        <v>6972</v>
      </c>
      <c r="C3018" s="246" t="s">
        <v>6973</v>
      </c>
      <c r="D3018" s="230"/>
    </row>
    <row r="3019" spans="1:4" ht="14.55" customHeight="1" outlineLevel="1" x14ac:dyDescent="0.25">
      <c r="A3019" s="244" t="s">
        <v>330</v>
      </c>
      <c r="B3019" s="245" t="s">
        <v>6974</v>
      </c>
      <c r="C3019" s="247" t="s">
        <v>6975</v>
      </c>
      <c r="D3019" s="230"/>
    </row>
    <row r="3020" spans="1:4" ht="14.55" customHeight="1" outlineLevel="1" x14ac:dyDescent="0.25">
      <c r="A3020" s="243" t="s">
        <v>330</v>
      </c>
      <c r="B3020" s="245" t="s">
        <v>6976</v>
      </c>
      <c r="C3020" s="246" t="s">
        <v>6977</v>
      </c>
      <c r="D3020" s="230"/>
    </row>
    <row r="3021" spans="1:4" ht="14.55" customHeight="1" outlineLevel="1" x14ac:dyDescent="0.25">
      <c r="A3021" s="243" t="s">
        <v>330</v>
      </c>
      <c r="B3021" s="245" t="s">
        <v>6978</v>
      </c>
      <c r="C3021" s="246" t="s">
        <v>6979</v>
      </c>
      <c r="D3021" s="230"/>
    </row>
    <row r="3022" spans="1:4" ht="14.55" customHeight="1" outlineLevel="1" x14ac:dyDescent="0.25">
      <c r="A3022" s="243" t="s">
        <v>330</v>
      </c>
      <c r="B3022" s="245" t="s">
        <v>6980</v>
      </c>
      <c r="C3022" s="246" t="s">
        <v>6981</v>
      </c>
      <c r="D3022" s="230"/>
    </row>
    <row r="3023" spans="1:4" ht="14.55" customHeight="1" outlineLevel="1" x14ac:dyDescent="0.25">
      <c r="A3023" s="243" t="s">
        <v>330</v>
      </c>
      <c r="B3023" s="245" t="s">
        <v>6982</v>
      </c>
      <c r="C3023" s="246" t="s">
        <v>6983</v>
      </c>
      <c r="D3023" s="230"/>
    </row>
    <row r="3024" spans="1:4" ht="14.55" customHeight="1" outlineLevel="1" x14ac:dyDescent="0.25">
      <c r="A3024" s="243" t="s">
        <v>330</v>
      </c>
      <c r="B3024" s="245" t="s">
        <v>6984</v>
      </c>
      <c r="C3024" s="246" t="s">
        <v>6985</v>
      </c>
      <c r="D3024" s="230"/>
    </row>
    <row r="3025" spans="1:4" ht="14.55" customHeight="1" outlineLevel="1" x14ac:dyDescent="0.25">
      <c r="A3025" s="243" t="s">
        <v>330</v>
      </c>
      <c r="B3025" s="245" t="s">
        <v>6986</v>
      </c>
      <c r="C3025" s="246" t="s">
        <v>6987</v>
      </c>
      <c r="D3025" s="230"/>
    </row>
    <row r="3026" spans="1:4" ht="14.55" customHeight="1" outlineLevel="1" x14ac:dyDescent="0.25">
      <c r="A3026" s="248" t="s">
        <v>330</v>
      </c>
      <c r="B3026" s="249" t="s">
        <v>6602</v>
      </c>
      <c r="C3026" s="250" t="s">
        <v>6988</v>
      </c>
      <c r="D3026" s="230"/>
    </row>
    <row r="3027" spans="1:4" ht="14.55" customHeight="1" outlineLevel="1" x14ac:dyDescent="0.25">
      <c r="A3027" s="244" t="s">
        <v>330</v>
      </c>
      <c r="B3027" s="245" t="s">
        <v>6989</v>
      </c>
      <c r="C3027" s="247" t="s">
        <v>6990</v>
      </c>
      <c r="D3027" s="230"/>
    </row>
    <row r="3028" spans="1:4" ht="14.55" customHeight="1" outlineLevel="1" x14ac:dyDescent="0.25">
      <c r="A3028" s="243" t="s">
        <v>330</v>
      </c>
      <c r="B3028" s="245" t="s">
        <v>6991</v>
      </c>
      <c r="C3028" s="246" t="s">
        <v>6992</v>
      </c>
      <c r="D3028" s="230"/>
    </row>
    <row r="3029" spans="1:4" ht="14.55" customHeight="1" outlineLevel="1" x14ac:dyDescent="0.25">
      <c r="A3029" s="243" t="s">
        <v>330</v>
      </c>
      <c r="B3029" s="245" t="s">
        <v>1414</v>
      </c>
      <c r="C3029" s="246" t="s">
        <v>6993</v>
      </c>
      <c r="D3029" s="230"/>
    </row>
    <row r="3030" spans="1:4" ht="14.55" customHeight="1" outlineLevel="1" x14ac:dyDescent="0.25">
      <c r="A3030" s="243" t="s">
        <v>330</v>
      </c>
      <c r="B3030" s="245" t="s">
        <v>6994</v>
      </c>
      <c r="C3030" s="246" t="s">
        <v>6995</v>
      </c>
      <c r="D3030" s="230"/>
    </row>
    <row r="3031" spans="1:4" ht="14.55" customHeight="1" outlineLevel="1" x14ac:dyDescent="0.25">
      <c r="A3031" s="243" t="s">
        <v>330</v>
      </c>
      <c r="B3031" s="245" t="s">
        <v>6996</v>
      </c>
      <c r="C3031" s="246" t="s">
        <v>6997</v>
      </c>
      <c r="D3031" s="230"/>
    </row>
    <row r="3032" spans="1:4" ht="14.55" customHeight="1" outlineLevel="1" x14ac:dyDescent="0.25">
      <c r="A3032" s="244" t="s">
        <v>330</v>
      </c>
      <c r="B3032" s="245" t="s">
        <v>6998</v>
      </c>
      <c r="C3032" s="247" t="s">
        <v>6999</v>
      </c>
      <c r="D3032" s="230"/>
    </row>
    <row r="3033" spans="1:4" ht="14.55" customHeight="1" outlineLevel="1" x14ac:dyDescent="0.25">
      <c r="A3033" s="243" t="s">
        <v>330</v>
      </c>
      <c r="B3033" s="245" t="s">
        <v>7000</v>
      </c>
      <c r="C3033" s="246" t="s">
        <v>7001</v>
      </c>
      <c r="D3033" s="230"/>
    </row>
    <row r="3034" spans="1:4" ht="14.55" customHeight="1" outlineLevel="1" x14ac:dyDescent="0.25">
      <c r="A3034" s="243" t="s">
        <v>330</v>
      </c>
      <c r="B3034" s="245" t="s">
        <v>7002</v>
      </c>
      <c r="C3034" s="246" t="s">
        <v>7003</v>
      </c>
      <c r="D3034" s="230"/>
    </row>
    <row r="3035" spans="1:4" ht="14.55" customHeight="1" outlineLevel="1" x14ac:dyDescent="0.25">
      <c r="A3035" s="244" t="s">
        <v>330</v>
      </c>
      <c r="B3035" s="245" t="s">
        <v>7004</v>
      </c>
      <c r="C3035" s="247" t="s">
        <v>7005</v>
      </c>
      <c r="D3035" s="230"/>
    </row>
    <row r="3036" spans="1:4" ht="14.55" customHeight="1" outlineLevel="1" x14ac:dyDescent="0.25">
      <c r="A3036" s="243" t="s">
        <v>330</v>
      </c>
      <c r="B3036" s="245" t="s">
        <v>7006</v>
      </c>
      <c r="C3036" s="246" t="s">
        <v>7007</v>
      </c>
      <c r="D3036" s="230"/>
    </row>
    <row r="3037" spans="1:4" ht="14.55" customHeight="1" outlineLevel="1" x14ac:dyDescent="0.25">
      <c r="A3037" s="243" t="s">
        <v>330</v>
      </c>
      <c r="B3037" s="245" t="s">
        <v>7008</v>
      </c>
      <c r="C3037" s="246" t="s">
        <v>7009</v>
      </c>
      <c r="D3037" s="230"/>
    </row>
    <row r="3038" spans="1:4" ht="14.55" customHeight="1" outlineLevel="1" x14ac:dyDescent="0.25">
      <c r="A3038" s="243" t="s">
        <v>330</v>
      </c>
      <c r="B3038" s="245" t="s">
        <v>7010</v>
      </c>
      <c r="C3038" s="246" t="s">
        <v>7011</v>
      </c>
      <c r="D3038" s="230"/>
    </row>
    <row r="3039" spans="1:4" ht="14.55" customHeight="1" outlineLevel="1" x14ac:dyDescent="0.25">
      <c r="A3039" s="243" t="s">
        <v>330</v>
      </c>
      <c r="B3039" s="245" t="s">
        <v>7012</v>
      </c>
      <c r="C3039" s="246" t="s">
        <v>7013</v>
      </c>
      <c r="D3039" s="230"/>
    </row>
    <row r="3040" spans="1:4" ht="14.55" customHeight="1" outlineLevel="1" x14ac:dyDescent="0.25">
      <c r="A3040" s="243" t="s">
        <v>330</v>
      </c>
      <c r="B3040" s="245" t="s">
        <v>7014</v>
      </c>
      <c r="C3040" s="246" t="s">
        <v>7015</v>
      </c>
      <c r="D3040" s="230"/>
    </row>
    <row r="3041" spans="1:4" ht="14.55" customHeight="1" outlineLevel="1" x14ac:dyDescent="0.25">
      <c r="A3041" s="243" t="s">
        <v>330</v>
      </c>
      <c r="B3041" s="245" t="s">
        <v>7016</v>
      </c>
      <c r="C3041" s="246" t="s">
        <v>7017</v>
      </c>
      <c r="D3041" s="230"/>
    </row>
    <row r="3042" spans="1:4" ht="14.55" customHeight="1" outlineLevel="1" x14ac:dyDescent="0.25">
      <c r="A3042" s="243" t="s">
        <v>330</v>
      </c>
      <c r="B3042" s="245" t="s">
        <v>7018</v>
      </c>
      <c r="C3042" s="246" t="s">
        <v>7019</v>
      </c>
      <c r="D3042" s="230"/>
    </row>
    <row r="3043" spans="1:4" ht="14.55" customHeight="1" outlineLevel="1" x14ac:dyDescent="0.25">
      <c r="A3043" s="243" t="s">
        <v>330</v>
      </c>
      <c r="B3043" s="245" t="s">
        <v>1418</v>
      </c>
      <c r="C3043" s="246" t="s">
        <v>7020</v>
      </c>
      <c r="D3043" s="230"/>
    </row>
    <row r="3044" spans="1:4" ht="14.55" customHeight="1" outlineLevel="1" x14ac:dyDescent="0.25">
      <c r="A3044" s="248" t="s">
        <v>330</v>
      </c>
      <c r="B3044" s="249" t="s">
        <v>7021</v>
      </c>
      <c r="C3044" s="250" t="s">
        <v>7022</v>
      </c>
      <c r="D3044" s="230"/>
    </row>
    <row r="3045" spans="1:4" ht="14.55" customHeight="1" outlineLevel="1" x14ac:dyDescent="0.25">
      <c r="A3045" s="243" t="s">
        <v>330</v>
      </c>
      <c r="B3045" s="245" t="s">
        <v>7023</v>
      </c>
      <c r="C3045" s="246" t="s">
        <v>7024</v>
      </c>
      <c r="D3045" s="230"/>
    </row>
    <row r="3046" spans="1:4" ht="14.55" customHeight="1" outlineLevel="1" x14ac:dyDescent="0.25">
      <c r="A3046" s="344" t="s">
        <v>330</v>
      </c>
      <c r="B3046" s="345" t="s">
        <v>7025</v>
      </c>
      <c r="C3046" s="346" t="s">
        <v>7026</v>
      </c>
      <c r="D3046" s="230"/>
    </row>
    <row r="3047" spans="1:4" ht="14.55" customHeight="1" outlineLevel="1" x14ac:dyDescent="0.25">
      <c r="A3047" s="243" t="s">
        <v>330</v>
      </c>
      <c r="B3047" s="245" t="s">
        <v>7027</v>
      </c>
      <c r="C3047" s="246" t="s">
        <v>7028</v>
      </c>
      <c r="D3047" s="230"/>
    </row>
    <row r="3048" spans="1:4" ht="14.55" customHeight="1" outlineLevel="1" x14ac:dyDescent="0.25">
      <c r="A3048" s="248" t="s">
        <v>330</v>
      </c>
      <c r="B3048" s="249" t="s">
        <v>7029</v>
      </c>
      <c r="C3048" s="250" t="s">
        <v>7030</v>
      </c>
      <c r="D3048" s="230"/>
    </row>
    <row r="3049" spans="1:4" ht="14.55" customHeight="1" outlineLevel="1" x14ac:dyDescent="0.25">
      <c r="A3049" s="244" t="s">
        <v>330</v>
      </c>
      <c r="B3049" s="245" t="s">
        <v>7031</v>
      </c>
      <c r="C3049" s="247" t="s">
        <v>7032</v>
      </c>
      <c r="D3049" s="230"/>
    </row>
    <row r="3050" spans="1:4" ht="14.55" customHeight="1" outlineLevel="1" x14ac:dyDescent="0.25">
      <c r="A3050" s="244" t="s">
        <v>330</v>
      </c>
      <c r="B3050" s="245" t="s">
        <v>7033</v>
      </c>
      <c r="C3050" s="247" t="s">
        <v>7034</v>
      </c>
      <c r="D3050" s="230"/>
    </row>
    <row r="3051" spans="1:4" ht="14.55" customHeight="1" outlineLevel="1" x14ac:dyDescent="0.25">
      <c r="A3051" s="244" t="s">
        <v>330</v>
      </c>
      <c r="B3051" s="245" t="s">
        <v>7035</v>
      </c>
      <c r="C3051" s="247" t="s">
        <v>7036</v>
      </c>
      <c r="D3051" s="230"/>
    </row>
    <row r="3052" spans="1:4" ht="14.55" customHeight="1" outlineLevel="1" x14ac:dyDescent="0.25">
      <c r="A3052" s="243" t="s">
        <v>330</v>
      </c>
      <c r="B3052" s="245" t="s">
        <v>7037</v>
      </c>
      <c r="C3052" s="246" t="s">
        <v>7038</v>
      </c>
      <c r="D3052" s="230"/>
    </row>
    <row r="3053" spans="1:4" ht="14.55" customHeight="1" outlineLevel="1" x14ac:dyDescent="0.25">
      <c r="A3053" s="244" t="s">
        <v>330</v>
      </c>
      <c r="B3053" s="245" t="s">
        <v>7039</v>
      </c>
      <c r="C3053" s="247" t="s">
        <v>7040</v>
      </c>
      <c r="D3053" s="230"/>
    </row>
    <row r="3054" spans="1:4" ht="14.55" customHeight="1" outlineLevel="1" x14ac:dyDescent="0.25">
      <c r="A3054" s="243" t="s">
        <v>330</v>
      </c>
      <c r="B3054" s="245" t="s">
        <v>7041</v>
      </c>
      <c r="C3054" s="246" t="s">
        <v>7042</v>
      </c>
      <c r="D3054" s="230"/>
    </row>
    <row r="3055" spans="1:4" ht="14.55" customHeight="1" outlineLevel="1" x14ac:dyDescent="0.25">
      <c r="A3055" s="243" t="s">
        <v>330</v>
      </c>
      <c r="B3055" s="245" t="s">
        <v>7043</v>
      </c>
      <c r="C3055" s="246" t="s">
        <v>7044</v>
      </c>
      <c r="D3055" s="230"/>
    </row>
    <row r="3056" spans="1:4" ht="14.55" customHeight="1" outlineLevel="1" x14ac:dyDescent="0.25">
      <c r="A3056" s="243" t="s">
        <v>330</v>
      </c>
      <c r="B3056" s="245" t="s">
        <v>7045</v>
      </c>
      <c r="C3056" s="246" t="s">
        <v>7046</v>
      </c>
      <c r="D3056" s="230"/>
    </row>
    <row r="3057" spans="1:4" ht="14.55" customHeight="1" outlineLevel="1" x14ac:dyDescent="0.25">
      <c r="A3057" s="243" t="s">
        <v>330</v>
      </c>
      <c r="B3057" s="245" t="s">
        <v>7047</v>
      </c>
      <c r="C3057" s="246" t="s">
        <v>7048</v>
      </c>
      <c r="D3057" s="230"/>
    </row>
    <row r="3058" spans="1:4" ht="14.55" customHeight="1" outlineLevel="1" x14ac:dyDescent="0.25">
      <c r="A3058" s="243" t="s">
        <v>330</v>
      </c>
      <c r="B3058" s="245" t="s">
        <v>7049</v>
      </c>
      <c r="C3058" s="246" t="s">
        <v>7050</v>
      </c>
      <c r="D3058" s="230"/>
    </row>
    <row r="3059" spans="1:4" ht="14.55" customHeight="1" outlineLevel="1" x14ac:dyDescent="0.25">
      <c r="A3059" s="243" t="s">
        <v>330</v>
      </c>
      <c r="B3059" s="245" t="s">
        <v>7051</v>
      </c>
      <c r="C3059" s="246" t="s">
        <v>7052</v>
      </c>
      <c r="D3059" s="230"/>
    </row>
    <row r="3060" spans="1:4" ht="14.55" customHeight="1" outlineLevel="1" x14ac:dyDescent="0.25">
      <c r="A3060" s="243" t="s">
        <v>330</v>
      </c>
      <c r="B3060" s="245" t="s">
        <v>7053</v>
      </c>
      <c r="C3060" s="246" t="s">
        <v>7054</v>
      </c>
      <c r="D3060" s="230"/>
    </row>
    <row r="3061" spans="1:4" ht="14.55" customHeight="1" outlineLevel="1" x14ac:dyDescent="0.25">
      <c r="A3061" s="243" t="s">
        <v>330</v>
      </c>
      <c r="B3061" s="245" t="s">
        <v>7055</v>
      </c>
      <c r="C3061" s="246" t="s">
        <v>7056</v>
      </c>
      <c r="D3061" s="230"/>
    </row>
    <row r="3062" spans="1:4" ht="14.55" customHeight="1" outlineLevel="1" x14ac:dyDescent="0.25">
      <c r="A3062" s="344" t="s">
        <v>330</v>
      </c>
      <c r="B3062" s="345" t="s">
        <v>7057</v>
      </c>
      <c r="C3062" s="346" t="s">
        <v>7058</v>
      </c>
      <c r="D3062" s="230"/>
    </row>
    <row r="3063" spans="1:4" ht="14.55" customHeight="1" outlineLevel="1" x14ac:dyDescent="0.25">
      <c r="A3063" s="243" t="s">
        <v>330</v>
      </c>
      <c r="B3063" s="245" t="s">
        <v>7059</v>
      </c>
      <c r="C3063" s="246" t="s">
        <v>7060</v>
      </c>
      <c r="D3063" s="230"/>
    </row>
    <row r="3064" spans="1:4" ht="14.55" customHeight="1" outlineLevel="1" x14ac:dyDescent="0.25">
      <c r="A3064" s="243" t="s">
        <v>330</v>
      </c>
      <c r="B3064" s="245" t="s">
        <v>7061</v>
      </c>
      <c r="C3064" s="246" t="s">
        <v>7062</v>
      </c>
      <c r="D3064" s="230"/>
    </row>
    <row r="3065" spans="1:4" ht="14.55" customHeight="1" outlineLevel="1" x14ac:dyDescent="0.25">
      <c r="A3065" s="243" t="s">
        <v>330</v>
      </c>
      <c r="B3065" s="245" t="s">
        <v>7063</v>
      </c>
      <c r="C3065" s="246" t="s">
        <v>7064</v>
      </c>
      <c r="D3065" s="230"/>
    </row>
    <row r="3066" spans="1:4" ht="14.55" customHeight="1" outlineLevel="1" x14ac:dyDescent="0.25">
      <c r="A3066" s="244" t="s">
        <v>330</v>
      </c>
      <c r="B3066" s="245" t="s">
        <v>7065</v>
      </c>
      <c r="C3066" s="247" t="s">
        <v>7066</v>
      </c>
      <c r="D3066" s="230"/>
    </row>
    <row r="3067" spans="1:4" ht="14.55" customHeight="1" outlineLevel="1" x14ac:dyDescent="0.25">
      <c r="A3067" s="244" t="s">
        <v>330</v>
      </c>
      <c r="B3067" s="245" t="s">
        <v>7067</v>
      </c>
      <c r="C3067" s="247" t="s">
        <v>7068</v>
      </c>
      <c r="D3067" s="230"/>
    </row>
    <row r="3068" spans="1:4" ht="14.55" customHeight="1" outlineLevel="1" x14ac:dyDescent="0.25">
      <c r="A3068" s="243" t="s">
        <v>330</v>
      </c>
      <c r="B3068" s="245" t="s">
        <v>7069</v>
      </c>
      <c r="C3068" s="246" t="s">
        <v>7070</v>
      </c>
      <c r="D3068" s="230"/>
    </row>
    <row r="3069" spans="1:4" ht="14.55" customHeight="1" outlineLevel="1" x14ac:dyDescent="0.25">
      <c r="A3069" s="243" t="s">
        <v>330</v>
      </c>
      <c r="B3069" s="245" t="s">
        <v>7071</v>
      </c>
      <c r="C3069" s="246" t="s">
        <v>7072</v>
      </c>
      <c r="D3069" s="230"/>
    </row>
    <row r="3070" spans="1:4" ht="14.55" customHeight="1" outlineLevel="1" x14ac:dyDescent="0.25">
      <c r="A3070" s="344" t="s">
        <v>330</v>
      </c>
      <c r="B3070" s="345" t="s">
        <v>7073</v>
      </c>
      <c r="C3070" s="346" t="s">
        <v>7074</v>
      </c>
      <c r="D3070" s="230"/>
    </row>
    <row r="3071" spans="1:4" ht="14.55" customHeight="1" outlineLevel="1" x14ac:dyDescent="0.25">
      <c r="A3071" s="244" t="s">
        <v>330</v>
      </c>
      <c r="B3071" s="245" t="s">
        <v>7075</v>
      </c>
      <c r="C3071" s="247" t="s">
        <v>7076</v>
      </c>
      <c r="D3071" s="230"/>
    </row>
    <row r="3072" spans="1:4" ht="14.55" customHeight="1" outlineLevel="1" x14ac:dyDescent="0.25">
      <c r="A3072" s="244" t="s">
        <v>330</v>
      </c>
      <c r="B3072" s="245" t="s">
        <v>7077</v>
      </c>
      <c r="C3072" s="247" t="s">
        <v>7078</v>
      </c>
      <c r="D3072" s="230"/>
    </row>
    <row r="3073" spans="1:4" ht="14.55" customHeight="1" outlineLevel="1" x14ac:dyDescent="0.25">
      <c r="A3073" s="243" t="s">
        <v>330</v>
      </c>
      <c r="B3073" s="245" t="s">
        <v>7079</v>
      </c>
      <c r="C3073" s="246" t="s">
        <v>7080</v>
      </c>
      <c r="D3073" s="230"/>
    </row>
    <row r="3074" spans="1:4" ht="14.55" customHeight="1" outlineLevel="1" x14ac:dyDescent="0.25">
      <c r="A3074" s="243" t="s">
        <v>330</v>
      </c>
      <c r="B3074" s="245" t="s">
        <v>7081</v>
      </c>
      <c r="C3074" s="246" t="s">
        <v>7082</v>
      </c>
      <c r="D3074" s="230"/>
    </row>
    <row r="3075" spans="1:4" ht="14.55" customHeight="1" outlineLevel="1" x14ac:dyDescent="0.25">
      <c r="A3075" s="244" t="s">
        <v>330</v>
      </c>
      <c r="B3075" s="245" t="s">
        <v>7083</v>
      </c>
      <c r="C3075" s="247" t="s">
        <v>7084</v>
      </c>
      <c r="D3075" s="230"/>
    </row>
    <row r="3076" spans="1:4" ht="14.55" customHeight="1" outlineLevel="1" x14ac:dyDescent="0.25">
      <c r="A3076" s="243" t="s">
        <v>330</v>
      </c>
      <c r="B3076" s="245" t="s">
        <v>7085</v>
      </c>
      <c r="C3076" s="246" t="s">
        <v>7086</v>
      </c>
      <c r="D3076" s="230"/>
    </row>
    <row r="3077" spans="1:4" ht="14.55" customHeight="1" outlineLevel="1" x14ac:dyDescent="0.25">
      <c r="A3077" s="244" t="s">
        <v>330</v>
      </c>
      <c r="B3077" s="245" t="s">
        <v>7087</v>
      </c>
      <c r="C3077" s="247" t="s">
        <v>7088</v>
      </c>
      <c r="D3077" s="230"/>
    </row>
    <row r="3078" spans="1:4" ht="14.55" customHeight="1" outlineLevel="1" x14ac:dyDescent="0.25">
      <c r="A3078" s="243" t="s">
        <v>330</v>
      </c>
      <c r="B3078" s="245" t="s">
        <v>7089</v>
      </c>
      <c r="C3078" s="246" t="s">
        <v>7090</v>
      </c>
      <c r="D3078" s="230"/>
    </row>
    <row r="3079" spans="1:4" ht="14.55" customHeight="1" outlineLevel="1" x14ac:dyDescent="0.25">
      <c r="A3079" s="243" t="s">
        <v>330</v>
      </c>
      <c r="B3079" s="245" t="s">
        <v>7091</v>
      </c>
      <c r="C3079" s="246" t="s">
        <v>7092</v>
      </c>
      <c r="D3079" s="230"/>
    </row>
    <row r="3080" spans="1:4" ht="14.55" customHeight="1" outlineLevel="1" x14ac:dyDescent="0.25">
      <c r="A3080" s="243" t="s">
        <v>330</v>
      </c>
      <c r="B3080" s="245" t="s">
        <v>7093</v>
      </c>
      <c r="C3080" s="246" t="s">
        <v>7094</v>
      </c>
      <c r="D3080" s="230"/>
    </row>
    <row r="3081" spans="1:4" ht="14.55" customHeight="1" outlineLevel="1" x14ac:dyDescent="0.25">
      <c r="A3081" s="243" t="s">
        <v>330</v>
      </c>
      <c r="B3081" s="245" t="s">
        <v>7095</v>
      </c>
      <c r="C3081" s="246" t="s">
        <v>7096</v>
      </c>
      <c r="D3081" s="230"/>
    </row>
    <row r="3082" spans="1:4" ht="14.55" customHeight="1" outlineLevel="1" x14ac:dyDescent="0.25">
      <c r="A3082" s="243" t="s">
        <v>330</v>
      </c>
      <c r="B3082" s="245" t="s">
        <v>7097</v>
      </c>
      <c r="C3082" s="246" t="s">
        <v>7098</v>
      </c>
      <c r="D3082" s="230"/>
    </row>
    <row r="3083" spans="1:4" ht="14.55" customHeight="1" outlineLevel="1" x14ac:dyDescent="0.25">
      <c r="A3083" s="243" t="s">
        <v>330</v>
      </c>
      <c r="B3083" s="245" t="s">
        <v>7099</v>
      </c>
      <c r="C3083" s="246" t="s">
        <v>7100</v>
      </c>
      <c r="D3083" s="230"/>
    </row>
    <row r="3084" spans="1:4" ht="14.55" customHeight="1" outlineLevel="1" x14ac:dyDescent="0.25">
      <c r="A3084" s="243" t="s">
        <v>330</v>
      </c>
      <c r="B3084" s="245" t="s">
        <v>7101</v>
      </c>
      <c r="C3084" s="246" t="s">
        <v>7102</v>
      </c>
      <c r="D3084" s="230"/>
    </row>
    <row r="3085" spans="1:4" ht="14.55" customHeight="1" outlineLevel="1" x14ac:dyDescent="0.25">
      <c r="A3085" s="243" t="s">
        <v>330</v>
      </c>
      <c r="B3085" s="245" t="s">
        <v>7103</v>
      </c>
      <c r="C3085" s="246" t="s">
        <v>7104</v>
      </c>
      <c r="D3085" s="230"/>
    </row>
    <row r="3086" spans="1:4" ht="14.55" customHeight="1" outlineLevel="1" x14ac:dyDescent="0.25">
      <c r="A3086" s="344" t="s">
        <v>330</v>
      </c>
      <c r="B3086" s="345" t="s">
        <v>7105</v>
      </c>
      <c r="C3086" s="346" t="s">
        <v>7106</v>
      </c>
      <c r="D3086" s="230"/>
    </row>
    <row r="3087" spans="1:4" ht="14.55" customHeight="1" outlineLevel="1" x14ac:dyDescent="0.25">
      <c r="A3087" s="243" t="s">
        <v>330</v>
      </c>
      <c r="B3087" s="245" t="s">
        <v>7107</v>
      </c>
      <c r="C3087" s="246" t="s">
        <v>7108</v>
      </c>
      <c r="D3087" s="230"/>
    </row>
    <row r="3088" spans="1:4" ht="14.55" customHeight="1" outlineLevel="1" x14ac:dyDescent="0.25">
      <c r="A3088" s="243" t="s">
        <v>330</v>
      </c>
      <c r="B3088" s="245" t="s">
        <v>7109</v>
      </c>
      <c r="C3088" s="246" t="s">
        <v>7110</v>
      </c>
      <c r="D3088" s="230"/>
    </row>
    <row r="3089" spans="1:5" ht="14.55" customHeight="1" outlineLevel="1" x14ac:dyDescent="0.25">
      <c r="A3089" s="344" t="s">
        <v>330</v>
      </c>
      <c r="B3089" s="345" t="s">
        <v>7111</v>
      </c>
      <c r="C3089" s="346" t="s">
        <v>7112</v>
      </c>
      <c r="D3089" s="230"/>
    </row>
    <row r="3090" spans="1:5" ht="14.55" customHeight="1" outlineLevel="1" x14ac:dyDescent="0.25">
      <c r="A3090" s="243" t="s">
        <v>330</v>
      </c>
      <c r="B3090" s="245" t="s">
        <v>7113</v>
      </c>
      <c r="C3090" s="246" t="s">
        <v>7114</v>
      </c>
      <c r="D3090" s="230"/>
    </row>
    <row r="3091" spans="1:5" ht="14.55" customHeight="1" outlineLevel="1" x14ac:dyDescent="0.25">
      <c r="A3091" s="243" t="s">
        <v>330</v>
      </c>
      <c r="B3091" s="245" t="s">
        <v>7115</v>
      </c>
      <c r="C3091" s="246" t="s">
        <v>7116</v>
      </c>
      <c r="D3091" s="230"/>
    </row>
    <row r="3092" spans="1:5" ht="14.55" customHeight="1" x14ac:dyDescent="0.25">
      <c r="A3092" s="240" t="s">
        <v>330</v>
      </c>
      <c r="B3092" s="251" t="s">
        <v>7117</v>
      </c>
      <c r="C3092" s="240" t="s">
        <v>7118</v>
      </c>
      <c r="D3092" s="240" t="s">
        <v>7119</v>
      </c>
      <c r="E3092" s="240"/>
    </row>
    <row r="3093" spans="1:5" ht="14.55" customHeight="1" x14ac:dyDescent="0.25">
      <c r="A3093" s="240" t="s">
        <v>85</v>
      </c>
      <c r="B3093" s="251"/>
      <c r="C3093" s="240" t="s">
        <v>7120</v>
      </c>
      <c r="D3093" s="240" t="s">
        <v>7121</v>
      </c>
      <c r="E3093" s="240"/>
    </row>
    <row r="3094" spans="1:5" ht="14.55" customHeight="1" x14ac:dyDescent="0.25">
      <c r="A3094" s="230" t="s">
        <v>401</v>
      </c>
      <c r="B3094" s="231" t="s">
        <v>6691</v>
      </c>
      <c r="C3094" s="230" t="s">
        <v>7122</v>
      </c>
      <c r="D3094" s="230" t="s">
        <v>7123</v>
      </c>
    </row>
    <row r="3095" spans="1:5" ht="14.55" customHeight="1" x14ac:dyDescent="0.25">
      <c r="A3095" s="230" t="s">
        <v>401</v>
      </c>
      <c r="B3095" s="231" t="s">
        <v>6704</v>
      </c>
      <c r="C3095" s="230" t="s">
        <v>7124</v>
      </c>
      <c r="D3095" s="230" t="s">
        <v>7125</v>
      </c>
    </row>
    <row r="3096" spans="1:5" ht="14.55" customHeight="1" x14ac:dyDescent="0.25">
      <c r="A3096" s="230" t="s">
        <v>401</v>
      </c>
      <c r="B3096" s="231" t="s">
        <v>7126</v>
      </c>
      <c r="C3096" s="230" t="s">
        <v>7127</v>
      </c>
      <c r="D3096" s="230" t="s">
        <v>7128</v>
      </c>
    </row>
    <row r="3097" spans="1:5" ht="14.55" customHeight="1" x14ac:dyDescent="0.25">
      <c r="A3097" s="230" t="s">
        <v>401</v>
      </c>
      <c r="B3097" s="231" t="s">
        <v>6875</v>
      </c>
      <c r="C3097" s="230" t="s">
        <v>7129</v>
      </c>
      <c r="D3097" s="230" t="s">
        <v>7130</v>
      </c>
    </row>
    <row r="3098" spans="1:5" ht="14.55" customHeight="1" x14ac:dyDescent="0.25">
      <c r="A3098" s="230" t="s">
        <v>401</v>
      </c>
      <c r="B3098" s="231" t="s">
        <v>6996</v>
      </c>
      <c r="C3098" s="230" t="s">
        <v>7131</v>
      </c>
      <c r="D3098" s="230" t="s">
        <v>7132</v>
      </c>
    </row>
    <row r="3099" spans="1:5" ht="14.55" customHeight="1" x14ac:dyDescent="0.25">
      <c r="A3099" s="230" t="s">
        <v>91</v>
      </c>
      <c r="B3099" s="231" t="s">
        <v>6597</v>
      </c>
      <c r="C3099" s="230" t="s">
        <v>7133</v>
      </c>
      <c r="D3099" s="230" t="s">
        <v>7134</v>
      </c>
    </row>
    <row r="3100" spans="1:5" ht="14.55" customHeight="1" x14ac:dyDescent="0.25">
      <c r="A3100" s="230" t="s">
        <v>91</v>
      </c>
      <c r="B3100" s="231" t="s">
        <v>7135</v>
      </c>
      <c r="C3100" s="230" t="s">
        <v>7136</v>
      </c>
      <c r="D3100" s="230" t="s">
        <v>7137</v>
      </c>
    </row>
    <row r="3101" spans="1:5" ht="14.55" customHeight="1" x14ac:dyDescent="0.25">
      <c r="A3101" s="230" t="s">
        <v>91</v>
      </c>
      <c r="B3101" s="231" t="s">
        <v>1396</v>
      </c>
      <c r="C3101" s="230" t="s">
        <v>7138</v>
      </c>
      <c r="D3101" s="230" t="s">
        <v>7139</v>
      </c>
    </row>
    <row r="3102" spans="1:5" ht="14.55" customHeight="1" x14ac:dyDescent="0.25">
      <c r="A3102" s="230" t="s">
        <v>91</v>
      </c>
      <c r="B3102" s="231" t="s">
        <v>1411</v>
      </c>
      <c r="C3102" s="230" t="s">
        <v>7140</v>
      </c>
      <c r="D3102" s="230" t="s">
        <v>7141</v>
      </c>
    </row>
    <row r="3103" spans="1:5" ht="14.55" customHeight="1" x14ac:dyDescent="0.25">
      <c r="A3103" s="230" t="s">
        <v>91</v>
      </c>
      <c r="B3103" s="231" t="s">
        <v>7142</v>
      </c>
      <c r="C3103" s="230" t="s">
        <v>7143</v>
      </c>
      <c r="D3103" s="230" t="s">
        <v>7144</v>
      </c>
    </row>
    <row r="3104" spans="1:5" ht="14.55" customHeight="1" x14ac:dyDescent="0.25">
      <c r="A3104" s="230" t="s">
        <v>1046</v>
      </c>
      <c r="B3104" s="231" t="s">
        <v>7145</v>
      </c>
      <c r="C3104" s="230" t="s">
        <v>7146</v>
      </c>
      <c r="D3104" s="230" t="s">
        <v>7147</v>
      </c>
    </row>
    <row r="3105" spans="1:4" ht="14.55" customHeight="1" x14ac:dyDescent="0.25">
      <c r="A3105" s="230" t="s">
        <v>1046</v>
      </c>
      <c r="B3105" s="231" t="s">
        <v>7148</v>
      </c>
      <c r="C3105" s="230" t="s">
        <v>7149</v>
      </c>
      <c r="D3105" s="230" t="s">
        <v>7150</v>
      </c>
    </row>
    <row r="3106" spans="1:4" ht="14.55" customHeight="1" x14ac:dyDescent="0.25">
      <c r="A3106" s="230" t="s">
        <v>1046</v>
      </c>
      <c r="B3106" s="231" t="s">
        <v>7151</v>
      </c>
      <c r="C3106" s="230" t="s">
        <v>7152</v>
      </c>
      <c r="D3106" s="230" t="s">
        <v>7153</v>
      </c>
    </row>
    <row r="3107" spans="1:4" ht="14.55" customHeight="1" x14ac:dyDescent="0.25">
      <c r="A3107" s="230" t="s">
        <v>1046</v>
      </c>
      <c r="B3107" s="231" t="s">
        <v>7154</v>
      </c>
      <c r="C3107" s="230" t="s">
        <v>7155</v>
      </c>
      <c r="D3107" s="230" t="s">
        <v>7156</v>
      </c>
    </row>
    <row r="3108" spans="1:4" ht="14.55" customHeight="1" x14ac:dyDescent="0.25">
      <c r="A3108" s="230" t="s">
        <v>1046</v>
      </c>
      <c r="B3108" s="231" t="s">
        <v>7157</v>
      </c>
      <c r="C3108" s="230" t="s">
        <v>7158</v>
      </c>
      <c r="D3108" s="230" t="s">
        <v>7159</v>
      </c>
    </row>
    <row r="3109" spans="1:4" ht="14.55" customHeight="1" x14ac:dyDescent="0.25">
      <c r="A3109" s="230" t="s">
        <v>1046</v>
      </c>
      <c r="B3109" s="231" t="s">
        <v>7160</v>
      </c>
      <c r="C3109" s="230" t="s">
        <v>7161</v>
      </c>
      <c r="D3109" s="230" t="s">
        <v>7162</v>
      </c>
    </row>
    <row r="3110" spans="1:4" ht="14.55" customHeight="1" x14ac:dyDescent="0.25">
      <c r="A3110" s="230" t="s">
        <v>504</v>
      </c>
      <c r="B3110" s="231" t="s">
        <v>7163</v>
      </c>
      <c r="C3110" s="230" t="s">
        <v>7164</v>
      </c>
      <c r="D3110" s="230" t="s">
        <v>7165</v>
      </c>
    </row>
    <row r="3111" spans="1:4" ht="14.55" customHeight="1" x14ac:dyDescent="0.25">
      <c r="A3111" s="230" t="s">
        <v>504</v>
      </c>
      <c r="B3111" s="231" t="s">
        <v>6921</v>
      </c>
      <c r="C3111" s="230" t="s">
        <v>7166</v>
      </c>
      <c r="D3111" s="230" t="s">
        <v>7167</v>
      </c>
    </row>
    <row r="3112" spans="1:4" ht="14.55" customHeight="1" x14ac:dyDescent="0.25">
      <c r="A3112" s="230" t="s">
        <v>504</v>
      </c>
      <c r="B3112" s="231" t="s">
        <v>1396</v>
      </c>
      <c r="C3112" s="230" t="s">
        <v>7168</v>
      </c>
      <c r="D3112" s="230" t="s">
        <v>13420</v>
      </c>
    </row>
    <row r="3113" spans="1:4" ht="14.55" customHeight="1" x14ac:dyDescent="0.25">
      <c r="A3113" s="230" t="s">
        <v>504</v>
      </c>
      <c r="B3113" s="231" t="s">
        <v>7169</v>
      </c>
      <c r="C3113" s="230" t="s">
        <v>7170</v>
      </c>
      <c r="D3113" s="230" t="s">
        <v>7171</v>
      </c>
    </row>
    <row r="3114" spans="1:4" ht="14.55" customHeight="1" x14ac:dyDescent="0.25">
      <c r="A3114" s="230" t="s">
        <v>244</v>
      </c>
      <c r="B3114" s="231" t="s">
        <v>7172</v>
      </c>
      <c r="C3114" s="230" t="s">
        <v>7173</v>
      </c>
      <c r="D3114" s="252" t="s">
        <v>7174</v>
      </c>
    </row>
    <row r="3115" spans="1:4" ht="14.55" customHeight="1" x14ac:dyDescent="0.25">
      <c r="A3115" s="230" t="s">
        <v>244</v>
      </c>
      <c r="B3115" s="231" t="s">
        <v>1411</v>
      </c>
      <c r="C3115" s="230" t="s">
        <v>7175</v>
      </c>
      <c r="D3115" s="252" t="s">
        <v>7176</v>
      </c>
    </row>
    <row r="3116" spans="1:4" ht="14.55" customHeight="1" x14ac:dyDescent="0.25">
      <c r="A3116" s="230" t="s">
        <v>244</v>
      </c>
      <c r="B3116" s="231" t="s">
        <v>94</v>
      </c>
      <c r="C3116" s="230" t="s">
        <v>7177</v>
      </c>
      <c r="D3116" s="252" t="s">
        <v>7178</v>
      </c>
    </row>
    <row r="3117" spans="1:4" ht="14.55" customHeight="1" x14ac:dyDescent="0.25">
      <c r="A3117" s="230" t="s">
        <v>244</v>
      </c>
      <c r="B3117" s="231" t="s">
        <v>7179</v>
      </c>
      <c r="C3117" s="230" t="s">
        <v>7180</v>
      </c>
      <c r="D3117" s="252" t="s">
        <v>7181</v>
      </c>
    </row>
    <row r="3118" spans="1:4" ht="14.55" customHeight="1" x14ac:dyDescent="0.25">
      <c r="A3118" s="230" t="s">
        <v>244</v>
      </c>
      <c r="B3118" s="231" t="s">
        <v>7182</v>
      </c>
      <c r="C3118" s="230" t="s">
        <v>7183</v>
      </c>
      <c r="D3118" s="252" t="s">
        <v>7184</v>
      </c>
    </row>
    <row r="3119" spans="1:4" ht="14.55" customHeight="1" x14ac:dyDescent="0.25">
      <c r="A3119" s="230" t="s">
        <v>623</v>
      </c>
      <c r="B3119" s="231" t="s">
        <v>1401</v>
      </c>
      <c r="C3119" s="230" t="s">
        <v>7185</v>
      </c>
      <c r="D3119" s="230"/>
    </row>
    <row r="3120" spans="1:4" ht="14.55" customHeight="1" x14ac:dyDescent="0.25">
      <c r="A3120" s="230" t="s">
        <v>623</v>
      </c>
      <c r="B3120" s="231" t="s">
        <v>7186</v>
      </c>
      <c r="C3120" s="230" t="s">
        <v>7187</v>
      </c>
      <c r="D3120" s="230"/>
    </row>
    <row r="3121" spans="1:5" ht="14.55" customHeight="1" x14ac:dyDescent="0.25">
      <c r="A3121" s="230" t="s">
        <v>623</v>
      </c>
      <c r="B3121" s="231" t="s">
        <v>6643</v>
      </c>
      <c r="C3121" s="230" t="s">
        <v>7188</v>
      </c>
      <c r="D3121" s="230"/>
    </row>
    <row r="3122" spans="1:5" ht="14.55" customHeight="1" x14ac:dyDescent="0.25">
      <c r="A3122" s="230" t="s">
        <v>623</v>
      </c>
      <c r="B3122" s="231" t="s">
        <v>6673</v>
      </c>
      <c r="C3122" s="230" t="s">
        <v>7189</v>
      </c>
      <c r="D3122" s="230"/>
    </row>
    <row r="3123" spans="1:5" ht="14.55" customHeight="1" x14ac:dyDescent="0.25">
      <c r="A3123" s="230" t="s">
        <v>623</v>
      </c>
      <c r="B3123" s="231" t="s">
        <v>1404</v>
      </c>
      <c r="C3123" s="230" t="s">
        <v>7190</v>
      </c>
      <c r="D3123" s="230"/>
    </row>
    <row r="3124" spans="1:5" ht="14.55" customHeight="1" x14ac:dyDescent="0.25">
      <c r="A3124" s="230" t="s">
        <v>623</v>
      </c>
      <c r="B3124" s="231" t="s">
        <v>6746</v>
      </c>
      <c r="C3124" s="230" t="s">
        <v>7191</v>
      </c>
      <c r="D3124" s="230"/>
    </row>
    <row r="3125" spans="1:5" ht="14.55" customHeight="1" x14ac:dyDescent="0.25">
      <c r="A3125" s="230" t="s">
        <v>623</v>
      </c>
      <c r="B3125" s="231" t="s">
        <v>7192</v>
      </c>
      <c r="C3125" s="230" t="s">
        <v>7193</v>
      </c>
      <c r="D3125" s="230"/>
    </row>
    <row r="3126" spans="1:5" ht="14.55" customHeight="1" x14ac:dyDescent="0.25">
      <c r="A3126" s="230" t="s">
        <v>623</v>
      </c>
      <c r="B3126" s="231" t="s">
        <v>7163</v>
      </c>
      <c r="C3126" s="230" t="s">
        <v>7194</v>
      </c>
      <c r="D3126" s="230"/>
    </row>
    <row r="3127" spans="1:5" ht="14.55" customHeight="1" x14ac:dyDescent="0.25">
      <c r="A3127" s="230" t="s">
        <v>623</v>
      </c>
      <c r="B3127" s="231" t="s">
        <v>6885</v>
      </c>
      <c r="C3127" s="230" t="s">
        <v>7195</v>
      </c>
      <c r="D3127" s="230"/>
    </row>
    <row r="3128" spans="1:5" ht="14.55" customHeight="1" x14ac:dyDescent="0.25">
      <c r="A3128" s="230" t="s">
        <v>623</v>
      </c>
      <c r="B3128" s="231" t="s">
        <v>6915</v>
      </c>
      <c r="C3128" s="230" t="s">
        <v>7196</v>
      </c>
      <c r="D3128" s="230"/>
    </row>
    <row r="3129" spans="1:5" ht="14.55" customHeight="1" x14ac:dyDescent="0.25">
      <c r="A3129" s="230" t="s">
        <v>623</v>
      </c>
      <c r="B3129" s="231" t="s">
        <v>1396</v>
      </c>
      <c r="C3129" s="230" t="s">
        <v>7168</v>
      </c>
      <c r="D3129" s="230"/>
    </row>
    <row r="3130" spans="1:5" ht="14.55" customHeight="1" x14ac:dyDescent="0.25">
      <c r="A3130" s="230" t="s">
        <v>623</v>
      </c>
      <c r="B3130" s="231" t="s">
        <v>7197</v>
      </c>
      <c r="C3130" s="230" t="s">
        <v>7198</v>
      </c>
      <c r="D3130" s="230"/>
    </row>
    <row r="3131" spans="1:5" ht="14.55" customHeight="1" x14ac:dyDescent="0.25">
      <c r="A3131" s="230" t="s">
        <v>789</v>
      </c>
      <c r="B3131" s="231" t="s">
        <v>1401</v>
      </c>
      <c r="C3131" s="230" t="s">
        <v>7199</v>
      </c>
      <c r="D3131" s="230" t="s">
        <v>7200</v>
      </c>
    </row>
    <row r="3132" spans="1:5" ht="14.55" customHeight="1" x14ac:dyDescent="0.25">
      <c r="A3132" s="230" t="s">
        <v>789</v>
      </c>
      <c r="B3132" s="231" t="s">
        <v>1393</v>
      </c>
      <c r="C3132" s="230" t="s">
        <v>7201</v>
      </c>
      <c r="D3132" s="230" t="s">
        <v>7202</v>
      </c>
    </row>
    <row r="3133" spans="1:5" ht="14.55" customHeight="1" x14ac:dyDescent="0.25">
      <c r="A3133" s="230" t="s">
        <v>789</v>
      </c>
      <c r="B3133" s="231" t="s">
        <v>7203</v>
      </c>
      <c r="C3133" s="230" t="s">
        <v>7204</v>
      </c>
      <c r="D3133" s="230" t="s">
        <v>7205</v>
      </c>
      <c r="E3133" s="253" t="s">
        <v>13473</v>
      </c>
    </row>
    <row r="3134" spans="1:5" ht="14.55" customHeight="1" x14ac:dyDescent="0.25">
      <c r="A3134" s="230" t="s">
        <v>361</v>
      </c>
      <c r="B3134" s="231" t="s">
        <v>7206</v>
      </c>
      <c r="C3134" s="230" t="s">
        <v>13498</v>
      </c>
      <c r="D3134" s="230" t="s">
        <v>7207</v>
      </c>
      <c r="E3134" s="230" t="s">
        <v>13499</v>
      </c>
    </row>
    <row r="3135" spans="1:5" ht="14.55" customHeight="1" x14ac:dyDescent="0.25">
      <c r="A3135" s="230" t="s">
        <v>361</v>
      </c>
      <c r="B3135" s="231" t="s">
        <v>7208</v>
      </c>
      <c r="C3135" s="230" t="s">
        <v>7209</v>
      </c>
      <c r="D3135" s="230" t="s">
        <v>7210</v>
      </c>
    </row>
    <row r="3136" spans="1:5" ht="14.55" customHeight="1" x14ac:dyDescent="0.25">
      <c r="A3136" s="230" t="s">
        <v>361</v>
      </c>
      <c r="B3136" s="231" t="s">
        <v>7211</v>
      </c>
      <c r="C3136" s="230" t="s">
        <v>7212</v>
      </c>
      <c r="D3136" s="230" t="s">
        <v>7213</v>
      </c>
    </row>
    <row r="3137" spans="1:5" ht="14.55" customHeight="1" x14ac:dyDescent="0.25">
      <c r="A3137" s="230" t="s">
        <v>361</v>
      </c>
      <c r="B3137" s="231" t="s">
        <v>7214</v>
      </c>
      <c r="C3137" s="230" t="s">
        <v>7215</v>
      </c>
      <c r="D3137" s="230" t="s">
        <v>7216</v>
      </c>
    </row>
    <row r="3138" spans="1:5" ht="14.55" customHeight="1" x14ac:dyDescent="0.25">
      <c r="A3138" s="230" t="s">
        <v>361</v>
      </c>
      <c r="B3138" s="231" t="s">
        <v>7217</v>
      </c>
      <c r="C3138" s="230" t="s">
        <v>7218</v>
      </c>
      <c r="D3138" s="230" t="s">
        <v>7219</v>
      </c>
    </row>
    <row r="3139" spans="1:5" ht="14.55" customHeight="1" x14ac:dyDescent="0.25">
      <c r="A3139" s="230" t="s">
        <v>361</v>
      </c>
      <c r="B3139" s="231" t="s">
        <v>7220</v>
      </c>
      <c r="C3139" s="230" t="s">
        <v>7221</v>
      </c>
      <c r="D3139" s="230" t="s">
        <v>7222</v>
      </c>
    </row>
    <row r="3140" spans="1:5" ht="14.55" customHeight="1" x14ac:dyDescent="0.25">
      <c r="A3140" s="230" t="s">
        <v>361</v>
      </c>
      <c r="B3140" s="231" t="s">
        <v>7223</v>
      </c>
      <c r="C3140" s="230" t="s">
        <v>7224</v>
      </c>
      <c r="D3140" s="230" t="s">
        <v>7225</v>
      </c>
    </row>
    <row r="3141" spans="1:5" ht="14.55" customHeight="1" x14ac:dyDescent="0.25">
      <c r="A3141" s="230" t="s">
        <v>361</v>
      </c>
      <c r="B3141" s="231" t="s">
        <v>7226</v>
      </c>
      <c r="C3141" s="230" t="s">
        <v>7227</v>
      </c>
      <c r="D3141" s="230" t="s">
        <v>7228</v>
      </c>
    </row>
    <row r="3142" spans="1:5" ht="14.55" customHeight="1" x14ac:dyDescent="0.25">
      <c r="A3142" s="230" t="s">
        <v>361</v>
      </c>
      <c r="B3142" s="231" t="s">
        <v>7229</v>
      </c>
      <c r="C3142" s="230" t="s">
        <v>7230</v>
      </c>
      <c r="D3142" s="230" t="s">
        <v>7231</v>
      </c>
    </row>
    <row r="3143" spans="1:5" ht="14.55" customHeight="1" x14ac:dyDescent="0.25">
      <c r="A3143" s="230" t="s">
        <v>361</v>
      </c>
      <c r="B3143" s="231" t="s">
        <v>7232</v>
      </c>
      <c r="C3143" s="230" t="s">
        <v>7233</v>
      </c>
      <c r="D3143" s="230" t="s">
        <v>7234</v>
      </c>
    </row>
    <row r="3144" spans="1:5" ht="14.55" customHeight="1" x14ac:dyDescent="0.25">
      <c r="A3144" s="230" t="s">
        <v>361</v>
      </c>
      <c r="B3144" s="231" t="s">
        <v>7235</v>
      </c>
      <c r="C3144" s="230" t="s">
        <v>7236</v>
      </c>
      <c r="D3144" s="230" t="s">
        <v>7237</v>
      </c>
    </row>
    <row r="3145" spans="1:5" ht="14.55" customHeight="1" x14ac:dyDescent="0.25">
      <c r="A3145" s="230" t="s">
        <v>361</v>
      </c>
      <c r="B3145" s="231" t="s">
        <v>7238</v>
      </c>
      <c r="C3145" s="230" t="s">
        <v>7239</v>
      </c>
      <c r="D3145" s="230" t="s">
        <v>7240</v>
      </c>
    </row>
    <row r="3146" spans="1:5" ht="14.55" customHeight="1" x14ac:dyDescent="0.25">
      <c r="A3146" s="230" t="s">
        <v>361</v>
      </c>
      <c r="B3146" s="231" t="s">
        <v>7241</v>
      </c>
      <c r="C3146" s="230" t="s">
        <v>7242</v>
      </c>
      <c r="D3146" s="230" t="s">
        <v>7243</v>
      </c>
    </row>
    <row r="3147" spans="1:5" ht="14.55" customHeight="1" x14ac:dyDescent="0.25">
      <c r="A3147" s="230" t="s">
        <v>361</v>
      </c>
      <c r="B3147" s="231" t="s">
        <v>7244</v>
      </c>
      <c r="C3147" s="230" t="s">
        <v>7245</v>
      </c>
      <c r="D3147" s="230" t="s">
        <v>7246</v>
      </c>
    </row>
    <row r="3148" spans="1:5" ht="14.55" customHeight="1" x14ac:dyDescent="0.25">
      <c r="A3148" s="230" t="s">
        <v>483</v>
      </c>
      <c r="B3148" s="231" t="s">
        <v>7247</v>
      </c>
      <c r="C3148" s="230" t="s">
        <v>7248</v>
      </c>
      <c r="D3148" s="230" t="s">
        <v>7249</v>
      </c>
      <c r="E3148" s="230" t="s">
        <v>7250</v>
      </c>
    </row>
    <row r="3149" spans="1:5" ht="14.55" customHeight="1" x14ac:dyDescent="0.25">
      <c r="A3149" s="230" t="s">
        <v>483</v>
      </c>
      <c r="B3149" s="231" t="s">
        <v>7251</v>
      </c>
      <c r="C3149" s="230" t="s">
        <v>7252</v>
      </c>
      <c r="D3149" s="230" t="s">
        <v>7253</v>
      </c>
    </row>
    <row r="3150" spans="1:5" ht="14.55" customHeight="1" x14ac:dyDescent="0.25">
      <c r="A3150" s="230" t="s">
        <v>483</v>
      </c>
      <c r="B3150" s="231" t="s">
        <v>7254</v>
      </c>
      <c r="C3150" s="230" t="s">
        <v>7255</v>
      </c>
      <c r="D3150" s="230" t="s">
        <v>7256</v>
      </c>
    </row>
    <row r="3151" spans="1:5" ht="14.55" customHeight="1" x14ac:dyDescent="0.25">
      <c r="A3151" s="230" t="s">
        <v>483</v>
      </c>
      <c r="B3151" s="231" t="s">
        <v>7257</v>
      </c>
      <c r="C3151" s="230" t="s">
        <v>7258</v>
      </c>
      <c r="D3151" s="230" t="s">
        <v>7259</v>
      </c>
    </row>
    <row r="3152" spans="1:5" ht="14.55" customHeight="1" x14ac:dyDescent="0.25">
      <c r="A3152" s="230" t="s">
        <v>483</v>
      </c>
      <c r="B3152" s="231" t="s">
        <v>7260</v>
      </c>
      <c r="C3152" s="230" t="s">
        <v>7261</v>
      </c>
      <c r="D3152" s="230" t="s">
        <v>7262</v>
      </c>
    </row>
    <row r="3153" spans="1:5" ht="14.55" customHeight="1" x14ac:dyDescent="0.25">
      <c r="A3153" s="230" t="s">
        <v>483</v>
      </c>
      <c r="B3153" s="231" t="s">
        <v>7263</v>
      </c>
      <c r="C3153" s="230" t="s">
        <v>7264</v>
      </c>
      <c r="D3153" s="230" t="s">
        <v>7265</v>
      </c>
    </row>
    <row r="3154" spans="1:5" ht="14.55" customHeight="1" x14ac:dyDescent="0.25">
      <c r="A3154" s="230" t="s">
        <v>483</v>
      </c>
      <c r="B3154" s="231" t="s">
        <v>7266</v>
      </c>
      <c r="C3154" s="230" t="s">
        <v>7267</v>
      </c>
      <c r="D3154" s="230" t="s">
        <v>7268</v>
      </c>
    </row>
    <row r="3155" spans="1:5" ht="14.55" customHeight="1" x14ac:dyDescent="0.25">
      <c r="A3155" s="230" t="s">
        <v>483</v>
      </c>
      <c r="B3155" s="231" t="s">
        <v>130</v>
      </c>
      <c r="C3155" s="230" t="s">
        <v>7269</v>
      </c>
      <c r="D3155" s="230" t="s">
        <v>7270</v>
      </c>
    </row>
    <row r="3156" spans="1:5" ht="14.55" customHeight="1" x14ac:dyDescent="0.25">
      <c r="A3156" s="230" t="s">
        <v>483</v>
      </c>
      <c r="B3156" s="231" t="s">
        <v>136</v>
      </c>
      <c r="C3156" s="230" t="s">
        <v>7271</v>
      </c>
      <c r="D3156" s="230" t="s">
        <v>7272</v>
      </c>
    </row>
    <row r="3157" spans="1:5" ht="14.55" customHeight="1" x14ac:dyDescent="0.25">
      <c r="A3157" s="230" t="s">
        <v>483</v>
      </c>
      <c r="B3157" s="231" t="s">
        <v>140</v>
      </c>
      <c r="C3157" s="230" t="s">
        <v>7273</v>
      </c>
      <c r="D3157" s="230" t="s">
        <v>7274</v>
      </c>
    </row>
    <row r="3158" spans="1:5" ht="14.55" customHeight="1" x14ac:dyDescent="0.25">
      <c r="A3158" s="230" t="s">
        <v>483</v>
      </c>
      <c r="B3158" s="231" t="s">
        <v>146</v>
      </c>
      <c r="C3158" s="230" t="s">
        <v>7275</v>
      </c>
      <c r="D3158" s="230" t="s">
        <v>7276</v>
      </c>
    </row>
    <row r="3159" spans="1:5" ht="14.55" customHeight="1" x14ac:dyDescent="0.25">
      <c r="A3159" s="253" t="s">
        <v>483</v>
      </c>
      <c r="B3159" s="231" t="s">
        <v>150</v>
      </c>
      <c r="C3159" s="230" t="s">
        <v>7277</v>
      </c>
      <c r="D3159" s="230" t="s">
        <v>7278</v>
      </c>
      <c r="E3159" s="253" t="s">
        <v>13358</v>
      </c>
    </row>
    <row r="3160" spans="1:5" ht="14.55" customHeight="1" x14ac:dyDescent="0.25">
      <c r="A3160" s="230" t="s">
        <v>483</v>
      </c>
      <c r="B3160" s="231" t="s">
        <v>154</v>
      </c>
      <c r="C3160" s="230" t="s">
        <v>7279</v>
      </c>
      <c r="D3160" s="230" t="s">
        <v>7280</v>
      </c>
    </row>
    <row r="3161" spans="1:5" ht="14.55" customHeight="1" x14ac:dyDescent="0.25">
      <c r="A3161" s="230" t="s">
        <v>483</v>
      </c>
      <c r="B3161" s="231" t="s">
        <v>214</v>
      </c>
      <c r="C3161" s="230" t="s">
        <v>7281</v>
      </c>
      <c r="D3161" s="230" t="s">
        <v>7282</v>
      </c>
    </row>
    <row r="3162" spans="1:5" ht="14.55" customHeight="1" x14ac:dyDescent="0.25">
      <c r="A3162" s="230" t="s">
        <v>378</v>
      </c>
      <c r="B3162" s="231" t="s">
        <v>7206</v>
      </c>
      <c r="C3162" s="230" t="s">
        <v>7283</v>
      </c>
      <c r="D3162" s="230" t="s">
        <v>7284</v>
      </c>
      <c r="E3162" s="230" t="s">
        <v>7285</v>
      </c>
    </row>
    <row r="3163" spans="1:5" ht="14.55" customHeight="1" x14ac:dyDescent="0.25">
      <c r="A3163" s="230" t="s">
        <v>378</v>
      </c>
      <c r="B3163" s="231" t="s">
        <v>7208</v>
      </c>
      <c r="C3163" s="230" t="s">
        <v>7286</v>
      </c>
      <c r="D3163" s="230" t="s">
        <v>7287</v>
      </c>
      <c r="E3163" s="230" t="s">
        <v>7288</v>
      </c>
    </row>
    <row r="3164" spans="1:5" ht="14.55" customHeight="1" x14ac:dyDescent="0.25">
      <c r="A3164" s="230" t="s">
        <v>378</v>
      </c>
      <c r="B3164" s="231" t="s">
        <v>7214</v>
      </c>
      <c r="C3164" s="230" t="s">
        <v>7289</v>
      </c>
      <c r="D3164" s="230" t="s">
        <v>7290</v>
      </c>
      <c r="E3164" s="230" t="s">
        <v>7291</v>
      </c>
    </row>
    <row r="3165" spans="1:5" ht="14.55" customHeight="1" x14ac:dyDescent="0.25">
      <c r="A3165" s="230" t="s">
        <v>378</v>
      </c>
      <c r="B3165" s="231" t="s">
        <v>7217</v>
      </c>
      <c r="C3165" s="230" t="s">
        <v>7292</v>
      </c>
      <c r="D3165" s="230" t="s">
        <v>7293</v>
      </c>
      <c r="E3165" s="230" t="s">
        <v>7294</v>
      </c>
    </row>
    <row r="3166" spans="1:5" ht="14.55" customHeight="1" x14ac:dyDescent="0.25">
      <c r="A3166" s="230" t="s">
        <v>378</v>
      </c>
      <c r="B3166" s="231" t="s">
        <v>7220</v>
      </c>
      <c r="C3166" s="230" t="s">
        <v>7295</v>
      </c>
      <c r="D3166" s="230" t="s">
        <v>7296</v>
      </c>
      <c r="E3166" s="230" t="s">
        <v>7297</v>
      </c>
    </row>
    <row r="3167" spans="1:5" ht="14.55" customHeight="1" x14ac:dyDescent="0.25">
      <c r="A3167" s="230" t="s">
        <v>378</v>
      </c>
      <c r="B3167" s="231" t="s">
        <v>7298</v>
      </c>
      <c r="C3167" s="230" t="s">
        <v>7299</v>
      </c>
      <c r="D3167" s="230" t="s">
        <v>7300</v>
      </c>
      <c r="E3167" s="230" t="s">
        <v>7301</v>
      </c>
    </row>
    <row r="3168" spans="1:5" ht="14.55" customHeight="1" x14ac:dyDescent="0.25">
      <c r="A3168" s="230" t="s">
        <v>378</v>
      </c>
      <c r="B3168" s="231" t="s">
        <v>7302</v>
      </c>
      <c r="C3168" s="230" t="s">
        <v>7303</v>
      </c>
      <c r="D3168" s="230" t="s">
        <v>7304</v>
      </c>
      <c r="E3168" s="230" t="s">
        <v>7305</v>
      </c>
    </row>
    <row r="3169" spans="1:5" ht="14.55" customHeight="1" x14ac:dyDescent="0.25">
      <c r="A3169" s="230" t="s">
        <v>378</v>
      </c>
      <c r="B3169" s="231" t="s">
        <v>7223</v>
      </c>
      <c r="C3169" s="230" t="s">
        <v>7306</v>
      </c>
      <c r="D3169" s="230" t="s">
        <v>7307</v>
      </c>
      <c r="E3169" s="230" t="s">
        <v>7308</v>
      </c>
    </row>
    <row r="3170" spans="1:5" ht="14.55" customHeight="1" x14ac:dyDescent="0.25">
      <c r="A3170" s="230" t="s">
        <v>378</v>
      </c>
      <c r="B3170" s="231" t="s">
        <v>7309</v>
      </c>
      <c r="C3170" s="230" t="s">
        <v>7310</v>
      </c>
      <c r="D3170" s="230" t="s">
        <v>7311</v>
      </c>
      <c r="E3170" s="230" t="s">
        <v>7312</v>
      </c>
    </row>
    <row r="3171" spans="1:5" ht="14.55" customHeight="1" x14ac:dyDescent="0.25">
      <c r="A3171" s="230" t="s">
        <v>378</v>
      </c>
      <c r="B3171" s="231" t="s">
        <v>7313</v>
      </c>
      <c r="C3171" s="230" t="s">
        <v>7314</v>
      </c>
      <c r="D3171" s="230" t="s">
        <v>7315</v>
      </c>
      <c r="E3171" s="230" t="s">
        <v>7316</v>
      </c>
    </row>
    <row r="3172" spans="1:5" ht="14.55" customHeight="1" x14ac:dyDescent="0.25">
      <c r="A3172" s="230" t="s">
        <v>378</v>
      </c>
      <c r="B3172" s="231" t="s">
        <v>7317</v>
      </c>
      <c r="C3172" s="230" t="s">
        <v>7318</v>
      </c>
      <c r="D3172" s="230" t="s">
        <v>7319</v>
      </c>
      <c r="E3172" s="230" t="s">
        <v>7320</v>
      </c>
    </row>
    <row r="3173" spans="1:5" ht="14.55" customHeight="1" x14ac:dyDescent="0.25">
      <c r="A3173" s="230" t="s">
        <v>378</v>
      </c>
      <c r="B3173" s="231" t="s">
        <v>7321</v>
      </c>
      <c r="C3173" s="230" t="s">
        <v>7322</v>
      </c>
      <c r="D3173" s="230" t="s">
        <v>7323</v>
      </c>
      <c r="E3173" s="230" t="s">
        <v>7324</v>
      </c>
    </row>
    <row r="3174" spans="1:5" ht="14.55" customHeight="1" x14ac:dyDescent="0.25">
      <c r="A3174" s="230" t="s">
        <v>378</v>
      </c>
      <c r="B3174" s="231" t="s">
        <v>7226</v>
      </c>
      <c r="C3174" s="230" t="s">
        <v>7325</v>
      </c>
      <c r="D3174" s="230" t="s">
        <v>7326</v>
      </c>
      <c r="E3174" s="230" t="s">
        <v>7327</v>
      </c>
    </row>
    <row r="3175" spans="1:5" ht="14.55" customHeight="1" x14ac:dyDescent="0.25">
      <c r="A3175" s="230" t="s">
        <v>378</v>
      </c>
      <c r="B3175" s="231" t="s">
        <v>7328</v>
      </c>
      <c r="C3175" s="230" t="s">
        <v>7329</v>
      </c>
      <c r="D3175" s="230" t="s">
        <v>7330</v>
      </c>
      <c r="E3175" s="230" t="s">
        <v>7331</v>
      </c>
    </row>
    <row r="3176" spans="1:5" ht="14.55" customHeight="1" x14ac:dyDescent="0.25">
      <c r="A3176" s="230" t="s">
        <v>378</v>
      </c>
      <c r="B3176" s="231" t="s">
        <v>7332</v>
      </c>
      <c r="C3176" s="230" t="s">
        <v>7333</v>
      </c>
      <c r="D3176" s="230" t="s">
        <v>7334</v>
      </c>
      <c r="E3176" s="230" t="s">
        <v>7335</v>
      </c>
    </row>
    <row r="3177" spans="1:5" ht="14.55" customHeight="1" x14ac:dyDescent="0.25">
      <c r="A3177" s="230" t="s">
        <v>378</v>
      </c>
      <c r="B3177" s="231" t="s">
        <v>7336</v>
      </c>
      <c r="C3177" s="230" t="s">
        <v>7337</v>
      </c>
      <c r="D3177" s="230" t="s">
        <v>7338</v>
      </c>
      <c r="E3177" s="230" t="s">
        <v>7339</v>
      </c>
    </row>
    <row r="3178" spans="1:5" ht="14.55" customHeight="1" x14ac:dyDescent="0.25">
      <c r="A3178" s="230" t="s">
        <v>378</v>
      </c>
      <c r="B3178" s="231" t="s">
        <v>7340</v>
      </c>
      <c r="C3178" s="230" t="s">
        <v>7341</v>
      </c>
      <c r="D3178" s="230" t="s">
        <v>7342</v>
      </c>
      <c r="E3178" s="230" t="s">
        <v>7343</v>
      </c>
    </row>
    <row r="3179" spans="1:5" ht="14.55" customHeight="1" x14ac:dyDescent="0.25">
      <c r="A3179" s="230" t="s">
        <v>378</v>
      </c>
      <c r="B3179" s="231" t="s">
        <v>7232</v>
      </c>
      <c r="C3179" s="230" t="s">
        <v>7344</v>
      </c>
      <c r="D3179" s="230" t="s">
        <v>7345</v>
      </c>
      <c r="E3179" s="230" t="s">
        <v>7346</v>
      </c>
    </row>
    <row r="3180" spans="1:5" ht="14.55" customHeight="1" x14ac:dyDescent="0.25">
      <c r="A3180" s="230" t="s">
        <v>378</v>
      </c>
      <c r="B3180" s="231" t="s">
        <v>7235</v>
      </c>
      <c r="C3180" s="230" t="s">
        <v>7347</v>
      </c>
      <c r="D3180" s="230" t="s">
        <v>7348</v>
      </c>
      <c r="E3180" s="230" t="s">
        <v>7349</v>
      </c>
    </row>
    <row r="3181" spans="1:5" ht="14.55" customHeight="1" x14ac:dyDescent="0.25">
      <c r="A3181" s="230" t="s">
        <v>378</v>
      </c>
      <c r="B3181" s="231" t="s">
        <v>7350</v>
      </c>
      <c r="C3181" s="230" t="s">
        <v>7351</v>
      </c>
      <c r="D3181" s="230" t="s">
        <v>7352</v>
      </c>
      <c r="E3181" s="230" t="s">
        <v>7353</v>
      </c>
    </row>
    <row r="3182" spans="1:5" ht="14.55" customHeight="1" x14ac:dyDescent="0.25">
      <c r="A3182" s="230" t="s">
        <v>378</v>
      </c>
      <c r="B3182" s="231" t="s">
        <v>7354</v>
      </c>
      <c r="C3182" s="230" t="s">
        <v>7355</v>
      </c>
      <c r="D3182" s="230" t="s">
        <v>7356</v>
      </c>
      <c r="E3182" s="230" t="s">
        <v>7357</v>
      </c>
    </row>
    <row r="3183" spans="1:5" ht="14.55" customHeight="1" x14ac:dyDescent="0.25">
      <c r="A3183" s="230" t="s">
        <v>378</v>
      </c>
      <c r="B3183" s="231" t="s">
        <v>7358</v>
      </c>
      <c r="C3183" s="230" t="s">
        <v>7359</v>
      </c>
      <c r="D3183" s="230" t="s">
        <v>7360</v>
      </c>
      <c r="E3183" s="230" t="s">
        <v>7361</v>
      </c>
    </row>
    <row r="3184" spans="1:5" ht="14.55" customHeight="1" x14ac:dyDescent="0.25">
      <c r="A3184" s="230" t="s">
        <v>941</v>
      </c>
      <c r="B3184" s="231" t="s">
        <v>1401</v>
      </c>
      <c r="C3184" s="230" t="s">
        <v>7362</v>
      </c>
      <c r="D3184" s="230" t="s">
        <v>7363</v>
      </c>
    </row>
    <row r="3185" spans="1:4" ht="14.55" customHeight="1" x14ac:dyDescent="0.25">
      <c r="A3185" s="230" t="s">
        <v>941</v>
      </c>
      <c r="B3185" s="231" t="s">
        <v>7186</v>
      </c>
      <c r="C3185" s="230" t="s">
        <v>7364</v>
      </c>
      <c r="D3185" s="230" t="s">
        <v>7365</v>
      </c>
    </row>
    <row r="3186" spans="1:4" ht="14.55" customHeight="1" x14ac:dyDescent="0.25">
      <c r="A3186" s="230" t="s">
        <v>941</v>
      </c>
      <c r="B3186" s="231" t="s">
        <v>6597</v>
      </c>
      <c r="C3186" s="230" t="s">
        <v>7366</v>
      </c>
      <c r="D3186" s="230" t="s">
        <v>7363</v>
      </c>
    </row>
    <row r="3187" spans="1:4" ht="14.55" customHeight="1" x14ac:dyDescent="0.25">
      <c r="A3187" s="230" t="s">
        <v>941</v>
      </c>
      <c r="B3187" s="231" t="s">
        <v>7179</v>
      </c>
      <c r="C3187" s="230" t="s">
        <v>7367</v>
      </c>
      <c r="D3187" s="230" t="s">
        <v>7363</v>
      </c>
    </row>
    <row r="3188" spans="1:4" ht="14.55" customHeight="1" x14ac:dyDescent="0.25">
      <c r="A3188" s="230" t="s">
        <v>941</v>
      </c>
      <c r="B3188" s="231" t="s">
        <v>7368</v>
      </c>
      <c r="C3188" s="230" t="s">
        <v>7369</v>
      </c>
      <c r="D3188" s="230" t="s">
        <v>7365</v>
      </c>
    </row>
    <row r="3189" spans="1:4" ht="14.55" customHeight="1" x14ac:dyDescent="0.25">
      <c r="A3189" s="230" t="s">
        <v>941</v>
      </c>
      <c r="B3189" s="231" t="s">
        <v>7172</v>
      </c>
      <c r="C3189" s="230" t="s">
        <v>7370</v>
      </c>
      <c r="D3189" s="230" t="s">
        <v>7363</v>
      </c>
    </row>
    <row r="3190" spans="1:4" ht="14.55" customHeight="1" x14ac:dyDescent="0.25">
      <c r="A3190" s="230" t="s">
        <v>941</v>
      </c>
      <c r="B3190" s="231" t="s">
        <v>7371</v>
      </c>
      <c r="C3190" s="230" t="s">
        <v>7372</v>
      </c>
      <c r="D3190" s="230" t="s">
        <v>7365</v>
      </c>
    </row>
    <row r="3191" spans="1:4" ht="14.55" customHeight="1" x14ac:dyDescent="0.25">
      <c r="A3191" s="230" t="s">
        <v>941</v>
      </c>
      <c r="B3191" s="231" t="s">
        <v>7373</v>
      </c>
      <c r="C3191" s="230" t="s">
        <v>7374</v>
      </c>
      <c r="D3191" s="230" t="s">
        <v>7365</v>
      </c>
    </row>
    <row r="3192" spans="1:4" ht="14.55" customHeight="1" x14ac:dyDescent="0.25">
      <c r="A3192" s="230" t="s">
        <v>941</v>
      </c>
      <c r="B3192" s="231" t="s">
        <v>107</v>
      </c>
      <c r="C3192" s="230" t="s">
        <v>7375</v>
      </c>
      <c r="D3192" s="230" t="s">
        <v>7365</v>
      </c>
    </row>
    <row r="3193" spans="1:4" ht="14.55" customHeight="1" x14ac:dyDescent="0.25">
      <c r="A3193" s="230" t="s">
        <v>941</v>
      </c>
      <c r="B3193" s="231" t="s">
        <v>1396</v>
      </c>
      <c r="C3193" s="230" t="s">
        <v>7376</v>
      </c>
      <c r="D3193" s="230" t="s">
        <v>7377</v>
      </c>
    </row>
    <row r="3194" spans="1:4" ht="14.55" customHeight="1" x14ac:dyDescent="0.25">
      <c r="A3194" s="230" t="s">
        <v>941</v>
      </c>
      <c r="B3194" s="231" t="s">
        <v>7169</v>
      </c>
      <c r="C3194" s="230" t="s">
        <v>7378</v>
      </c>
      <c r="D3194" s="230" t="s">
        <v>7365</v>
      </c>
    </row>
    <row r="3195" spans="1:4" ht="14.55" customHeight="1" x14ac:dyDescent="0.25">
      <c r="A3195" s="230" t="s">
        <v>1165</v>
      </c>
      <c r="B3195" s="231" t="s">
        <v>7379</v>
      </c>
      <c r="C3195" s="230" t="s">
        <v>7380</v>
      </c>
      <c r="D3195" s="230"/>
    </row>
    <row r="3196" spans="1:4" ht="14.55" customHeight="1" x14ac:dyDescent="0.25">
      <c r="A3196" s="230" t="s">
        <v>1165</v>
      </c>
      <c r="B3196" s="231" t="s">
        <v>7381</v>
      </c>
      <c r="C3196" s="230" t="s">
        <v>7382</v>
      </c>
      <c r="D3196" s="230"/>
    </row>
    <row r="3197" spans="1:4" ht="14.55" customHeight="1" x14ac:dyDescent="0.25">
      <c r="A3197" s="230" t="s">
        <v>1165</v>
      </c>
      <c r="B3197" s="231" t="s">
        <v>7383</v>
      </c>
      <c r="C3197" s="230" t="s">
        <v>7384</v>
      </c>
      <c r="D3197" s="230"/>
    </row>
    <row r="3198" spans="1:4" ht="14.55" customHeight="1" x14ac:dyDescent="0.25">
      <c r="A3198" s="230" t="s">
        <v>1165</v>
      </c>
      <c r="B3198" s="231" t="s">
        <v>7385</v>
      </c>
      <c r="C3198" s="230" t="s">
        <v>7386</v>
      </c>
      <c r="D3198" s="230"/>
    </row>
    <row r="3199" spans="1:4" ht="14.55" customHeight="1" x14ac:dyDescent="0.25">
      <c r="A3199" s="230" t="s">
        <v>1165</v>
      </c>
      <c r="B3199" s="231" t="s">
        <v>7387</v>
      </c>
      <c r="C3199" s="230" t="s">
        <v>7388</v>
      </c>
      <c r="D3199" s="230"/>
    </row>
    <row r="3200" spans="1:4" ht="14.55" customHeight="1" x14ac:dyDescent="0.25">
      <c r="A3200" s="230" t="s">
        <v>1165</v>
      </c>
      <c r="B3200" s="231" t="s">
        <v>7389</v>
      </c>
      <c r="C3200" s="230" t="s">
        <v>7390</v>
      </c>
      <c r="D3200" s="230"/>
    </row>
    <row r="3201" spans="1:4" ht="14.55" customHeight="1" x14ac:dyDescent="0.25">
      <c r="A3201" s="230" t="s">
        <v>1165</v>
      </c>
      <c r="B3201" s="231" t="s">
        <v>7391</v>
      </c>
      <c r="C3201" s="230" t="s">
        <v>7392</v>
      </c>
      <c r="D3201" s="230"/>
    </row>
    <row r="3202" spans="1:4" ht="14.55" customHeight="1" x14ac:dyDescent="0.25">
      <c r="A3202" s="230" t="s">
        <v>1165</v>
      </c>
      <c r="B3202" s="231" t="s">
        <v>7393</v>
      </c>
      <c r="C3202" s="230" t="s">
        <v>7394</v>
      </c>
      <c r="D3202" s="230"/>
    </row>
    <row r="3203" spans="1:4" ht="14.55" customHeight="1" x14ac:dyDescent="0.25">
      <c r="A3203" s="230" t="s">
        <v>1165</v>
      </c>
      <c r="B3203" s="231" t="s">
        <v>7395</v>
      </c>
      <c r="C3203" s="230" t="s">
        <v>7396</v>
      </c>
      <c r="D3203" s="230"/>
    </row>
    <row r="3204" spans="1:4" ht="14.55" customHeight="1" x14ac:dyDescent="0.25">
      <c r="A3204" s="230" t="s">
        <v>1165</v>
      </c>
      <c r="B3204" s="231" t="s">
        <v>7397</v>
      </c>
      <c r="C3204" s="230" t="s">
        <v>7398</v>
      </c>
      <c r="D3204" s="230"/>
    </row>
    <row r="3205" spans="1:4" ht="14.55" customHeight="1" x14ac:dyDescent="0.25">
      <c r="A3205" s="230" t="s">
        <v>1165</v>
      </c>
      <c r="B3205" s="231" t="s">
        <v>7399</v>
      </c>
      <c r="C3205" s="230" t="s">
        <v>7400</v>
      </c>
      <c r="D3205" s="230"/>
    </row>
    <row r="3206" spans="1:4" ht="14.55" customHeight="1" x14ac:dyDescent="0.25">
      <c r="A3206" s="230" t="s">
        <v>1165</v>
      </c>
      <c r="B3206" s="231" t="s">
        <v>7401</v>
      </c>
      <c r="C3206" s="230" t="s">
        <v>7402</v>
      </c>
      <c r="D3206" s="230"/>
    </row>
    <row r="3207" spans="1:4" ht="14.55" customHeight="1" x14ac:dyDescent="0.25">
      <c r="A3207" s="230" t="s">
        <v>1165</v>
      </c>
      <c r="B3207" s="231" t="s">
        <v>7403</v>
      </c>
      <c r="C3207" s="230" t="s">
        <v>7404</v>
      </c>
      <c r="D3207" s="230"/>
    </row>
    <row r="3208" spans="1:4" ht="14.55" customHeight="1" x14ac:dyDescent="0.25">
      <c r="A3208" s="230" t="s">
        <v>1165</v>
      </c>
      <c r="B3208" s="231" t="s">
        <v>7405</v>
      </c>
      <c r="C3208" s="230" t="s">
        <v>7406</v>
      </c>
      <c r="D3208" s="230"/>
    </row>
    <row r="3209" spans="1:4" ht="14.55" customHeight="1" x14ac:dyDescent="0.25">
      <c r="A3209" s="230" t="s">
        <v>1165</v>
      </c>
      <c r="B3209" s="231" t="s">
        <v>7407</v>
      </c>
      <c r="C3209" s="230" t="s">
        <v>7408</v>
      </c>
      <c r="D3209" s="230"/>
    </row>
    <row r="3210" spans="1:4" ht="14.55" customHeight="1" x14ac:dyDescent="0.25">
      <c r="A3210" s="230" t="s">
        <v>1165</v>
      </c>
      <c r="B3210" s="231" t="s">
        <v>7409</v>
      </c>
      <c r="C3210" s="230" t="s">
        <v>7410</v>
      </c>
      <c r="D3210" s="230"/>
    </row>
    <row r="3211" spans="1:4" ht="14.55" customHeight="1" x14ac:dyDescent="0.25">
      <c r="A3211" s="230" t="s">
        <v>1165</v>
      </c>
      <c r="B3211" s="231" t="s">
        <v>7411</v>
      </c>
      <c r="C3211" s="230" t="s">
        <v>7412</v>
      </c>
      <c r="D3211" s="230"/>
    </row>
    <row r="3212" spans="1:4" ht="14.55" customHeight="1" x14ac:dyDescent="0.25">
      <c r="A3212" s="230" t="s">
        <v>1165</v>
      </c>
      <c r="B3212" s="231" t="s">
        <v>7413</v>
      </c>
      <c r="C3212" s="230" t="s">
        <v>7414</v>
      </c>
      <c r="D3212" s="230"/>
    </row>
    <row r="3213" spans="1:4" ht="14.55" customHeight="1" x14ac:dyDescent="0.25">
      <c r="A3213" s="230" t="s">
        <v>1165</v>
      </c>
      <c r="B3213" s="231" t="s">
        <v>7415</v>
      </c>
      <c r="C3213" s="230" t="s">
        <v>7416</v>
      </c>
      <c r="D3213" s="230"/>
    </row>
    <row r="3214" spans="1:4" ht="14.55" customHeight="1" x14ac:dyDescent="0.25">
      <c r="A3214" s="230" t="s">
        <v>1165</v>
      </c>
      <c r="B3214" s="231" t="s">
        <v>7417</v>
      </c>
      <c r="C3214" s="230" t="s">
        <v>7418</v>
      </c>
      <c r="D3214" s="230"/>
    </row>
    <row r="3215" spans="1:4" ht="14.55" customHeight="1" x14ac:dyDescent="0.25">
      <c r="A3215" s="230" t="s">
        <v>1165</v>
      </c>
      <c r="B3215" s="231" t="s">
        <v>7419</v>
      </c>
      <c r="C3215" s="230" t="s">
        <v>7420</v>
      </c>
      <c r="D3215" s="230"/>
    </row>
    <row r="3216" spans="1:4" ht="14.55" customHeight="1" x14ac:dyDescent="0.25">
      <c r="A3216" s="230" t="s">
        <v>1165</v>
      </c>
      <c r="B3216" s="231" t="s">
        <v>7421</v>
      </c>
      <c r="C3216" s="230" t="s">
        <v>7422</v>
      </c>
      <c r="D3216" s="230"/>
    </row>
    <row r="3217" spans="1:4" ht="14.55" customHeight="1" x14ac:dyDescent="0.25">
      <c r="A3217" s="230" t="s">
        <v>1165</v>
      </c>
      <c r="B3217" s="231" t="s">
        <v>7423</v>
      </c>
      <c r="C3217" s="230" t="s">
        <v>7424</v>
      </c>
      <c r="D3217" s="230"/>
    </row>
    <row r="3218" spans="1:4" ht="14.55" customHeight="1" x14ac:dyDescent="0.25">
      <c r="A3218" s="230" t="s">
        <v>1165</v>
      </c>
      <c r="B3218" s="231" t="s">
        <v>7425</v>
      </c>
      <c r="C3218" s="230" t="s">
        <v>7426</v>
      </c>
      <c r="D3218" s="230"/>
    </row>
    <row r="3219" spans="1:4" ht="14.55" customHeight="1" x14ac:dyDescent="0.25">
      <c r="A3219" s="230" t="s">
        <v>1165</v>
      </c>
      <c r="B3219" s="231" t="s">
        <v>7427</v>
      </c>
      <c r="C3219" s="230" t="s">
        <v>7428</v>
      </c>
      <c r="D3219" s="230"/>
    </row>
    <row r="3220" spans="1:4" ht="14.55" customHeight="1" x14ac:dyDescent="0.25">
      <c r="A3220" s="230" t="s">
        <v>1165</v>
      </c>
      <c r="B3220" s="231" t="s">
        <v>7429</v>
      </c>
      <c r="C3220" s="230" t="s">
        <v>7430</v>
      </c>
      <c r="D3220" s="230"/>
    </row>
    <row r="3221" spans="1:4" ht="14.55" customHeight="1" x14ac:dyDescent="0.25">
      <c r="A3221" s="230" t="s">
        <v>1165</v>
      </c>
      <c r="B3221" s="231" t="s">
        <v>7431</v>
      </c>
      <c r="C3221" s="230" t="s">
        <v>7432</v>
      </c>
      <c r="D3221" s="230"/>
    </row>
    <row r="3222" spans="1:4" ht="14.55" customHeight="1" x14ac:dyDescent="0.25">
      <c r="A3222" s="230" t="s">
        <v>1165</v>
      </c>
      <c r="B3222" s="231" t="s">
        <v>7433</v>
      </c>
      <c r="C3222" s="230" t="s">
        <v>7434</v>
      </c>
      <c r="D3222" s="230"/>
    </row>
    <row r="3223" spans="1:4" ht="14.55" customHeight="1" x14ac:dyDescent="0.25">
      <c r="A3223" s="230" t="s">
        <v>1165</v>
      </c>
      <c r="B3223" s="231" t="s">
        <v>7435</v>
      </c>
      <c r="C3223" s="230" t="s">
        <v>7436</v>
      </c>
      <c r="D3223" s="230"/>
    </row>
    <row r="3224" spans="1:4" ht="14.55" customHeight="1" x14ac:dyDescent="0.25">
      <c r="A3224" s="230" t="s">
        <v>1165</v>
      </c>
      <c r="B3224" s="231" t="s">
        <v>7437</v>
      </c>
      <c r="C3224" s="230" t="s">
        <v>7438</v>
      </c>
      <c r="D3224" s="230"/>
    </row>
    <row r="3225" spans="1:4" ht="14.55" customHeight="1" x14ac:dyDescent="0.25">
      <c r="A3225" s="230" t="s">
        <v>1165</v>
      </c>
      <c r="B3225" s="231" t="s">
        <v>7439</v>
      </c>
      <c r="C3225" s="230" t="s">
        <v>7440</v>
      </c>
      <c r="D3225" s="230"/>
    </row>
    <row r="3226" spans="1:4" ht="14.55" customHeight="1" x14ac:dyDescent="0.25">
      <c r="A3226" s="230" t="s">
        <v>1165</v>
      </c>
      <c r="B3226" s="231" t="s">
        <v>7441</v>
      </c>
      <c r="C3226" s="230" t="s">
        <v>7442</v>
      </c>
      <c r="D3226" s="230"/>
    </row>
    <row r="3227" spans="1:4" ht="14.55" customHeight="1" x14ac:dyDescent="0.25">
      <c r="A3227" s="230" t="s">
        <v>1165</v>
      </c>
      <c r="B3227" s="231" t="s">
        <v>7443</v>
      </c>
      <c r="C3227" s="230" t="s">
        <v>7444</v>
      </c>
      <c r="D3227" s="230"/>
    </row>
    <row r="3228" spans="1:4" ht="14.55" customHeight="1" x14ac:dyDescent="0.25">
      <c r="A3228" s="230" t="s">
        <v>1165</v>
      </c>
      <c r="B3228" s="231" t="s">
        <v>7445</v>
      </c>
      <c r="C3228" s="230" t="s">
        <v>7446</v>
      </c>
      <c r="D3228" s="230"/>
    </row>
    <row r="3229" spans="1:4" ht="14.55" customHeight="1" x14ac:dyDescent="0.25">
      <c r="A3229" s="230" t="s">
        <v>1165</v>
      </c>
      <c r="B3229" s="231" t="s">
        <v>7447</v>
      </c>
      <c r="C3229" s="230" t="s">
        <v>7448</v>
      </c>
      <c r="D3229" s="230"/>
    </row>
    <row r="3230" spans="1:4" ht="14.55" customHeight="1" x14ac:dyDescent="0.25">
      <c r="A3230" s="230" t="s">
        <v>1165</v>
      </c>
      <c r="B3230" s="231" t="s">
        <v>7449</v>
      </c>
      <c r="C3230" s="230" t="s">
        <v>7450</v>
      </c>
      <c r="D3230" s="230"/>
    </row>
    <row r="3231" spans="1:4" ht="14.55" customHeight="1" x14ac:dyDescent="0.25">
      <c r="A3231" s="230" t="s">
        <v>1165</v>
      </c>
      <c r="B3231" s="231" t="s">
        <v>7451</v>
      </c>
      <c r="C3231" s="230" t="s">
        <v>7452</v>
      </c>
      <c r="D3231" s="230"/>
    </row>
    <row r="3232" spans="1:4" ht="14.55" customHeight="1" x14ac:dyDescent="0.25">
      <c r="A3232" s="230" t="s">
        <v>1165</v>
      </c>
      <c r="B3232" s="231" t="s">
        <v>7453</v>
      </c>
      <c r="C3232" s="230" t="s">
        <v>7454</v>
      </c>
      <c r="D3232" s="230"/>
    </row>
    <row r="3233" spans="1:4" ht="14.55" customHeight="1" x14ac:dyDescent="0.25">
      <c r="A3233" s="230" t="s">
        <v>1165</v>
      </c>
      <c r="B3233" s="231" t="s">
        <v>7455</v>
      </c>
      <c r="C3233" s="230" t="s">
        <v>7456</v>
      </c>
      <c r="D3233" s="230"/>
    </row>
    <row r="3234" spans="1:4" ht="14.55" customHeight="1" x14ac:dyDescent="0.25">
      <c r="A3234" s="230" t="s">
        <v>1165</v>
      </c>
      <c r="B3234" s="231" t="s">
        <v>7457</v>
      </c>
      <c r="C3234" s="230" t="s">
        <v>7458</v>
      </c>
      <c r="D3234" s="230"/>
    </row>
    <row r="3235" spans="1:4" ht="14.55" customHeight="1" x14ac:dyDescent="0.25">
      <c r="A3235" s="230" t="s">
        <v>1165</v>
      </c>
      <c r="B3235" s="231" t="s">
        <v>7459</v>
      </c>
      <c r="C3235" s="230" t="s">
        <v>7460</v>
      </c>
      <c r="D3235" s="230"/>
    </row>
    <row r="3236" spans="1:4" ht="14.55" customHeight="1" x14ac:dyDescent="0.25">
      <c r="A3236" s="230" t="s">
        <v>1160</v>
      </c>
      <c r="B3236" s="231" t="s">
        <v>913</v>
      </c>
      <c r="C3236" s="230" t="s">
        <v>7461</v>
      </c>
      <c r="D3236" s="230"/>
    </row>
    <row r="3237" spans="1:4" ht="14.55" customHeight="1" x14ac:dyDescent="0.25">
      <c r="A3237" s="230" t="s">
        <v>1160</v>
      </c>
      <c r="B3237" s="231" t="s">
        <v>7462</v>
      </c>
      <c r="C3237" s="230" t="s">
        <v>7463</v>
      </c>
      <c r="D3237" s="230"/>
    </row>
    <row r="3238" spans="1:4" ht="14.55" customHeight="1" x14ac:dyDescent="0.25">
      <c r="A3238" s="230" t="s">
        <v>1160</v>
      </c>
      <c r="B3238" s="231" t="s">
        <v>7464</v>
      </c>
      <c r="C3238" s="230" t="s">
        <v>7465</v>
      </c>
      <c r="D3238" s="230"/>
    </row>
    <row r="3239" spans="1:4" ht="14.55" customHeight="1" x14ac:dyDescent="0.25">
      <c r="A3239" s="230" t="s">
        <v>1160</v>
      </c>
      <c r="B3239" s="231" t="s">
        <v>7466</v>
      </c>
      <c r="C3239" s="230" t="s">
        <v>7465</v>
      </c>
      <c r="D3239" s="230"/>
    </row>
    <row r="3240" spans="1:4" ht="14.55" customHeight="1" x14ac:dyDescent="0.25">
      <c r="A3240" s="230" t="s">
        <v>1160</v>
      </c>
      <c r="B3240" s="231" t="s">
        <v>7467</v>
      </c>
      <c r="C3240" s="230" t="s">
        <v>7465</v>
      </c>
      <c r="D3240" s="230"/>
    </row>
    <row r="3241" spans="1:4" ht="14.55" customHeight="1" x14ac:dyDescent="0.25">
      <c r="A3241" s="230" t="s">
        <v>1160</v>
      </c>
      <c r="B3241" s="231" t="s">
        <v>7468</v>
      </c>
      <c r="C3241" s="230" t="s">
        <v>7465</v>
      </c>
      <c r="D3241" s="230"/>
    </row>
    <row r="3242" spans="1:4" ht="14.55" customHeight="1" x14ac:dyDescent="0.25">
      <c r="A3242" s="230" t="s">
        <v>1160</v>
      </c>
      <c r="B3242" s="231" t="s">
        <v>7469</v>
      </c>
      <c r="C3242" s="230" t="s">
        <v>7465</v>
      </c>
      <c r="D3242" s="230"/>
    </row>
    <row r="3243" spans="1:4" ht="14.55" customHeight="1" x14ac:dyDescent="0.25">
      <c r="A3243" s="230" t="s">
        <v>1160</v>
      </c>
      <c r="B3243" s="231" t="s">
        <v>7470</v>
      </c>
      <c r="C3243" s="230" t="s">
        <v>7465</v>
      </c>
      <c r="D3243" s="230"/>
    </row>
    <row r="3244" spans="1:4" ht="14.55" customHeight="1" x14ac:dyDescent="0.25">
      <c r="A3244" s="230" t="s">
        <v>1160</v>
      </c>
      <c r="B3244" s="231" t="s">
        <v>7471</v>
      </c>
      <c r="C3244" s="230" t="s">
        <v>7465</v>
      </c>
      <c r="D3244" s="230"/>
    </row>
    <row r="3245" spans="1:4" ht="14.55" customHeight="1" x14ac:dyDescent="0.25">
      <c r="A3245" s="230" t="s">
        <v>1160</v>
      </c>
      <c r="B3245" s="231" t="s">
        <v>7472</v>
      </c>
      <c r="C3245" s="230" t="s">
        <v>7465</v>
      </c>
      <c r="D3245" s="230"/>
    </row>
    <row r="3246" spans="1:4" ht="14.55" customHeight="1" x14ac:dyDescent="0.25">
      <c r="A3246" s="230" t="s">
        <v>1160</v>
      </c>
      <c r="B3246" s="231" t="s">
        <v>7473</v>
      </c>
      <c r="C3246" s="230" t="s">
        <v>7465</v>
      </c>
      <c r="D3246" s="230"/>
    </row>
    <row r="3247" spans="1:4" ht="14.55" customHeight="1" x14ac:dyDescent="0.25">
      <c r="A3247" s="230" t="s">
        <v>1160</v>
      </c>
      <c r="B3247" s="231" t="s">
        <v>7474</v>
      </c>
      <c r="C3247" s="230" t="s">
        <v>7465</v>
      </c>
      <c r="D3247" s="230"/>
    </row>
    <row r="3248" spans="1:4" ht="14.55" customHeight="1" x14ac:dyDescent="0.25">
      <c r="A3248" s="230" t="s">
        <v>1160</v>
      </c>
      <c r="B3248" s="231" t="s">
        <v>7475</v>
      </c>
      <c r="C3248" s="230" t="s">
        <v>7476</v>
      </c>
      <c r="D3248" s="230"/>
    </row>
    <row r="3249" spans="1:4" ht="14.55" customHeight="1" x14ac:dyDescent="0.25">
      <c r="A3249" s="230" t="s">
        <v>1160</v>
      </c>
      <c r="B3249" s="231" t="s">
        <v>7477</v>
      </c>
      <c r="C3249" s="230" t="s">
        <v>7478</v>
      </c>
      <c r="D3249" s="230"/>
    </row>
    <row r="3250" spans="1:4" ht="14.55" customHeight="1" x14ac:dyDescent="0.25">
      <c r="A3250" s="230" t="s">
        <v>1160</v>
      </c>
      <c r="B3250" s="231" t="s">
        <v>7479</v>
      </c>
      <c r="C3250" s="230" t="s">
        <v>7480</v>
      </c>
      <c r="D3250" s="230"/>
    </row>
    <row r="3251" spans="1:4" ht="14.55" customHeight="1" x14ac:dyDescent="0.25">
      <c r="A3251" s="230" t="s">
        <v>1160</v>
      </c>
      <c r="B3251" s="231" t="s">
        <v>7481</v>
      </c>
      <c r="C3251" s="230" t="s">
        <v>7482</v>
      </c>
      <c r="D3251" s="230"/>
    </row>
    <row r="3252" spans="1:4" ht="14.55" customHeight="1" x14ac:dyDescent="0.25">
      <c r="A3252" s="230" t="s">
        <v>1160</v>
      </c>
      <c r="B3252" s="231" t="s">
        <v>7483</v>
      </c>
      <c r="C3252" s="230" t="s">
        <v>7480</v>
      </c>
      <c r="D3252" s="230"/>
    </row>
    <row r="3253" spans="1:4" ht="14.55" customHeight="1" x14ac:dyDescent="0.25">
      <c r="A3253" s="230" t="s">
        <v>1160</v>
      </c>
      <c r="B3253" s="231" t="s">
        <v>7484</v>
      </c>
      <c r="C3253" s="230" t="s">
        <v>7485</v>
      </c>
      <c r="D3253" s="230"/>
    </row>
    <row r="3254" spans="1:4" ht="14.55" customHeight="1" x14ac:dyDescent="0.25">
      <c r="A3254" s="230" t="s">
        <v>1160</v>
      </c>
      <c r="B3254" s="231" t="s">
        <v>7486</v>
      </c>
      <c r="C3254" s="230" t="s">
        <v>7487</v>
      </c>
      <c r="D3254" s="230"/>
    </row>
    <row r="3255" spans="1:4" ht="14.55" customHeight="1" x14ac:dyDescent="0.25">
      <c r="A3255" s="230" t="s">
        <v>1160</v>
      </c>
      <c r="B3255" s="231" t="s">
        <v>7488</v>
      </c>
      <c r="C3255" s="230" t="s">
        <v>7480</v>
      </c>
      <c r="D3255" s="230"/>
    </row>
    <row r="3256" spans="1:4" ht="14.55" customHeight="1" x14ac:dyDescent="0.25">
      <c r="A3256" s="230" t="s">
        <v>1160</v>
      </c>
      <c r="B3256" s="231" t="s">
        <v>7489</v>
      </c>
      <c r="C3256" s="230" t="s">
        <v>7480</v>
      </c>
      <c r="D3256" s="230"/>
    </row>
    <row r="3257" spans="1:4" ht="14.55" customHeight="1" x14ac:dyDescent="0.25">
      <c r="A3257" s="230" t="s">
        <v>1160</v>
      </c>
      <c r="B3257" s="231" t="s">
        <v>7490</v>
      </c>
      <c r="C3257" s="230" t="s">
        <v>7480</v>
      </c>
      <c r="D3257" s="230"/>
    </row>
    <row r="3258" spans="1:4" ht="14.55" customHeight="1" x14ac:dyDescent="0.25">
      <c r="A3258" s="230" t="s">
        <v>1160</v>
      </c>
      <c r="B3258" s="231" t="s">
        <v>7491</v>
      </c>
      <c r="C3258" s="230" t="s">
        <v>7492</v>
      </c>
      <c r="D3258" s="230"/>
    </row>
    <row r="3259" spans="1:4" ht="14.55" customHeight="1" x14ac:dyDescent="0.25">
      <c r="A3259" s="230" t="s">
        <v>1160</v>
      </c>
      <c r="B3259" s="231" t="s">
        <v>7493</v>
      </c>
      <c r="C3259" s="230" t="s">
        <v>7494</v>
      </c>
      <c r="D3259" s="230"/>
    </row>
    <row r="3260" spans="1:4" ht="14.55" customHeight="1" x14ac:dyDescent="0.25">
      <c r="A3260" s="230" t="s">
        <v>1160</v>
      </c>
      <c r="B3260" s="231" t="s">
        <v>7495</v>
      </c>
      <c r="C3260" s="230" t="s">
        <v>7496</v>
      </c>
      <c r="D3260" s="230"/>
    </row>
    <row r="3261" spans="1:4" ht="14.55" customHeight="1" x14ac:dyDescent="0.25">
      <c r="A3261" s="230" t="s">
        <v>1160</v>
      </c>
      <c r="B3261" s="231" t="s">
        <v>7497</v>
      </c>
      <c r="C3261" s="230" t="s">
        <v>7498</v>
      </c>
      <c r="D3261" s="230"/>
    </row>
    <row r="3262" spans="1:4" ht="14.55" customHeight="1" x14ac:dyDescent="0.25">
      <c r="A3262" s="230" t="s">
        <v>1160</v>
      </c>
      <c r="B3262" s="231" t="s">
        <v>7499</v>
      </c>
      <c r="C3262" s="230" t="s">
        <v>7500</v>
      </c>
      <c r="D3262" s="230"/>
    </row>
    <row r="3263" spans="1:4" ht="14.55" customHeight="1" x14ac:dyDescent="0.25">
      <c r="A3263" s="230" t="s">
        <v>1160</v>
      </c>
      <c r="B3263" s="231" t="s">
        <v>7501</v>
      </c>
      <c r="C3263" s="230" t="s">
        <v>7502</v>
      </c>
      <c r="D3263" s="230"/>
    </row>
    <row r="3264" spans="1:4" ht="14.55" customHeight="1" x14ac:dyDescent="0.25">
      <c r="A3264" s="230" t="s">
        <v>1160</v>
      </c>
      <c r="B3264" s="231" t="s">
        <v>7503</v>
      </c>
      <c r="C3264" s="230" t="s">
        <v>7504</v>
      </c>
      <c r="D3264" s="230"/>
    </row>
    <row r="3265" spans="1:5" ht="14.55" customHeight="1" x14ac:dyDescent="0.25">
      <c r="A3265" s="230" t="s">
        <v>1160</v>
      </c>
      <c r="B3265" s="231" t="s">
        <v>7505</v>
      </c>
      <c r="C3265" s="230" t="s">
        <v>7506</v>
      </c>
      <c r="D3265" s="230"/>
    </row>
    <row r="3266" spans="1:5" ht="14.55" customHeight="1" x14ac:dyDescent="0.25">
      <c r="A3266" s="230" t="s">
        <v>1160</v>
      </c>
      <c r="B3266" s="231" t="s">
        <v>7507</v>
      </c>
      <c r="C3266" s="230" t="s">
        <v>7508</v>
      </c>
      <c r="D3266" s="230"/>
    </row>
    <row r="3267" spans="1:5" ht="14.55" customHeight="1" x14ac:dyDescent="0.25">
      <c r="A3267" s="230" t="s">
        <v>1160</v>
      </c>
      <c r="B3267" s="231" t="s">
        <v>7509</v>
      </c>
      <c r="C3267" s="230" t="s">
        <v>7510</v>
      </c>
      <c r="D3267" s="230"/>
    </row>
    <row r="3268" spans="1:5" ht="14.55" customHeight="1" x14ac:dyDescent="0.25">
      <c r="A3268" s="230" t="s">
        <v>1160</v>
      </c>
      <c r="B3268" s="231" t="s">
        <v>7511</v>
      </c>
      <c r="C3268" s="230" t="s">
        <v>7512</v>
      </c>
      <c r="D3268" s="230"/>
    </row>
    <row r="3269" spans="1:5" ht="14.55" customHeight="1" x14ac:dyDescent="0.25">
      <c r="A3269" s="230" t="s">
        <v>1160</v>
      </c>
      <c r="B3269" s="231" t="s">
        <v>806</v>
      </c>
      <c r="C3269" s="230" t="s">
        <v>7513</v>
      </c>
      <c r="D3269" s="230"/>
    </row>
    <row r="3270" spans="1:5" ht="14.55" customHeight="1" x14ac:dyDescent="0.25">
      <c r="A3270" s="230" t="s">
        <v>1160</v>
      </c>
      <c r="B3270" s="231" t="s">
        <v>7514</v>
      </c>
      <c r="C3270" s="230" t="s">
        <v>7515</v>
      </c>
      <c r="D3270" s="230"/>
    </row>
    <row r="3271" spans="1:5" ht="14.55" customHeight="1" x14ac:dyDescent="0.25">
      <c r="A3271" s="230" t="s">
        <v>1160</v>
      </c>
      <c r="B3271" s="231" t="s">
        <v>7516</v>
      </c>
      <c r="C3271" s="230" t="s">
        <v>7517</v>
      </c>
      <c r="D3271" s="230"/>
    </row>
    <row r="3272" spans="1:5" ht="14.55" customHeight="1" x14ac:dyDescent="0.25">
      <c r="A3272" s="230" t="s">
        <v>1160</v>
      </c>
      <c r="B3272" s="231" t="s">
        <v>7518</v>
      </c>
      <c r="C3272" s="230" t="s">
        <v>7519</v>
      </c>
      <c r="D3272" s="230"/>
    </row>
    <row r="3273" spans="1:5" ht="14.55" customHeight="1" x14ac:dyDescent="0.25">
      <c r="A3273" s="75" t="s">
        <v>1160</v>
      </c>
      <c r="B3273" s="255" t="s">
        <v>7520</v>
      </c>
      <c r="C3273" s="254" t="s">
        <v>7521</v>
      </c>
      <c r="D3273" s="254"/>
      <c r="E3273" s="254"/>
    </row>
    <row r="3274" spans="1:5" ht="14.55" customHeight="1" x14ac:dyDescent="0.25">
      <c r="A3274" s="75" t="s">
        <v>1160</v>
      </c>
      <c r="B3274" s="255" t="s">
        <v>7522</v>
      </c>
      <c r="C3274" s="254" t="s">
        <v>7523</v>
      </c>
      <c r="D3274" s="254"/>
      <c r="E3274" s="254"/>
    </row>
    <row r="3275" spans="1:5" ht="14.55" customHeight="1" x14ac:dyDescent="0.25">
      <c r="A3275" s="75" t="s">
        <v>1160</v>
      </c>
      <c r="B3275" s="255" t="s">
        <v>7524</v>
      </c>
      <c r="C3275" s="254" t="s">
        <v>7525</v>
      </c>
      <c r="D3275" s="254"/>
      <c r="E3275" s="254"/>
    </row>
    <row r="3276" spans="1:5" ht="14.55" customHeight="1" x14ac:dyDescent="0.25">
      <c r="A3276" s="75" t="s">
        <v>1160</v>
      </c>
      <c r="B3276" s="255" t="s">
        <v>7526</v>
      </c>
      <c r="C3276" s="254" t="s">
        <v>7527</v>
      </c>
      <c r="D3276" s="254"/>
      <c r="E3276" s="254"/>
    </row>
    <row r="3277" spans="1:5" ht="14.55" customHeight="1" x14ac:dyDescent="0.25">
      <c r="A3277" s="75" t="s">
        <v>1160</v>
      </c>
      <c r="B3277" s="255" t="s">
        <v>7528</v>
      </c>
      <c r="C3277" s="254" t="s">
        <v>7529</v>
      </c>
      <c r="D3277" s="254"/>
      <c r="E3277" s="254"/>
    </row>
    <row r="3278" spans="1:5" ht="14.55" customHeight="1" x14ac:dyDescent="0.25">
      <c r="A3278" s="75" t="s">
        <v>1160</v>
      </c>
      <c r="B3278" s="255" t="s">
        <v>7530</v>
      </c>
      <c r="C3278" s="254" t="s">
        <v>7527</v>
      </c>
      <c r="D3278" s="254"/>
      <c r="E3278" s="254"/>
    </row>
    <row r="3279" spans="1:5" ht="14.55" customHeight="1" x14ac:dyDescent="0.25">
      <c r="A3279" s="75" t="s">
        <v>1160</v>
      </c>
      <c r="B3279" s="255" t="s">
        <v>7531</v>
      </c>
      <c r="C3279" s="254" t="s">
        <v>7527</v>
      </c>
      <c r="D3279" s="254"/>
      <c r="E3279" s="254"/>
    </row>
    <row r="3280" spans="1:5" ht="14.55" customHeight="1" x14ac:dyDescent="0.25">
      <c r="A3280" s="75" t="s">
        <v>1160</v>
      </c>
      <c r="B3280" s="255" t="s">
        <v>7532</v>
      </c>
      <c r="C3280" s="254" t="s">
        <v>7527</v>
      </c>
      <c r="D3280" s="254"/>
      <c r="E3280" s="254"/>
    </row>
    <row r="3281" spans="1:5" ht="14.55" customHeight="1" x14ac:dyDescent="0.25">
      <c r="A3281" s="75" t="s">
        <v>1160</v>
      </c>
      <c r="B3281" s="255" t="s">
        <v>7533</v>
      </c>
      <c r="C3281" s="254" t="s">
        <v>7527</v>
      </c>
      <c r="D3281" s="254"/>
      <c r="E3281" s="254"/>
    </row>
    <row r="3282" spans="1:5" ht="14.55" customHeight="1" x14ac:dyDescent="0.25">
      <c r="A3282" s="75" t="s">
        <v>1160</v>
      </c>
      <c r="B3282" s="255" t="s">
        <v>7534</v>
      </c>
      <c r="C3282" s="254" t="s">
        <v>7527</v>
      </c>
      <c r="D3282" s="254"/>
      <c r="E3282" s="254"/>
    </row>
    <row r="3283" spans="1:5" ht="14.55" customHeight="1" x14ac:dyDescent="0.25">
      <c r="A3283" s="75" t="s">
        <v>1160</v>
      </c>
      <c r="B3283" s="255" t="s">
        <v>7535</v>
      </c>
      <c r="C3283" s="254" t="s">
        <v>7527</v>
      </c>
      <c r="D3283" s="254"/>
      <c r="E3283" s="254"/>
    </row>
    <row r="3284" spans="1:5" ht="14.55" customHeight="1" x14ac:dyDescent="0.25">
      <c r="A3284" s="75" t="s">
        <v>1160</v>
      </c>
      <c r="B3284" s="255" t="s">
        <v>7536</v>
      </c>
      <c r="C3284" s="254" t="s">
        <v>7527</v>
      </c>
      <c r="D3284" s="254"/>
      <c r="E3284" s="254"/>
    </row>
    <row r="3285" spans="1:5" ht="14.55" customHeight="1" x14ac:dyDescent="0.25">
      <c r="A3285" s="75" t="s">
        <v>1160</v>
      </c>
      <c r="B3285" s="255" t="s">
        <v>7537</v>
      </c>
      <c r="C3285" s="254" t="s">
        <v>7527</v>
      </c>
      <c r="D3285" s="254"/>
      <c r="E3285" s="254"/>
    </row>
    <row r="3286" spans="1:5" ht="14.55" customHeight="1" x14ac:dyDescent="0.25">
      <c r="A3286" s="75" t="s">
        <v>1160</v>
      </c>
      <c r="B3286" s="255" t="s">
        <v>7538</v>
      </c>
      <c r="C3286" s="254" t="s">
        <v>13421</v>
      </c>
      <c r="D3286" s="254"/>
      <c r="E3286" s="254"/>
    </row>
    <row r="3287" spans="1:5" ht="14.55" customHeight="1" x14ac:dyDescent="0.25">
      <c r="A3287" s="75" t="s">
        <v>1160</v>
      </c>
      <c r="B3287" s="255" t="s">
        <v>7539</v>
      </c>
      <c r="C3287" s="254" t="s">
        <v>7527</v>
      </c>
      <c r="D3287" s="254"/>
      <c r="E3287" s="254"/>
    </row>
    <row r="3288" spans="1:5" ht="14.55" customHeight="1" x14ac:dyDescent="0.25">
      <c r="A3288" s="75" t="s">
        <v>1160</v>
      </c>
      <c r="B3288" s="255" t="s">
        <v>7540</v>
      </c>
      <c r="C3288" s="254" t="s">
        <v>7527</v>
      </c>
      <c r="D3288" s="254"/>
      <c r="E3288" s="254"/>
    </row>
    <row r="3289" spans="1:5" ht="14.55" customHeight="1" x14ac:dyDescent="0.25">
      <c r="A3289" s="75" t="s">
        <v>1160</v>
      </c>
      <c r="B3289" s="255" t="s">
        <v>7541</v>
      </c>
      <c r="C3289" s="254" t="s">
        <v>7527</v>
      </c>
      <c r="D3289" s="254"/>
      <c r="E3289" s="254"/>
    </row>
    <row r="3290" spans="1:5" ht="14.55" customHeight="1" x14ac:dyDescent="0.25">
      <c r="A3290" s="75" t="s">
        <v>1160</v>
      </c>
      <c r="B3290" s="255" t="s">
        <v>7542</v>
      </c>
      <c r="C3290" s="254" t="s">
        <v>7527</v>
      </c>
      <c r="D3290" s="254"/>
      <c r="E3290" s="254"/>
    </row>
    <row r="3291" spans="1:5" ht="14.55" customHeight="1" x14ac:dyDescent="0.25">
      <c r="A3291" s="75" t="s">
        <v>1160</v>
      </c>
      <c r="B3291" s="255" t="s">
        <v>7543</v>
      </c>
      <c r="C3291" s="254" t="s">
        <v>7527</v>
      </c>
      <c r="D3291" s="254"/>
      <c r="E3291" s="254"/>
    </row>
    <row r="3292" spans="1:5" ht="14.55" customHeight="1" x14ac:dyDescent="0.25">
      <c r="A3292" s="75" t="s">
        <v>1160</v>
      </c>
      <c r="B3292" s="255" t="s">
        <v>7544</v>
      </c>
      <c r="C3292" s="254" t="s">
        <v>7527</v>
      </c>
      <c r="D3292" s="254"/>
      <c r="E3292" s="254"/>
    </row>
    <row r="3293" spans="1:5" ht="14.55" customHeight="1" x14ac:dyDescent="0.25">
      <c r="A3293" s="75" t="s">
        <v>1160</v>
      </c>
      <c r="B3293" s="255" t="s">
        <v>7545</v>
      </c>
      <c r="C3293" s="254" t="s">
        <v>7527</v>
      </c>
      <c r="D3293" s="254"/>
      <c r="E3293" s="254"/>
    </row>
    <row r="3294" spans="1:5" ht="14.55" customHeight="1" x14ac:dyDescent="0.25">
      <c r="A3294" s="75" t="s">
        <v>1160</v>
      </c>
      <c r="B3294" s="255" t="s">
        <v>7546</v>
      </c>
      <c r="C3294" s="254" t="s">
        <v>7547</v>
      </c>
      <c r="D3294" s="254"/>
      <c r="E3294" s="254"/>
    </row>
    <row r="3295" spans="1:5" ht="14.55" customHeight="1" x14ac:dyDescent="0.25">
      <c r="A3295" s="75" t="s">
        <v>1160</v>
      </c>
      <c r="B3295" s="255" t="s">
        <v>7548</v>
      </c>
      <c r="C3295" s="256" t="s">
        <v>7549</v>
      </c>
      <c r="D3295" s="256"/>
      <c r="E3295" s="256"/>
    </row>
    <row r="3296" spans="1:5" ht="14.55" customHeight="1" x14ac:dyDescent="0.25">
      <c r="A3296" s="75" t="s">
        <v>1160</v>
      </c>
      <c r="B3296" s="255" t="s">
        <v>7550</v>
      </c>
      <c r="C3296" s="254" t="s">
        <v>7551</v>
      </c>
      <c r="D3296" s="254"/>
      <c r="E3296" s="254"/>
    </row>
    <row r="3297" spans="1:5" ht="14.55" customHeight="1" x14ac:dyDescent="0.25">
      <c r="A3297" s="75" t="s">
        <v>1160</v>
      </c>
      <c r="B3297" s="255" t="s">
        <v>7552</v>
      </c>
      <c r="C3297" s="256" t="s">
        <v>7553</v>
      </c>
      <c r="D3297" s="256"/>
      <c r="E3297" s="256"/>
    </row>
    <row r="3298" spans="1:5" ht="14.55" customHeight="1" x14ac:dyDescent="0.25">
      <c r="A3298" s="75" t="s">
        <v>1160</v>
      </c>
      <c r="B3298" s="255" t="s">
        <v>7554</v>
      </c>
      <c r="C3298" s="254" t="s">
        <v>7555</v>
      </c>
      <c r="D3298" s="254"/>
      <c r="E3298" s="254"/>
    </row>
    <row r="3299" spans="1:5" ht="14.55" customHeight="1" x14ac:dyDescent="0.25">
      <c r="A3299" s="75" t="s">
        <v>1160</v>
      </c>
      <c r="B3299" s="255" t="s">
        <v>7556</v>
      </c>
      <c r="C3299" s="257" t="s">
        <v>7557</v>
      </c>
      <c r="D3299" s="257"/>
      <c r="E3299" s="257"/>
    </row>
    <row r="3300" spans="1:5" ht="14.55" customHeight="1" x14ac:dyDescent="0.25">
      <c r="A3300" s="75" t="s">
        <v>1160</v>
      </c>
      <c r="B3300" s="255" t="s">
        <v>7558</v>
      </c>
      <c r="C3300" s="254" t="s">
        <v>7559</v>
      </c>
      <c r="D3300" s="254"/>
      <c r="E3300" s="254"/>
    </row>
    <row r="3301" spans="1:5" ht="14.55" customHeight="1" x14ac:dyDescent="0.25">
      <c r="A3301" s="75" t="s">
        <v>1160</v>
      </c>
      <c r="B3301" s="255" t="s">
        <v>7560</v>
      </c>
      <c r="C3301" s="254" t="s">
        <v>7561</v>
      </c>
      <c r="D3301" s="254"/>
      <c r="E3301" s="254"/>
    </row>
    <row r="3302" spans="1:5" ht="14.55" customHeight="1" x14ac:dyDescent="0.25">
      <c r="A3302" s="75" t="s">
        <v>1160</v>
      </c>
      <c r="B3302" s="255" t="s">
        <v>7562</v>
      </c>
      <c r="C3302" s="254" t="s">
        <v>7563</v>
      </c>
      <c r="D3302" s="254"/>
      <c r="E3302" s="254"/>
    </row>
    <row r="3303" spans="1:5" ht="14.55" customHeight="1" x14ac:dyDescent="0.25">
      <c r="A3303" s="75" t="s">
        <v>1160</v>
      </c>
      <c r="B3303" s="255" t="s">
        <v>7564</v>
      </c>
      <c r="C3303" s="258" t="s">
        <v>7565</v>
      </c>
      <c r="D3303" s="258"/>
      <c r="E3303" s="258"/>
    </row>
    <row r="3304" spans="1:5" ht="14.55" customHeight="1" x14ac:dyDescent="0.25">
      <c r="A3304" s="75" t="s">
        <v>1160</v>
      </c>
      <c r="B3304" s="255" t="s">
        <v>7566</v>
      </c>
      <c r="C3304" s="254" t="s">
        <v>7567</v>
      </c>
      <c r="D3304" s="254"/>
      <c r="E3304" s="254"/>
    </row>
    <row r="3305" spans="1:5" ht="14.55" customHeight="1" x14ac:dyDescent="0.25">
      <c r="A3305" s="75" t="s">
        <v>1160</v>
      </c>
      <c r="B3305" s="255" t="s">
        <v>7568</v>
      </c>
      <c r="C3305" s="256" t="s">
        <v>7569</v>
      </c>
      <c r="D3305" s="256"/>
      <c r="E3305" s="256"/>
    </row>
    <row r="3306" spans="1:5" ht="14.55" customHeight="1" x14ac:dyDescent="0.25">
      <c r="A3306" s="75" t="s">
        <v>1160</v>
      </c>
      <c r="B3306" s="255" t="s">
        <v>7570</v>
      </c>
      <c r="C3306" s="254" t="s">
        <v>7571</v>
      </c>
      <c r="D3306" s="254"/>
      <c r="E3306" s="254"/>
    </row>
    <row r="3307" spans="1:5" ht="14.55" customHeight="1" x14ac:dyDescent="0.25">
      <c r="A3307" s="75" t="s">
        <v>1160</v>
      </c>
      <c r="B3307" s="255" t="s">
        <v>7572</v>
      </c>
      <c r="C3307" s="256" t="s">
        <v>7573</v>
      </c>
      <c r="D3307" s="256"/>
      <c r="E3307" s="256"/>
    </row>
    <row r="3308" spans="1:5" ht="14.55" customHeight="1" x14ac:dyDescent="0.25">
      <c r="A3308" s="75" t="s">
        <v>1160</v>
      </c>
      <c r="B3308" s="255" t="s">
        <v>7574</v>
      </c>
      <c r="C3308" s="254" t="s">
        <v>7575</v>
      </c>
      <c r="D3308" s="254"/>
      <c r="E3308" s="254"/>
    </row>
    <row r="3309" spans="1:5" ht="14.55" customHeight="1" x14ac:dyDescent="0.25">
      <c r="A3309" s="75" t="s">
        <v>1160</v>
      </c>
      <c r="B3309" s="255" t="s">
        <v>7576</v>
      </c>
      <c r="C3309" s="256" t="s">
        <v>7577</v>
      </c>
      <c r="D3309" s="256"/>
      <c r="E3309" s="256"/>
    </row>
    <row r="3310" spans="1:5" ht="14.55" customHeight="1" x14ac:dyDescent="0.25">
      <c r="A3310" s="75" t="s">
        <v>1160</v>
      </c>
      <c r="B3310" s="255" t="s">
        <v>7443</v>
      </c>
      <c r="C3310" s="254" t="s">
        <v>7578</v>
      </c>
      <c r="D3310" s="254"/>
      <c r="E3310" s="254"/>
    </row>
    <row r="3311" spans="1:5" ht="14.55" customHeight="1" x14ac:dyDescent="0.25">
      <c r="A3311" s="75" t="s">
        <v>1160</v>
      </c>
      <c r="B3311" s="255" t="s">
        <v>7579</v>
      </c>
      <c r="C3311" s="254" t="s">
        <v>7578</v>
      </c>
      <c r="D3311" s="254"/>
      <c r="E3311" s="254"/>
    </row>
    <row r="3312" spans="1:5" ht="14.55" customHeight="1" x14ac:dyDescent="0.25">
      <c r="A3312" s="75" t="s">
        <v>1160</v>
      </c>
      <c r="B3312" s="255" t="s">
        <v>7580</v>
      </c>
      <c r="C3312" s="254" t="s">
        <v>7578</v>
      </c>
      <c r="D3312" s="254"/>
      <c r="E3312" s="254"/>
    </row>
    <row r="3313" spans="1:5" ht="14.55" customHeight="1" x14ac:dyDescent="0.25">
      <c r="A3313" s="75" t="s">
        <v>1160</v>
      </c>
      <c r="B3313" s="255" t="s">
        <v>7581</v>
      </c>
      <c r="C3313" s="254" t="s">
        <v>7578</v>
      </c>
      <c r="D3313" s="254"/>
      <c r="E3313" s="254"/>
    </row>
    <row r="3314" spans="1:5" ht="14.55" customHeight="1" x14ac:dyDescent="0.25">
      <c r="A3314" s="75" t="s">
        <v>1160</v>
      </c>
      <c r="B3314" s="255" t="s">
        <v>7582</v>
      </c>
      <c r="C3314" s="254" t="s">
        <v>7578</v>
      </c>
      <c r="D3314" s="254"/>
      <c r="E3314" s="254"/>
    </row>
    <row r="3315" spans="1:5" ht="14.55" customHeight="1" x14ac:dyDescent="0.25">
      <c r="A3315" s="75" t="s">
        <v>1160</v>
      </c>
      <c r="B3315" s="255" t="s">
        <v>7583</v>
      </c>
      <c r="C3315" s="254" t="s">
        <v>7578</v>
      </c>
      <c r="D3315" s="254"/>
      <c r="E3315" s="254"/>
    </row>
    <row r="3316" spans="1:5" ht="14.55" customHeight="1" x14ac:dyDescent="0.25">
      <c r="A3316" s="75" t="s">
        <v>1160</v>
      </c>
      <c r="B3316" s="255" t="s">
        <v>7584</v>
      </c>
      <c r="C3316" s="254" t="s">
        <v>7578</v>
      </c>
      <c r="D3316" s="254"/>
      <c r="E3316" s="254"/>
    </row>
    <row r="3317" spans="1:5" ht="14.55" customHeight="1" x14ac:dyDescent="0.25">
      <c r="A3317" s="75" t="s">
        <v>1160</v>
      </c>
      <c r="B3317" s="255" t="s">
        <v>7585</v>
      </c>
      <c r="C3317" s="254" t="s">
        <v>7578</v>
      </c>
      <c r="D3317" s="254"/>
      <c r="E3317" s="254"/>
    </row>
    <row r="3318" spans="1:5" ht="14.55" customHeight="1" x14ac:dyDescent="0.25">
      <c r="A3318" s="75" t="s">
        <v>1160</v>
      </c>
      <c r="B3318" s="255" t="s">
        <v>7586</v>
      </c>
      <c r="C3318" s="254" t="s">
        <v>7578</v>
      </c>
      <c r="D3318" s="254"/>
      <c r="E3318" s="254"/>
    </row>
    <row r="3319" spans="1:5" ht="14.55" customHeight="1" x14ac:dyDescent="0.25">
      <c r="A3319" s="75" t="s">
        <v>1160</v>
      </c>
      <c r="B3319" s="255" t="s">
        <v>7587</v>
      </c>
      <c r="C3319" s="254" t="s">
        <v>7578</v>
      </c>
      <c r="D3319" s="254"/>
      <c r="E3319" s="254"/>
    </row>
    <row r="3320" spans="1:5" ht="14.55" customHeight="1" x14ac:dyDescent="0.25">
      <c r="A3320" s="75" t="s">
        <v>1160</v>
      </c>
      <c r="B3320" s="255" t="s">
        <v>7445</v>
      </c>
      <c r="C3320" s="254" t="s">
        <v>7588</v>
      </c>
      <c r="D3320" s="254"/>
      <c r="E3320" s="254"/>
    </row>
    <row r="3321" spans="1:5" ht="14.55" customHeight="1" x14ac:dyDescent="0.25">
      <c r="A3321" s="75" t="s">
        <v>1160</v>
      </c>
      <c r="B3321" s="255" t="s">
        <v>7589</v>
      </c>
      <c r="C3321" s="254" t="s">
        <v>7588</v>
      </c>
      <c r="D3321" s="254"/>
      <c r="E3321" s="254"/>
    </row>
    <row r="3322" spans="1:5" ht="14.55" customHeight="1" x14ac:dyDescent="0.25">
      <c r="A3322" s="75" t="s">
        <v>1160</v>
      </c>
      <c r="B3322" s="255" t="s">
        <v>7590</v>
      </c>
      <c r="C3322" s="254" t="s">
        <v>7588</v>
      </c>
      <c r="D3322" s="254"/>
      <c r="E3322" s="254"/>
    </row>
    <row r="3323" spans="1:5" ht="14.55" customHeight="1" x14ac:dyDescent="0.25">
      <c r="A3323" s="75" t="s">
        <v>1160</v>
      </c>
      <c r="B3323" s="255" t="s">
        <v>7591</v>
      </c>
      <c r="C3323" s="254" t="s">
        <v>7588</v>
      </c>
      <c r="D3323" s="254"/>
      <c r="E3323" s="254"/>
    </row>
    <row r="3324" spans="1:5" ht="14.55" customHeight="1" x14ac:dyDescent="0.25">
      <c r="A3324" s="75" t="s">
        <v>1160</v>
      </c>
      <c r="B3324" s="255" t="s">
        <v>7592</v>
      </c>
      <c r="C3324" s="254" t="s">
        <v>7588</v>
      </c>
      <c r="D3324" s="254"/>
      <c r="E3324" s="254"/>
    </row>
    <row r="3325" spans="1:5" ht="14.55" customHeight="1" x14ac:dyDescent="0.25">
      <c r="A3325" s="75" t="s">
        <v>1160</v>
      </c>
      <c r="B3325" s="255" t="s">
        <v>7593</v>
      </c>
      <c r="C3325" s="254" t="s">
        <v>7588</v>
      </c>
      <c r="D3325" s="254"/>
      <c r="E3325" s="254"/>
    </row>
    <row r="3326" spans="1:5" ht="14.55" customHeight="1" x14ac:dyDescent="0.25">
      <c r="A3326" s="75" t="s">
        <v>1160</v>
      </c>
      <c r="B3326" s="255" t="s">
        <v>7594</v>
      </c>
      <c r="C3326" s="254" t="s">
        <v>7588</v>
      </c>
      <c r="D3326" s="254"/>
      <c r="E3326" s="254"/>
    </row>
    <row r="3327" spans="1:5" ht="14.55" customHeight="1" x14ac:dyDescent="0.25">
      <c r="A3327" s="75" t="s">
        <v>1160</v>
      </c>
      <c r="B3327" s="255" t="s">
        <v>7595</v>
      </c>
      <c r="C3327" s="254" t="s">
        <v>7588</v>
      </c>
      <c r="D3327" s="254"/>
      <c r="E3327" s="254"/>
    </row>
    <row r="3328" spans="1:5" ht="14.55" customHeight="1" x14ac:dyDescent="0.25">
      <c r="A3328" s="75" t="s">
        <v>1160</v>
      </c>
      <c r="B3328" s="255" t="s">
        <v>7596</v>
      </c>
      <c r="C3328" s="254" t="s">
        <v>7588</v>
      </c>
      <c r="D3328" s="254"/>
      <c r="E3328" s="254"/>
    </row>
    <row r="3329" spans="1:5" ht="14.55" customHeight="1" x14ac:dyDescent="0.25">
      <c r="A3329" s="75" t="s">
        <v>1160</v>
      </c>
      <c r="B3329" s="255" t="s">
        <v>7597</v>
      </c>
      <c r="C3329" s="254" t="s">
        <v>7588</v>
      </c>
      <c r="D3329" s="254"/>
      <c r="E3329" s="254"/>
    </row>
    <row r="3330" spans="1:5" ht="14.55" customHeight="1" x14ac:dyDescent="0.25">
      <c r="A3330" s="75" t="s">
        <v>1160</v>
      </c>
      <c r="B3330" s="255" t="s">
        <v>7598</v>
      </c>
      <c r="C3330" s="256" t="s">
        <v>7599</v>
      </c>
      <c r="D3330" s="256"/>
      <c r="E3330" s="256"/>
    </row>
    <row r="3331" spans="1:5" ht="14.55" customHeight="1" x14ac:dyDescent="0.25">
      <c r="A3331" s="75" t="s">
        <v>1160</v>
      </c>
      <c r="B3331" s="255" t="s">
        <v>7449</v>
      </c>
      <c r="C3331" s="256" t="s">
        <v>7600</v>
      </c>
      <c r="D3331" s="256"/>
      <c r="E3331" s="256"/>
    </row>
    <row r="3332" spans="1:5" ht="14.55" customHeight="1" x14ac:dyDescent="0.25">
      <c r="A3332" s="75" t="s">
        <v>1160</v>
      </c>
      <c r="B3332" s="255" t="s">
        <v>7601</v>
      </c>
      <c r="C3332" s="256" t="s">
        <v>7602</v>
      </c>
      <c r="D3332" s="256"/>
      <c r="E3332" s="256"/>
    </row>
    <row r="3333" spans="1:5" ht="14.55" customHeight="1" x14ac:dyDescent="0.25">
      <c r="A3333" s="230" t="s">
        <v>821</v>
      </c>
      <c r="B3333" s="231" t="s">
        <v>7247</v>
      </c>
      <c r="C3333" s="230" t="s">
        <v>7603</v>
      </c>
      <c r="D3333" s="230" t="s">
        <v>7604</v>
      </c>
    </row>
    <row r="3334" spans="1:5" ht="14.55" customHeight="1" x14ac:dyDescent="0.25">
      <c r="A3334" s="230" t="s">
        <v>821</v>
      </c>
      <c r="B3334" s="231" t="s">
        <v>7251</v>
      </c>
      <c r="C3334" s="230" t="s">
        <v>7605</v>
      </c>
      <c r="D3334" s="230" t="s">
        <v>7606</v>
      </c>
    </row>
    <row r="3335" spans="1:5" ht="14.55" customHeight="1" x14ac:dyDescent="0.25">
      <c r="A3335" s="230" t="s">
        <v>821</v>
      </c>
      <c r="B3335" s="231" t="s">
        <v>7607</v>
      </c>
      <c r="C3335" s="230" t="s">
        <v>7608</v>
      </c>
      <c r="D3335" s="230" t="s">
        <v>7609</v>
      </c>
    </row>
    <row r="3336" spans="1:5" ht="14.55" customHeight="1" x14ac:dyDescent="0.25">
      <c r="A3336" s="230" t="s">
        <v>821</v>
      </c>
      <c r="B3336" s="231" t="s">
        <v>7254</v>
      </c>
      <c r="C3336" s="230" t="s">
        <v>7610</v>
      </c>
      <c r="D3336" s="230"/>
    </row>
    <row r="3337" spans="1:5" ht="14.55" customHeight="1" x14ac:dyDescent="0.25">
      <c r="A3337" s="230" t="s">
        <v>821</v>
      </c>
      <c r="B3337" s="231" t="s">
        <v>7257</v>
      </c>
      <c r="C3337" s="230" t="s">
        <v>7611</v>
      </c>
      <c r="D3337" s="230"/>
    </row>
    <row r="3338" spans="1:5" ht="14.55" customHeight="1" x14ac:dyDescent="0.25">
      <c r="A3338" s="230" t="s">
        <v>821</v>
      </c>
      <c r="B3338" s="231" t="s">
        <v>7260</v>
      </c>
      <c r="C3338" s="230" t="s">
        <v>7612</v>
      </c>
      <c r="D3338" s="230"/>
    </row>
    <row r="3339" spans="1:5" ht="14.55" customHeight="1" x14ac:dyDescent="0.25">
      <c r="A3339" s="230" t="s">
        <v>821</v>
      </c>
      <c r="B3339" s="231" t="s">
        <v>7263</v>
      </c>
      <c r="C3339" s="230" t="s">
        <v>7613</v>
      </c>
      <c r="D3339" s="230"/>
    </row>
    <row r="3340" spans="1:5" ht="14.55" customHeight="1" x14ac:dyDescent="0.25">
      <c r="A3340" s="230" t="s">
        <v>821</v>
      </c>
      <c r="B3340" s="231" t="s">
        <v>7266</v>
      </c>
      <c r="C3340" s="230" t="s">
        <v>7614</v>
      </c>
      <c r="D3340" s="230"/>
    </row>
    <row r="3341" spans="1:5" ht="14.55" customHeight="1" x14ac:dyDescent="0.25">
      <c r="A3341" s="230" t="s">
        <v>821</v>
      </c>
      <c r="B3341" s="231" t="s">
        <v>7615</v>
      </c>
      <c r="C3341" s="230" t="s">
        <v>7616</v>
      </c>
      <c r="D3341" s="230"/>
    </row>
    <row r="3342" spans="1:5" ht="14.55" customHeight="1" x14ac:dyDescent="0.25">
      <c r="A3342" s="230" t="s">
        <v>821</v>
      </c>
      <c r="B3342" s="231" t="s">
        <v>130</v>
      </c>
      <c r="C3342" s="230" t="s">
        <v>7617</v>
      </c>
      <c r="D3342" s="230" t="s">
        <v>7618</v>
      </c>
    </row>
    <row r="3343" spans="1:5" ht="14.55" customHeight="1" x14ac:dyDescent="0.25">
      <c r="A3343" s="230" t="s">
        <v>821</v>
      </c>
      <c r="B3343" s="231" t="s">
        <v>136</v>
      </c>
      <c r="C3343" s="230" t="s">
        <v>7619</v>
      </c>
      <c r="D3343" s="230" t="s">
        <v>7620</v>
      </c>
    </row>
    <row r="3344" spans="1:5" ht="14.55" customHeight="1" x14ac:dyDescent="0.25">
      <c r="A3344" s="230" t="s">
        <v>821</v>
      </c>
      <c r="B3344" s="231" t="s">
        <v>140</v>
      </c>
      <c r="C3344" s="230" t="s">
        <v>7621</v>
      </c>
      <c r="D3344" s="230" t="s">
        <v>7622</v>
      </c>
    </row>
    <row r="3345" spans="1:5" ht="14.55" customHeight="1" x14ac:dyDescent="0.25">
      <c r="A3345" s="230" t="s">
        <v>821</v>
      </c>
      <c r="B3345" s="231" t="s">
        <v>146</v>
      </c>
      <c r="C3345" s="230" t="s">
        <v>7623</v>
      </c>
      <c r="D3345" s="230" t="s">
        <v>7624</v>
      </c>
    </row>
    <row r="3346" spans="1:5" ht="14.55" customHeight="1" x14ac:dyDescent="0.25">
      <c r="A3346" s="230" t="s">
        <v>821</v>
      </c>
      <c r="B3346" s="231" t="s">
        <v>150</v>
      </c>
      <c r="C3346" s="230" t="s">
        <v>7625</v>
      </c>
      <c r="D3346" s="230" t="s">
        <v>7626</v>
      </c>
    </row>
    <row r="3347" spans="1:5" ht="14.55" customHeight="1" x14ac:dyDescent="0.25">
      <c r="A3347" s="230" t="s">
        <v>821</v>
      </c>
      <c r="B3347" s="231" t="s">
        <v>154</v>
      </c>
      <c r="C3347" s="230" t="s">
        <v>7627</v>
      </c>
      <c r="D3347" s="230" t="s">
        <v>7628</v>
      </c>
    </row>
    <row r="3348" spans="1:5" ht="14.55" customHeight="1" x14ac:dyDescent="0.25">
      <c r="A3348" s="230" t="s">
        <v>821</v>
      </c>
      <c r="B3348" s="231" t="s">
        <v>214</v>
      </c>
      <c r="C3348" s="230" t="s">
        <v>7629</v>
      </c>
      <c r="D3348" s="230" t="s">
        <v>7630</v>
      </c>
    </row>
    <row r="3349" spans="1:5" ht="14.55" customHeight="1" x14ac:dyDescent="0.25">
      <c r="A3349" s="230" t="s">
        <v>821</v>
      </c>
      <c r="B3349" s="231" t="s">
        <v>220</v>
      </c>
      <c r="C3349" s="230" t="s">
        <v>7631</v>
      </c>
      <c r="D3349" s="230" t="s">
        <v>7632</v>
      </c>
    </row>
    <row r="3350" spans="1:5" ht="14.55" customHeight="1" x14ac:dyDescent="0.25">
      <c r="A3350" s="230" t="s">
        <v>181</v>
      </c>
      <c r="B3350" s="231" t="s">
        <v>7172</v>
      </c>
      <c r="C3350" s="230" t="s">
        <v>7633</v>
      </c>
      <c r="D3350" s="230" t="s">
        <v>7633</v>
      </c>
      <c r="E3350" s="230" t="s">
        <v>7634</v>
      </c>
    </row>
    <row r="3351" spans="1:5" ht="14.55" customHeight="1" x14ac:dyDescent="0.25">
      <c r="A3351" s="230" t="s">
        <v>181</v>
      </c>
      <c r="B3351" s="231" t="s">
        <v>7163</v>
      </c>
      <c r="C3351" s="230" t="s">
        <v>7635</v>
      </c>
      <c r="D3351" s="230" t="s">
        <v>7635</v>
      </c>
      <c r="E3351" s="230" t="s">
        <v>7636</v>
      </c>
    </row>
    <row r="3352" spans="1:5" ht="14.55" customHeight="1" x14ac:dyDescent="0.25">
      <c r="A3352" s="230" t="s">
        <v>588</v>
      </c>
      <c r="B3352" s="231" t="s">
        <v>7247</v>
      </c>
      <c r="C3352" s="230" t="s">
        <v>7637</v>
      </c>
      <c r="D3352" s="230" t="s">
        <v>7638</v>
      </c>
    </row>
    <row r="3353" spans="1:5" ht="14.55" customHeight="1" x14ac:dyDescent="0.25">
      <c r="A3353" s="230" t="s">
        <v>588</v>
      </c>
      <c r="B3353" s="231" t="s">
        <v>7251</v>
      </c>
      <c r="C3353" s="230" t="s">
        <v>7329</v>
      </c>
      <c r="D3353" s="230" t="s">
        <v>7639</v>
      </c>
    </row>
    <row r="3354" spans="1:5" ht="14.55" customHeight="1" x14ac:dyDescent="0.25">
      <c r="A3354" s="230" t="s">
        <v>588</v>
      </c>
      <c r="B3354" s="231" t="s">
        <v>7254</v>
      </c>
      <c r="C3354" s="230" t="s">
        <v>7310</v>
      </c>
      <c r="D3354" s="230" t="s">
        <v>7640</v>
      </c>
    </row>
    <row r="3355" spans="1:5" ht="14.55" customHeight="1" x14ac:dyDescent="0.25">
      <c r="A3355" s="230" t="s">
        <v>588</v>
      </c>
      <c r="B3355" s="231" t="s">
        <v>7257</v>
      </c>
      <c r="C3355" s="230" t="s">
        <v>7641</v>
      </c>
      <c r="D3355" s="230" t="s">
        <v>7642</v>
      </c>
    </row>
    <row r="3356" spans="1:5" ht="14.55" customHeight="1" x14ac:dyDescent="0.25">
      <c r="A3356" s="230" t="s">
        <v>588</v>
      </c>
      <c r="B3356" s="231" t="s">
        <v>7260</v>
      </c>
      <c r="C3356" s="230" t="s">
        <v>7643</v>
      </c>
      <c r="D3356" s="230" t="s">
        <v>7644</v>
      </c>
    </row>
    <row r="3357" spans="1:5" ht="14.55" customHeight="1" x14ac:dyDescent="0.25">
      <c r="A3357" s="230" t="s">
        <v>588</v>
      </c>
      <c r="B3357" s="231" t="s">
        <v>7263</v>
      </c>
      <c r="C3357" s="230" t="s">
        <v>7645</v>
      </c>
      <c r="D3357" s="230" t="s">
        <v>7646</v>
      </c>
    </row>
    <row r="3358" spans="1:5" ht="14.55" customHeight="1" x14ac:dyDescent="0.25">
      <c r="A3358" s="230" t="s">
        <v>588</v>
      </c>
      <c r="B3358" s="231" t="s">
        <v>7266</v>
      </c>
      <c r="C3358" s="230" t="s">
        <v>7359</v>
      </c>
      <c r="D3358" s="230" t="s">
        <v>7647</v>
      </c>
    </row>
    <row r="3359" spans="1:5" ht="14.55" customHeight="1" x14ac:dyDescent="0.25">
      <c r="A3359" s="230" t="s">
        <v>588</v>
      </c>
      <c r="B3359" s="241">
        <v>12</v>
      </c>
      <c r="C3359" s="230" t="s">
        <v>7648</v>
      </c>
      <c r="D3359" s="230" t="s">
        <v>7649</v>
      </c>
    </row>
    <row r="3360" spans="1:5" ht="14.55" customHeight="1" x14ac:dyDescent="0.25">
      <c r="A3360" s="230" t="s">
        <v>227</v>
      </c>
      <c r="B3360" s="231" t="s">
        <v>74</v>
      </c>
      <c r="C3360" s="230" t="s">
        <v>6548</v>
      </c>
      <c r="D3360" s="230"/>
    </row>
    <row r="3361" spans="1:4" ht="14.55" customHeight="1" x14ac:dyDescent="0.25">
      <c r="A3361" s="230" t="s">
        <v>227</v>
      </c>
      <c r="B3361" s="231" t="s">
        <v>84</v>
      </c>
      <c r="C3361" s="230" t="s">
        <v>6550</v>
      </c>
      <c r="D3361" s="230"/>
    </row>
    <row r="3362" spans="1:4" ht="14.55" customHeight="1" x14ac:dyDescent="0.25">
      <c r="A3362" s="230" t="s">
        <v>227</v>
      </c>
      <c r="B3362" s="231" t="s">
        <v>90</v>
      </c>
      <c r="C3362" s="230" t="s">
        <v>6552</v>
      </c>
      <c r="D3362" s="230"/>
    </row>
    <row r="3363" spans="1:4" ht="14.55" customHeight="1" x14ac:dyDescent="0.25">
      <c r="A3363" s="230" t="s">
        <v>227</v>
      </c>
      <c r="B3363" s="231" t="s">
        <v>96</v>
      </c>
      <c r="C3363" s="230" t="s">
        <v>6554</v>
      </c>
      <c r="D3363" s="230"/>
    </row>
    <row r="3364" spans="1:4" ht="14.55" customHeight="1" x14ac:dyDescent="0.25">
      <c r="A3364" s="230" t="s">
        <v>227</v>
      </c>
      <c r="B3364" s="231" t="s">
        <v>102</v>
      </c>
      <c r="C3364" s="230" t="s">
        <v>6556</v>
      </c>
      <c r="D3364" s="230"/>
    </row>
    <row r="3365" spans="1:4" ht="14.55" customHeight="1" x14ac:dyDescent="0.25">
      <c r="A3365" s="230" t="s">
        <v>227</v>
      </c>
      <c r="B3365" s="231" t="s">
        <v>109</v>
      </c>
      <c r="C3365" s="230" t="s">
        <v>6558</v>
      </c>
      <c r="D3365" s="230"/>
    </row>
    <row r="3366" spans="1:4" ht="14.55" customHeight="1" x14ac:dyDescent="0.25">
      <c r="A3366" s="230" t="s">
        <v>227</v>
      </c>
      <c r="B3366" s="231" t="s">
        <v>114</v>
      </c>
      <c r="C3366" s="230" t="s">
        <v>6560</v>
      </c>
      <c r="D3366" s="230"/>
    </row>
    <row r="3367" spans="1:4" ht="14.55" customHeight="1" x14ac:dyDescent="0.25">
      <c r="A3367" s="230" t="s">
        <v>227</v>
      </c>
      <c r="B3367" s="231" t="s">
        <v>120</v>
      </c>
      <c r="C3367" s="230" t="s">
        <v>6562</v>
      </c>
      <c r="D3367" s="230"/>
    </row>
    <row r="3368" spans="1:4" ht="14.55" customHeight="1" x14ac:dyDescent="0.25">
      <c r="A3368" s="230" t="s">
        <v>227</v>
      </c>
      <c r="B3368" s="231" t="s">
        <v>126</v>
      </c>
      <c r="C3368" s="230" t="s">
        <v>6564</v>
      </c>
      <c r="D3368" s="230"/>
    </row>
    <row r="3369" spans="1:4" ht="14.55" customHeight="1" x14ac:dyDescent="0.25">
      <c r="A3369" s="230" t="s">
        <v>227</v>
      </c>
      <c r="B3369" s="231" t="s">
        <v>130</v>
      </c>
      <c r="C3369" s="230" t="s">
        <v>6566</v>
      </c>
      <c r="D3369" s="230"/>
    </row>
    <row r="3370" spans="1:4" ht="14.55" customHeight="1" x14ac:dyDescent="0.25">
      <c r="A3370" s="230" t="s">
        <v>227</v>
      </c>
      <c r="B3370" s="231" t="s">
        <v>136</v>
      </c>
      <c r="C3370" s="230" t="s">
        <v>6568</v>
      </c>
      <c r="D3370" s="230"/>
    </row>
    <row r="3371" spans="1:4" ht="14.55" customHeight="1" x14ac:dyDescent="0.25">
      <c r="A3371" s="230" t="s">
        <v>227</v>
      </c>
      <c r="B3371" s="231" t="s">
        <v>140</v>
      </c>
      <c r="C3371" s="230" t="s">
        <v>6570</v>
      </c>
      <c r="D3371" s="230"/>
    </row>
    <row r="3372" spans="1:4" ht="14.55" customHeight="1" x14ac:dyDescent="0.25">
      <c r="A3372" s="230" t="s">
        <v>227</v>
      </c>
      <c r="B3372" s="231" t="s">
        <v>6572</v>
      </c>
      <c r="C3372" s="230" t="s">
        <v>1409</v>
      </c>
      <c r="D3372" s="230"/>
    </row>
    <row r="3373" spans="1:4" ht="14.55" customHeight="1" x14ac:dyDescent="0.25">
      <c r="A3373" s="230" t="s">
        <v>227</v>
      </c>
      <c r="B3373" s="231" t="s">
        <v>6937</v>
      </c>
      <c r="C3373" s="230" t="s">
        <v>7650</v>
      </c>
      <c r="D3373" s="230"/>
    </row>
    <row r="3374" spans="1:4" ht="14.55" customHeight="1" x14ac:dyDescent="0.25">
      <c r="A3374" s="230" t="s">
        <v>227</v>
      </c>
      <c r="B3374" s="231" t="s">
        <v>6577</v>
      </c>
      <c r="C3374" s="230" t="s">
        <v>7651</v>
      </c>
      <c r="D3374" s="230" t="s">
        <v>13457</v>
      </c>
    </row>
    <row r="3375" spans="1:4" ht="14.55" customHeight="1" x14ac:dyDescent="0.25">
      <c r="A3375" s="230" t="s">
        <v>630</v>
      </c>
      <c r="B3375" s="231" t="s">
        <v>7652</v>
      </c>
      <c r="C3375" s="230" t="s">
        <v>7653</v>
      </c>
    </row>
    <row r="3376" spans="1:4" ht="14.55" customHeight="1" x14ac:dyDescent="0.25">
      <c r="A3376" s="230" t="s">
        <v>630</v>
      </c>
      <c r="B3376" s="231" t="s">
        <v>7654</v>
      </c>
      <c r="C3376" s="230" t="s">
        <v>7655</v>
      </c>
    </row>
    <row r="3377" spans="1:4" ht="14.55" customHeight="1" x14ac:dyDescent="0.25">
      <c r="A3377" s="230" t="s">
        <v>630</v>
      </c>
      <c r="B3377" s="231" t="s">
        <v>7656</v>
      </c>
      <c r="C3377" s="230" t="s">
        <v>7657</v>
      </c>
    </row>
    <row r="3378" spans="1:4" ht="14.55" customHeight="1" x14ac:dyDescent="0.25">
      <c r="A3378" s="230" t="s">
        <v>630</v>
      </c>
      <c r="B3378" s="231" t="s">
        <v>7658</v>
      </c>
      <c r="C3378" s="230" t="s">
        <v>7659</v>
      </c>
    </row>
    <row r="3379" spans="1:4" ht="14.55" customHeight="1" x14ac:dyDescent="0.25">
      <c r="A3379" s="230" t="s">
        <v>630</v>
      </c>
      <c r="B3379" s="231" t="s">
        <v>7660</v>
      </c>
      <c r="C3379" s="230" t="s">
        <v>7661</v>
      </c>
      <c r="D3379" s="230"/>
    </row>
    <row r="3380" spans="1:4" ht="14.55" customHeight="1" x14ac:dyDescent="0.25">
      <c r="A3380" s="230" t="s">
        <v>630</v>
      </c>
      <c r="B3380" s="231" t="s">
        <v>7662</v>
      </c>
      <c r="C3380" s="230" t="s">
        <v>7663</v>
      </c>
      <c r="D3380" s="230"/>
    </row>
    <row r="3381" spans="1:4" ht="14.55" customHeight="1" x14ac:dyDescent="0.25">
      <c r="A3381" s="230" t="s">
        <v>630</v>
      </c>
      <c r="B3381" s="231" t="s">
        <v>7664</v>
      </c>
      <c r="C3381" s="230" t="s">
        <v>7665</v>
      </c>
      <c r="D3381" s="230"/>
    </row>
    <row r="3382" spans="1:4" ht="14.55" customHeight="1" x14ac:dyDescent="0.25">
      <c r="A3382" s="230" t="s">
        <v>630</v>
      </c>
      <c r="B3382" s="231" t="s">
        <v>7666</v>
      </c>
      <c r="C3382" s="230" t="s">
        <v>7667</v>
      </c>
      <c r="D3382" s="230"/>
    </row>
    <row r="3383" spans="1:4" ht="14.55" customHeight="1" x14ac:dyDescent="0.25">
      <c r="A3383" s="230" t="s">
        <v>630</v>
      </c>
      <c r="B3383" s="231" t="s">
        <v>7668</v>
      </c>
      <c r="C3383" s="230" t="s">
        <v>7669</v>
      </c>
      <c r="D3383" s="230"/>
    </row>
    <row r="3384" spans="1:4" ht="14.55" customHeight="1" x14ac:dyDescent="0.25">
      <c r="A3384" s="230" t="s">
        <v>630</v>
      </c>
      <c r="B3384" s="231" t="s">
        <v>7670</v>
      </c>
      <c r="C3384" s="230" t="s">
        <v>7671</v>
      </c>
      <c r="D3384" s="230"/>
    </row>
    <row r="3385" spans="1:4" ht="14.55" customHeight="1" x14ac:dyDescent="0.25">
      <c r="A3385" s="230" t="s">
        <v>630</v>
      </c>
      <c r="B3385" s="231" t="s">
        <v>7672</v>
      </c>
      <c r="C3385" s="230" t="s">
        <v>7673</v>
      </c>
      <c r="D3385" s="230"/>
    </row>
    <row r="3386" spans="1:4" ht="14.55" customHeight="1" x14ac:dyDescent="0.25">
      <c r="A3386" s="230" t="s">
        <v>630</v>
      </c>
      <c r="B3386" s="231" t="s">
        <v>7674</v>
      </c>
      <c r="C3386" s="230" t="s">
        <v>7675</v>
      </c>
      <c r="D3386" s="230"/>
    </row>
    <row r="3387" spans="1:4" ht="14.55" customHeight="1" x14ac:dyDescent="0.25">
      <c r="A3387" s="230" t="s">
        <v>630</v>
      </c>
      <c r="B3387" s="231" t="s">
        <v>7676</v>
      </c>
      <c r="C3387" s="230" t="s">
        <v>7677</v>
      </c>
      <c r="D3387" s="230"/>
    </row>
    <row r="3388" spans="1:4" ht="14.55" customHeight="1" x14ac:dyDescent="0.25">
      <c r="A3388" s="230" t="s">
        <v>630</v>
      </c>
      <c r="B3388" s="231" t="s">
        <v>7678</v>
      </c>
      <c r="C3388" s="230" t="s">
        <v>7679</v>
      </c>
      <c r="D3388" s="230"/>
    </row>
    <row r="3389" spans="1:4" ht="14.55" customHeight="1" x14ac:dyDescent="0.25">
      <c r="A3389" s="230" t="s">
        <v>630</v>
      </c>
      <c r="B3389" s="231" t="s">
        <v>7680</v>
      </c>
      <c r="C3389" s="230" t="s">
        <v>7681</v>
      </c>
      <c r="D3389" s="230"/>
    </row>
    <row r="3390" spans="1:4" ht="14.55" customHeight="1" x14ac:dyDescent="0.25">
      <c r="A3390" s="230" t="s">
        <v>630</v>
      </c>
      <c r="B3390" s="231" t="s">
        <v>7682</v>
      </c>
      <c r="C3390" s="230" t="s">
        <v>7683</v>
      </c>
      <c r="D3390" s="230"/>
    </row>
    <row r="3391" spans="1:4" ht="14.55" customHeight="1" x14ac:dyDescent="0.25">
      <c r="A3391" s="230" t="s">
        <v>630</v>
      </c>
      <c r="B3391" s="231" t="s">
        <v>7684</v>
      </c>
      <c r="C3391" s="230" t="s">
        <v>7685</v>
      </c>
      <c r="D3391" s="230"/>
    </row>
    <row r="3392" spans="1:4" ht="14.55" customHeight="1" x14ac:dyDescent="0.25">
      <c r="A3392" s="230" t="s">
        <v>630</v>
      </c>
      <c r="B3392" s="231" t="s">
        <v>7686</v>
      </c>
      <c r="C3392" s="230" t="s">
        <v>7687</v>
      </c>
      <c r="D3392" s="230"/>
    </row>
    <row r="3393" spans="1:5" ht="14.55" customHeight="1" x14ac:dyDescent="0.25">
      <c r="A3393" s="230" t="s">
        <v>630</v>
      </c>
      <c r="B3393" s="231" t="s">
        <v>7688</v>
      </c>
      <c r="C3393" s="230" t="s">
        <v>7689</v>
      </c>
      <c r="D3393" s="230"/>
    </row>
    <row r="3394" spans="1:5" ht="14.55" customHeight="1" x14ac:dyDescent="0.25">
      <c r="A3394" s="230" t="s">
        <v>294</v>
      </c>
      <c r="B3394" s="231" t="s">
        <v>74</v>
      </c>
      <c r="C3394" s="230" t="s">
        <v>7690</v>
      </c>
      <c r="D3394" s="230" t="s">
        <v>7691</v>
      </c>
      <c r="E3394" s="230" t="s">
        <v>7692</v>
      </c>
    </row>
    <row r="3395" spans="1:5" ht="14.55" customHeight="1" x14ac:dyDescent="0.25">
      <c r="A3395" s="230" t="s">
        <v>294</v>
      </c>
      <c r="B3395" s="231" t="s">
        <v>84</v>
      </c>
      <c r="C3395" s="230" t="s">
        <v>7693</v>
      </c>
      <c r="D3395" s="230" t="s">
        <v>7694</v>
      </c>
      <c r="E3395" s="230" t="s">
        <v>7695</v>
      </c>
    </row>
    <row r="3396" spans="1:5" ht="14.55" customHeight="1" x14ac:dyDescent="0.25">
      <c r="A3396" s="230" t="s">
        <v>294</v>
      </c>
      <c r="B3396" s="231" t="s">
        <v>90</v>
      </c>
      <c r="C3396" s="230" t="s">
        <v>7696</v>
      </c>
      <c r="D3396" s="230" t="s">
        <v>7696</v>
      </c>
      <c r="E3396" s="230" t="s">
        <v>7697</v>
      </c>
    </row>
    <row r="3397" spans="1:5" ht="14.55" customHeight="1" x14ac:dyDescent="0.25">
      <c r="A3397" s="230" t="s">
        <v>294</v>
      </c>
      <c r="B3397" s="231" t="s">
        <v>96</v>
      </c>
      <c r="C3397" s="230" t="s">
        <v>7698</v>
      </c>
      <c r="D3397" s="230" t="s">
        <v>7698</v>
      </c>
      <c r="E3397" s="230" t="s">
        <v>13456</v>
      </c>
    </row>
    <row r="3398" spans="1:5" ht="14.55" customHeight="1" x14ac:dyDescent="0.25">
      <c r="A3398" s="230" t="s">
        <v>212</v>
      </c>
      <c r="B3398" s="231" t="s">
        <v>74</v>
      </c>
      <c r="C3398" s="230" t="s">
        <v>7699</v>
      </c>
      <c r="D3398" s="230" t="s">
        <v>7699</v>
      </c>
    </row>
    <row r="3399" spans="1:5" ht="14.55" customHeight="1" x14ac:dyDescent="0.25">
      <c r="A3399" s="230" t="s">
        <v>212</v>
      </c>
      <c r="B3399" s="231" t="s">
        <v>84</v>
      </c>
      <c r="C3399" s="230" t="s">
        <v>7700</v>
      </c>
      <c r="D3399" s="230" t="s">
        <v>7700</v>
      </c>
    </row>
    <row r="3400" spans="1:5" ht="14.55" customHeight="1" x14ac:dyDescent="0.25">
      <c r="A3400" s="230" t="s">
        <v>212</v>
      </c>
      <c r="B3400" s="231" t="s">
        <v>90</v>
      </c>
      <c r="C3400" s="230" t="s">
        <v>7701</v>
      </c>
      <c r="D3400" s="230" t="s">
        <v>7701</v>
      </c>
    </row>
    <row r="3401" spans="1:5" ht="14.55" customHeight="1" x14ac:dyDescent="0.25">
      <c r="A3401" s="230" t="s">
        <v>212</v>
      </c>
      <c r="B3401" s="231" t="s">
        <v>96</v>
      </c>
      <c r="C3401" s="230" t="s">
        <v>7702</v>
      </c>
      <c r="D3401" s="230" t="s">
        <v>7702</v>
      </c>
    </row>
    <row r="3402" spans="1:5" ht="14.55" customHeight="1" x14ac:dyDescent="0.25">
      <c r="A3402" s="230" t="s">
        <v>212</v>
      </c>
      <c r="B3402" s="231" t="s">
        <v>102</v>
      </c>
      <c r="C3402" s="230" t="s">
        <v>7703</v>
      </c>
      <c r="D3402" s="230" t="s">
        <v>7703</v>
      </c>
    </row>
    <row r="3403" spans="1:5" ht="14.55" customHeight="1" x14ac:dyDescent="0.25">
      <c r="A3403" s="230" t="s">
        <v>212</v>
      </c>
      <c r="B3403" s="231" t="s">
        <v>109</v>
      </c>
      <c r="C3403" s="230" t="s">
        <v>7704</v>
      </c>
      <c r="D3403" s="230" t="s">
        <v>7704</v>
      </c>
    </row>
    <row r="3404" spans="1:5" ht="14.55" customHeight="1" x14ac:dyDescent="0.25">
      <c r="A3404" s="230" t="s">
        <v>212</v>
      </c>
      <c r="B3404" s="231" t="s">
        <v>114</v>
      </c>
      <c r="C3404" s="230" t="s">
        <v>7705</v>
      </c>
      <c r="D3404" s="230" t="s">
        <v>7705</v>
      </c>
    </row>
    <row r="3405" spans="1:5" ht="14.55" customHeight="1" x14ac:dyDescent="0.25">
      <c r="A3405" s="230" t="s">
        <v>212</v>
      </c>
      <c r="B3405" s="231" t="s">
        <v>120</v>
      </c>
      <c r="C3405" s="230" t="s">
        <v>7706</v>
      </c>
      <c r="D3405" s="230" t="s">
        <v>7706</v>
      </c>
    </row>
    <row r="3406" spans="1:5" ht="14.55" customHeight="1" x14ac:dyDescent="0.25">
      <c r="A3406" s="230" t="s">
        <v>212</v>
      </c>
      <c r="B3406" s="231" t="s">
        <v>126</v>
      </c>
      <c r="C3406" s="230" t="s">
        <v>7707</v>
      </c>
      <c r="D3406" s="230" t="s">
        <v>7707</v>
      </c>
    </row>
    <row r="3407" spans="1:5" ht="14.55" customHeight="1" x14ac:dyDescent="0.25">
      <c r="A3407" s="230" t="s">
        <v>212</v>
      </c>
      <c r="B3407" s="231" t="s">
        <v>130</v>
      </c>
      <c r="C3407" s="230" t="s">
        <v>7708</v>
      </c>
      <c r="D3407" s="230" t="s">
        <v>7708</v>
      </c>
    </row>
    <row r="3408" spans="1:5" ht="14.55" customHeight="1" x14ac:dyDescent="0.25">
      <c r="A3408" s="230" t="s">
        <v>212</v>
      </c>
      <c r="B3408" s="231" t="s">
        <v>136</v>
      </c>
      <c r="C3408" s="230" t="s">
        <v>7709</v>
      </c>
      <c r="D3408" s="230" t="s">
        <v>7709</v>
      </c>
    </row>
    <row r="3409" spans="1:4" ht="14.55" customHeight="1" x14ac:dyDescent="0.25">
      <c r="A3409" s="230" t="s">
        <v>212</v>
      </c>
      <c r="B3409" s="231" t="s">
        <v>140</v>
      </c>
      <c r="C3409" s="230" t="s">
        <v>7710</v>
      </c>
      <c r="D3409" s="230" t="s">
        <v>7710</v>
      </c>
    </row>
    <row r="3410" spans="1:4" ht="14.55" customHeight="1" x14ac:dyDescent="0.25">
      <c r="A3410" s="230" t="s">
        <v>212</v>
      </c>
      <c r="B3410" s="231" t="s">
        <v>146</v>
      </c>
      <c r="C3410" s="230" t="s">
        <v>7711</v>
      </c>
      <c r="D3410" s="230" t="s">
        <v>7711</v>
      </c>
    </row>
    <row r="3411" spans="1:4" ht="14.55" customHeight="1" x14ac:dyDescent="0.25">
      <c r="A3411" s="230" t="s">
        <v>212</v>
      </c>
      <c r="B3411" s="231" t="s">
        <v>150</v>
      </c>
      <c r="C3411" s="230" t="s">
        <v>7712</v>
      </c>
      <c r="D3411" s="230" t="s">
        <v>7712</v>
      </c>
    </row>
    <row r="3412" spans="1:4" ht="14.55" customHeight="1" x14ac:dyDescent="0.25">
      <c r="A3412" s="230" t="s">
        <v>212</v>
      </c>
      <c r="B3412" s="231" t="s">
        <v>154</v>
      </c>
      <c r="C3412" s="230" t="s">
        <v>7713</v>
      </c>
      <c r="D3412" s="230" t="s">
        <v>7713</v>
      </c>
    </row>
    <row r="3413" spans="1:4" ht="14.55" customHeight="1" x14ac:dyDescent="0.25">
      <c r="A3413" s="230" t="s">
        <v>212</v>
      </c>
      <c r="B3413" s="231" t="s">
        <v>214</v>
      </c>
      <c r="C3413" s="230" t="s">
        <v>7714</v>
      </c>
      <c r="D3413" s="230" t="s">
        <v>7714</v>
      </c>
    </row>
    <row r="3414" spans="1:4" ht="14.55" customHeight="1" x14ac:dyDescent="0.25">
      <c r="A3414" s="230" t="s">
        <v>212</v>
      </c>
      <c r="B3414" s="231" t="s">
        <v>220</v>
      </c>
      <c r="C3414" s="230" t="s">
        <v>7715</v>
      </c>
      <c r="D3414" s="230" t="s">
        <v>7715</v>
      </c>
    </row>
    <row r="3415" spans="1:4" ht="14.55" customHeight="1" x14ac:dyDescent="0.25">
      <c r="A3415" s="230" t="s">
        <v>212</v>
      </c>
      <c r="B3415" s="231" t="s">
        <v>226</v>
      </c>
      <c r="C3415" s="230" t="s">
        <v>7716</v>
      </c>
      <c r="D3415" s="230" t="s">
        <v>7716</v>
      </c>
    </row>
    <row r="3416" spans="1:4" ht="14.55" customHeight="1" x14ac:dyDescent="0.25">
      <c r="A3416" s="230" t="s">
        <v>212</v>
      </c>
      <c r="B3416" s="231" t="s">
        <v>230</v>
      </c>
      <c r="C3416" s="230" t="s">
        <v>7717</v>
      </c>
      <c r="D3416" s="230" t="s">
        <v>7717</v>
      </c>
    </row>
    <row r="3417" spans="1:4" ht="14.55" customHeight="1" x14ac:dyDescent="0.25">
      <c r="A3417" s="230" t="s">
        <v>212</v>
      </c>
      <c r="B3417" s="231" t="s">
        <v>240</v>
      </c>
      <c r="C3417" s="230" t="s">
        <v>7718</v>
      </c>
      <c r="D3417" s="230" t="s">
        <v>7718</v>
      </c>
    </row>
    <row r="3418" spans="1:4" ht="14.55" customHeight="1" x14ac:dyDescent="0.25">
      <c r="A3418" s="230" t="s">
        <v>212</v>
      </c>
      <c r="B3418" s="231" t="s">
        <v>246</v>
      </c>
      <c r="C3418" s="230" t="s">
        <v>7719</v>
      </c>
      <c r="D3418" s="230" t="s">
        <v>7719</v>
      </c>
    </row>
    <row r="3419" spans="1:4" ht="14.55" customHeight="1" x14ac:dyDescent="0.25">
      <c r="A3419" s="230" t="s">
        <v>212</v>
      </c>
      <c r="B3419" s="231" t="s">
        <v>250</v>
      </c>
      <c r="C3419" s="230" t="s">
        <v>7720</v>
      </c>
      <c r="D3419" s="230" t="s">
        <v>7720</v>
      </c>
    </row>
    <row r="3420" spans="1:4" ht="14.55" customHeight="1" x14ac:dyDescent="0.25">
      <c r="A3420" s="230" t="s">
        <v>212</v>
      </c>
      <c r="B3420" s="231" t="s">
        <v>254</v>
      </c>
      <c r="C3420" s="230" t="s">
        <v>7721</v>
      </c>
      <c r="D3420" s="230" t="s">
        <v>7721</v>
      </c>
    </row>
    <row r="3421" spans="1:4" ht="14.55" customHeight="1" x14ac:dyDescent="0.25">
      <c r="A3421" s="230" t="s">
        <v>212</v>
      </c>
      <c r="B3421" s="231" t="s">
        <v>258</v>
      </c>
      <c r="C3421" s="230" t="s">
        <v>7722</v>
      </c>
      <c r="D3421" s="230" t="s">
        <v>7722</v>
      </c>
    </row>
    <row r="3422" spans="1:4" ht="14.55" customHeight="1" x14ac:dyDescent="0.25">
      <c r="A3422" s="230" t="s">
        <v>212</v>
      </c>
      <c r="B3422" s="231" t="s">
        <v>264</v>
      </c>
      <c r="C3422" s="230" t="s">
        <v>7723</v>
      </c>
      <c r="D3422" s="230" t="s">
        <v>7723</v>
      </c>
    </row>
    <row r="3423" spans="1:4" ht="14.55" customHeight="1" x14ac:dyDescent="0.25">
      <c r="A3423" s="230" t="s">
        <v>212</v>
      </c>
      <c r="B3423" s="231" t="s">
        <v>269</v>
      </c>
      <c r="C3423" s="230" t="s">
        <v>7724</v>
      </c>
      <c r="D3423" s="230" t="s">
        <v>7724</v>
      </c>
    </row>
    <row r="3424" spans="1:4" ht="14.55" customHeight="1" x14ac:dyDescent="0.25">
      <c r="A3424" s="230" t="s">
        <v>212</v>
      </c>
      <c r="B3424" s="231" t="s">
        <v>275</v>
      </c>
      <c r="C3424" s="230" t="s">
        <v>7725</v>
      </c>
      <c r="D3424" s="230" t="s">
        <v>7725</v>
      </c>
    </row>
    <row r="3425" spans="1:4" ht="14.55" customHeight="1" x14ac:dyDescent="0.25">
      <c r="A3425" s="230" t="s">
        <v>212</v>
      </c>
      <c r="B3425" s="231" t="s">
        <v>280</v>
      </c>
      <c r="C3425" s="230" t="s">
        <v>7726</v>
      </c>
      <c r="D3425" s="230" t="s">
        <v>7726</v>
      </c>
    </row>
    <row r="3426" spans="1:4" ht="14.55" customHeight="1" x14ac:dyDescent="0.25">
      <c r="A3426" s="230" t="s">
        <v>212</v>
      </c>
      <c r="B3426" s="231" t="s">
        <v>284</v>
      </c>
      <c r="C3426" s="230" t="s">
        <v>7727</v>
      </c>
      <c r="D3426" s="230" t="s">
        <v>7727</v>
      </c>
    </row>
    <row r="3427" spans="1:4" ht="14.55" customHeight="1" x14ac:dyDescent="0.25">
      <c r="A3427" s="230" t="s">
        <v>212</v>
      </c>
      <c r="B3427" s="231" t="s">
        <v>289</v>
      </c>
      <c r="C3427" s="230" t="s">
        <v>7728</v>
      </c>
      <c r="D3427" s="230" t="s">
        <v>7728</v>
      </c>
    </row>
    <row r="3428" spans="1:4" ht="14.55" customHeight="1" x14ac:dyDescent="0.25">
      <c r="A3428" s="230" t="s">
        <v>212</v>
      </c>
      <c r="B3428" s="231" t="s">
        <v>293</v>
      </c>
      <c r="C3428" s="230" t="s">
        <v>7729</v>
      </c>
      <c r="D3428" s="230" t="s">
        <v>7729</v>
      </c>
    </row>
    <row r="3429" spans="1:4" ht="14.55" customHeight="1" x14ac:dyDescent="0.25">
      <c r="A3429" s="230" t="s">
        <v>212</v>
      </c>
      <c r="B3429" s="231" t="s">
        <v>297</v>
      </c>
      <c r="C3429" s="230" t="s">
        <v>7730</v>
      </c>
      <c r="D3429" s="230" t="s">
        <v>7730</v>
      </c>
    </row>
    <row r="3430" spans="1:4" ht="14.55" customHeight="1" x14ac:dyDescent="0.25">
      <c r="A3430" s="230" t="s">
        <v>212</v>
      </c>
      <c r="B3430" s="231" t="s">
        <v>301</v>
      </c>
      <c r="C3430" s="230" t="s">
        <v>7731</v>
      </c>
      <c r="D3430" s="230" t="s">
        <v>7731</v>
      </c>
    </row>
    <row r="3431" spans="1:4" ht="14.55" customHeight="1" x14ac:dyDescent="0.25">
      <c r="A3431" s="230" t="s">
        <v>212</v>
      </c>
      <c r="B3431" s="231" t="s">
        <v>308</v>
      </c>
      <c r="C3431" s="230" t="s">
        <v>7732</v>
      </c>
      <c r="D3431" s="230" t="s">
        <v>7732</v>
      </c>
    </row>
    <row r="3432" spans="1:4" ht="14.55" customHeight="1" x14ac:dyDescent="0.25">
      <c r="A3432" s="230" t="s">
        <v>212</v>
      </c>
      <c r="B3432" s="231" t="s">
        <v>312</v>
      </c>
      <c r="C3432" s="230" t="s">
        <v>7733</v>
      </c>
      <c r="D3432" s="230" t="s">
        <v>7733</v>
      </c>
    </row>
    <row r="3433" spans="1:4" ht="14.55" customHeight="1" x14ac:dyDescent="0.25">
      <c r="A3433" s="230" t="s">
        <v>212</v>
      </c>
      <c r="B3433" s="231" t="s">
        <v>317</v>
      </c>
      <c r="C3433" s="230" t="s">
        <v>7734</v>
      </c>
      <c r="D3433" s="230" t="s">
        <v>7734</v>
      </c>
    </row>
    <row r="3434" spans="1:4" ht="14.55" customHeight="1" x14ac:dyDescent="0.25">
      <c r="A3434" s="230" t="s">
        <v>212</v>
      </c>
      <c r="B3434" s="231" t="s">
        <v>321</v>
      </c>
      <c r="C3434" s="230" t="s">
        <v>7735</v>
      </c>
      <c r="D3434" s="230" t="s">
        <v>7735</v>
      </c>
    </row>
    <row r="3435" spans="1:4" ht="14.55" customHeight="1" x14ac:dyDescent="0.25">
      <c r="A3435" s="230" t="s">
        <v>212</v>
      </c>
      <c r="B3435" s="231" t="s">
        <v>326</v>
      </c>
      <c r="C3435" s="230" t="s">
        <v>7736</v>
      </c>
      <c r="D3435" s="230" t="s">
        <v>7736</v>
      </c>
    </row>
    <row r="3436" spans="1:4" ht="14.55" customHeight="1" x14ac:dyDescent="0.25">
      <c r="A3436" s="230" t="s">
        <v>212</v>
      </c>
      <c r="B3436" s="231" t="s">
        <v>331</v>
      </c>
      <c r="C3436" s="230" t="s">
        <v>7737</v>
      </c>
      <c r="D3436" s="230" t="s">
        <v>7737</v>
      </c>
    </row>
    <row r="3437" spans="1:4" ht="14.55" customHeight="1" x14ac:dyDescent="0.25">
      <c r="A3437" s="230" t="s">
        <v>212</v>
      </c>
      <c r="B3437" s="231" t="s">
        <v>336</v>
      </c>
      <c r="C3437" s="230" t="s">
        <v>7738</v>
      </c>
      <c r="D3437" s="230" t="s">
        <v>7738</v>
      </c>
    </row>
    <row r="3438" spans="1:4" ht="14.55" customHeight="1" x14ac:dyDescent="0.25">
      <c r="A3438" s="230" t="s">
        <v>212</v>
      </c>
      <c r="B3438" s="231" t="s">
        <v>340</v>
      </c>
      <c r="C3438" s="230" t="s">
        <v>7739</v>
      </c>
      <c r="D3438" s="230" t="s">
        <v>7739</v>
      </c>
    </row>
    <row r="3439" spans="1:4" ht="14.55" customHeight="1" x14ac:dyDescent="0.25">
      <c r="A3439" s="230" t="s">
        <v>212</v>
      </c>
      <c r="B3439" s="231" t="s">
        <v>344</v>
      </c>
      <c r="C3439" s="230" t="s">
        <v>7740</v>
      </c>
      <c r="D3439" s="230" t="s">
        <v>7740</v>
      </c>
    </row>
    <row r="3440" spans="1:4" ht="14.55" customHeight="1" x14ac:dyDescent="0.25">
      <c r="A3440" s="230" t="s">
        <v>212</v>
      </c>
      <c r="B3440" s="231" t="s">
        <v>348</v>
      </c>
      <c r="C3440" s="230" t="s">
        <v>7741</v>
      </c>
      <c r="D3440" s="230" t="s">
        <v>7741</v>
      </c>
    </row>
    <row r="3441" spans="1:4" ht="14.55" customHeight="1" x14ac:dyDescent="0.25">
      <c r="A3441" s="230" t="s">
        <v>212</v>
      </c>
      <c r="B3441" s="231" t="s">
        <v>352</v>
      </c>
      <c r="C3441" s="230" t="s">
        <v>7742</v>
      </c>
      <c r="D3441" s="230" t="s">
        <v>7742</v>
      </c>
    </row>
    <row r="3442" spans="1:4" ht="14.55" customHeight="1" x14ac:dyDescent="0.25">
      <c r="A3442" s="230" t="s">
        <v>212</v>
      </c>
      <c r="B3442" s="231" t="s">
        <v>357</v>
      </c>
      <c r="C3442" s="230" t="s">
        <v>100</v>
      </c>
      <c r="D3442" s="230" t="s">
        <v>7743</v>
      </c>
    </row>
    <row r="3443" spans="1:4" ht="14.55" customHeight="1" x14ac:dyDescent="0.25">
      <c r="A3443" s="230" t="s">
        <v>1065</v>
      </c>
      <c r="B3443" s="231" t="s">
        <v>7744</v>
      </c>
      <c r="C3443" s="230" t="s">
        <v>7745</v>
      </c>
      <c r="D3443" s="230" t="s">
        <v>7746</v>
      </c>
    </row>
    <row r="3444" spans="1:4" ht="14.55" customHeight="1" x14ac:dyDescent="0.25">
      <c r="A3444" s="230" t="s">
        <v>1065</v>
      </c>
      <c r="B3444" s="231" t="s">
        <v>7747</v>
      </c>
      <c r="C3444" s="230" t="s">
        <v>7748</v>
      </c>
      <c r="D3444" s="230" t="s">
        <v>7749</v>
      </c>
    </row>
    <row r="3445" spans="1:4" ht="14.55" customHeight="1" x14ac:dyDescent="0.25">
      <c r="A3445" s="230" t="s">
        <v>1065</v>
      </c>
      <c r="B3445" s="231" t="s">
        <v>7750</v>
      </c>
      <c r="C3445" s="230" t="s">
        <v>7751</v>
      </c>
      <c r="D3445" s="230" t="s">
        <v>13455</v>
      </c>
    </row>
    <row r="3446" spans="1:4" ht="14.55" customHeight="1" x14ac:dyDescent="0.25">
      <c r="A3446" s="230" t="s">
        <v>1065</v>
      </c>
      <c r="B3446" s="231" t="s">
        <v>7752</v>
      </c>
      <c r="C3446" s="230" t="s">
        <v>7753</v>
      </c>
      <c r="D3446" s="230" t="s">
        <v>7754</v>
      </c>
    </row>
    <row r="3447" spans="1:4" ht="14.55" customHeight="1" x14ac:dyDescent="0.25">
      <c r="A3447" s="230" t="s">
        <v>97</v>
      </c>
      <c r="B3447" s="231" t="s">
        <v>7755</v>
      </c>
      <c r="C3447" s="230" t="s">
        <v>7756</v>
      </c>
      <c r="D3447" s="230" t="s">
        <v>7757</v>
      </c>
    </row>
    <row r="3448" spans="1:4" ht="14.55" customHeight="1" x14ac:dyDescent="0.25">
      <c r="A3448" s="230" t="s">
        <v>97</v>
      </c>
      <c r="B3448" s="231" t="s">
        <v>7758</v>
      </c>
      <c r="C3448" s="230" t="s">
        <v>7759</v>
      </c>
      <c r="D3448" s="230" t="s">
        <v>7760</v>
      </c>
    </row>
    <row r="3449" spans="1:4" ht="14.55" customHeight="1" x14ac:dyDescent="0.25">
      <c r="A3449" s="230" t="s">
        <v>97</v>
      </c>
      <c r="B3449" s="231" t="s">
        <v>7761</v>
      </c>
      <c r="C3449" s="230" t="s">
        <v>7762</v>
      </c>
      <c r="D3449" s="230" t="s">
        <v>7763</v>
      </c>
    </row>
    <row r="3450" spans="1:4" ht="14.55" customHeight="1" x14ac:dyDescent="0.25">
      <c r="A3450" s="230" t="s">
        <v>97</v>
      </c>
      <c r="B3450" s="231" t="s">
        <v>6746</v>
      </c>
      <c r="C3450" s="230" t="s">
        <v>7764</v>
      </c>
      <c r="D3450" s="230" t="s">
        <v>7765</v>
      </c>
    </row>
    <row r="3451" spans="1:4" ht="14.55" customHeight="1" x14ac:dyDescent="0.25">
      <c r="A3451" s="230" t="s">
        <v>97</v>
      </c>
      <c r="B3451" s="231" t="s">
        <v>7766</v>
      </c>
      <c r="C3451" s="230" t="s">
        <v>7767</v>
      </c>
      <c r="D3451" s="230" t="s">
        <v>7768</v>
      </c>
    </row>
    <row r="3452" spans="1:4" ht="14.55" customHeight="1" x14ac:dyDescent="0.25">
      <c r="A3452" s="230" t="s">
        <v>97</v>
      </c>
      <c r="B3452" s="231" t="s">
        <v>7769</v>
      </c>
      <c r="C3452" s="230" t="s">
        <v>7770</v>
      </c>
      <c r="D3452" s="230" t="s">
        <v>7771</v>
      </c>
    </row>
    <row r="3453" spans="1:4" ht="14.55" customHeight="1" x14ac:dyDescent="0.25">
      <c r="A3453" s="230" t="s">
        <v>97</v>
      </c>
      <c r="B3453" s="231" t="s">
        <v>6996</v>
      </c>
      <c r="C3453" s="230" t="s">
        <v>7772</v>
      </c>
      <c r="D3453" s="230" t="s">
        <v>7773</v>
      </c>
    </row>
    <row r="3454" spans="1:4" ht="14.55" customHeight="1" x14ac:dyDescent="0.25">
      <c r="A3454" s="230" t="s">
        <v>97</v>
      </c>
      <c r="B3454" s="231" t="s">
        <v>7091</v>
      </c>
      <c r="C3454" s="230" t="s">
        <v>7774</v>
      </c>
      <c r="D3454" s="230" t="s">
        <v>7775</v>
      </c>
    </row>
    <row r="3455" spans="1:4" ht="14.55" customHeight="1" x14ac:dyDescent="0.25">
      <c r="A3455" s="230" t="s">
        <v>97</v>
      </c>
      <c r="B3455" s="231" t="s">
        <v>6932</v>
      </c>
      <c r="C3455" s="230" t="s">
        <v>7776</v>
      </c>
      <c r="D3455" s="230" t="s">
        <v>7777</v>
      </c>
    </row>
    <row r="3456" spans="1:4" ht="14.55" customHeight="1" x14ac:dyDescent="0.25">
      <c r="A3456" s="230" t="s">
        <v>459</v>
      </c>
      <c r="B3456" s="231" t="s">
        <v>74</v>
      </c>
      <c r="C3456" s="230" t="s">
        <v>7778</v>
      </c>
      <c r="D3456" s="230"/>
    </row>
    <row r="3457" spans="1:4" ht="14.55" customHeight="1" x14ac:dyDescent="0.25">
      <c r="A3457" s="230" t="s">
        <v>459</v>
      </c>
      <c r="B3457" s="231" t="s">
        <v>84</v>
      </c>
      <c r="C3457" s="230" t="s">
        <v>7779</v>
      </c>
      <c r="D3457" s="230"/>
    </row>
    <row r="3458" spans="1:4" ht="14.55" customHeight="1" x14ac:dyDescent="0.25">
      <c r="A3458" s="230" t="s">
        <v>459</v>
      </c>
      <c r="B3458" s="231" t="s">
        <v>90</v>
      </c>
      <c r="C3458" s="230" t="s">
        <v>7780</v>
      </c>
      <c r="D3458" s="230"/>
    </row>
    <row r="3459" spans="1:4" ht="14.55" customHeight="1" x14ac:dyDescent="0.25">
      <c r="A3459" s="230" t="s">
        <v>459</v>
      </c>
      <c r="B3459" s="231" t="s">
        <v>96</v>
      </c>
      <c r="C3459" s="230" t="s">
        <v>7781</v>
      </c>
      <c r="D3459" s="230"/>
    </row>
    <row r="3460" spans="1:4" ht="14.55" customHeight="1" x14ac:dyDescent="0.25">
      <c r="A3460" s="230" t="s">
        <v>459</v>
      </c>
      <c r="B3460" s="231" t="s">
        <v>102</v>
      </c>
      <c r="C3460" s="230" t="s">
        <v>7782</v>
      </c>
      <c r="D3460" s="230"/>
    </row>
    <row r="3461" spans="1:4" ht="14.55" customHeight="1" x14ac:dyDescent="0.25">
      <c r="A3461" s="230" t="s">
        <v>459</v>
      </c>
      <c r="B3461" s="231" t="s">
        <v>109</v>
      </c>
      <c r="C3461" s="230" t="s">
        <v>7783</v>
      </c>
      <c r="D3461" s="230"/>
    </row>
    <row r="3462" spans="1:4" ht="14.55" customHeight="1" x14ac:dyDescent="0.25">
      <c r="A3462" s="230" t="s">
        <v>459</v>
      </c>
      <c r="B3462" s="231" t="s">
        <v>114</v>
      </c>
      <c r="C3462" s="230" t="s">
        <v>7784</v>
      </c>
      <c r="D3462" s="230"/>
    </row>
    <row r="3463" spans="1:4" ht="14.55" customHeight="1" x14ac:dyDescent="0.25">
      <c r="A3463" s="230" t="s">
        <v>459</v>
      </c>
      <c r="B3463" s="231" t="s">
        <v>120</v>
      </c>
      <c r="C3463" s="230" t="s">
        <v>7785</v>
      </c>
      <c r="D3463" s="230"/>
    </row>
    <row r="3464" spans="1:4" ht="14.55" customHeight="1" x14ac:dyDescent="0.25">
      <c r="A3464" s="230" t="s">
        <v>459</v>
      </c>
      <c r="B3464" s="231" t="s">
        <v>126</v>
      </c>
      <c r="C3464" s="230" t="s">
        <v>7786</v>
      </c>
      <c r="D3464" s="230"/>
    </row>
    <row r="3465" spans="1:4" ht="14.55" customHeight="1" outlineLevel="1" x14ac:dyDescent="0.25">
      <c r="A3465" s="230" t="s">
        <v>325</v>
      </c>
      <c r="B3465" s="231" t="s">
        <v>7787</v>
      </c>
      <c r="C3465" s="230" t="s">
        <v>7788</v>
      </c>
      <c r="D3465" s="252"/>
    </row>
    <row r="3466" spans="1:4" ht="14.55" customHeight="1" outlineLevel="1" x14ac:dyDescent="0.25">
      <c r="A3466" s="230" t="s">
        <v>325</v>
      </c>
      <c r="B3466" s="231" t="s">
        <v>7789</v>
      </c>
      <c r="C3466" s="230" t="s">
        <v>7790</v>
      </c>
      <c r="D3466" s="252"/>
    </row>
    <row r="3467" spans="1:4" ht="14.55" customHeight="1" outlineLevel="1" x14ac:dyDescent="0.25">
      <c r="A3467" s="230" t="s">
        <v>325</v>
      </c>
      <c r="B3467" s="231" t="s">
        <v>7791</v>
      </c>
      <c r="C3467" s="230" t="s">
        <v>7792</v>
      </c>
      <c r="D3467" s="252"/>
    </row>
    <row r="3468" spans="1:4" ht="14.55" customHeight="1" outlineLevel="1" x14ac:dyDescent="0.25">
      <c r="A3468" s="230" t="s">
        <v>325</v>
      </c>
      <c r="B3468" s="231" t="s">
        <v>7793</v>
      </c>
      <c r="C3468" s="230" t="s">
        <v>7794</v>
      </c>
      <c r="D3468" s="252"/>
    </row>
    <row r="3469" spans="1:4" ht="14.55" customHeight="1" outlineLevel="1" x14ac:dyDescent="0.25">
      <c r="A3469" s="230" t="s">
        <v>325</v>
      </c>
      <c r="B3469" s="231" t="s">
        <v>7795</v>
      </c>
      <c r="C3469" s="230" t="s">
        <v>7796</v>
      </c>
      <c r="D3469" s="252"/>
    </row>
    <row r="3470" spans="1:4" ht="14.55" customHeight="1" outlineLevel="1" x14ac:dyDescent="0.25">
      <c r="A3470" s="230" t="s">
        <v>325</v>
      </c>
      <c r="B3470" s="231" t="s">
        <v>7797</v>
      </c>
      <c r="C3470" s="230" t="s">
        <v>7798</v>
      </c>
      <c r="D3470" s="252"/>
    </row>
    <row r="3471" spans="1:4" ht="14.55" customHeight="1" outlineLevel="1" x14ac:dyDescent="0.25">
      <c r="A3471" s="230" t="s">
        <v>325</v>
      </c>
      <c r="B3471" s="231" t="s">
        <v>7799</v>
      </c>
      <c r="C3471" s="230" t="s">
        <v>7800</v>
      </c>
      <c r="D3471" s="252"/>
    </row>
    <row r="3472" spans="1:4" ht="14.55" customHeight="1" outlineLevel="1" x14ac:dyDescent="0.25">
      <c r="A3472" s="230" t="s">
        <v>325</v>
      </c>
      <c r="B3472" s="231" t="s">
        <v>7801</v>
      </c>
      <c r="C3472" s="230" t="s">
        <v>7802</v>
      </c>
      <c r="D3472" s="252"/>
    </row>
    <row r="3473" spans="1:4" ht="14.55" customHeight="1" outlineLevel="1" x14ac:dyDescent="0.25">
      <c r="A3473" s="230" t="s">
        <v>325</v>
      </c>
      <c r="B3473" s="231" t="s">
        <v>7803</v>
      </c>
      <c r="C3473" s="230" t="s">
        <v>7804</v>
      </c>
      <c r="D3473" s="252"/>
    </row>
    <row r="3474" spans="1:4" ht="14.55" customHeight="1" outlineLevel="1" x14ac:dyDescent="0.25">
      <c r="A3474" s="230" t="s">
        <v>325</v>
      </c>
      <c r="B3474" s="231" t="s">
        <v>7805</v>
      </c>
      <c r="C3474" s="230" t="s">
        <v>7806</v>
      </c>
      <c r="D3474" s="252"/>
    </row>
    <row r="3475" spans="1:4" ht="14.55" customHeight="1" outlineLevel="1" x14ac:dyDescent="0.25">
      <c r="A3475" s="230" t="s">
        <v>325</v>
      </c>
      <c r="B3475" s="231" t="s">
        <v>7807</v>
      </c>
      <c r="C3475" s="230" t="s">
        <v>7808</v>
      </c>
      <c r="D3475" s="252"/>
    </row>
    <row r="3476" spans="1:4" ht="14.55" customHeight="1" outlineLevel="1" x14ac:dyDescent="0.25">
      <c r="A3476" s="230" t="s">
        <v>325</v>
      </c>
      <c r="B3476" s="231" t="s">
        <v>7809</v>
      </c>
      <c r="C3476" s="230" t="s">
        <v>7810</v>
      </c>
      <c r="D3476" s="252"/>
    </row>
    <row r="3477" spans="1:4" ht="14.55" customHeight="1" outlineLevel="1" x14ac:dyDescent="0.25">
      <c r="A3477" s="230" t="s">
        <v>325</v>
      </c>
      <c r="B3477" s="231" t="s">
        <v>7811</v>
      </c>
      <c r="C3477" s="230" t="s">
        <v>7812</v>
      </c>
      <c r="D3477" s="252"/>
    </row>
    <row r="3478" spans="1:4" ht="14.55" customHeight="1" outlineLevel="1" x14ac:dyDescent="0.25">
      <c r="A3478" s="230" t="s">
        <v>325</v>
      </c>
      <c r="B3478" s="231" t="s">
        <v>7813</v>
      </c>
      <c r="C3478" s="230" t="s">
        <v>7814</v>
      </c>
      <c r="D3478" s="252"/>
    </row>
    <row r="3479" spans="1:4" ht="14.55" customHeight="1" outlineLevel="1" x14ac:dyDescent="0.25">
      <c r="A3479" s="230" t="s">
        <v>325</v>
      </c>
      <c r="B3479" s="231" t="s">
        <v>7815</v>
      </c>
      <c r="C3479" s="230" t="s">
        <v>7816</v>
      </c>
      <c r="D3479" s="252"/>
    </row>
    <row r="3480" spans="1:4" ht="14.55" customHeight="1" outlineLevel="1" x14ac:dyDescent="0.25">
      <c r="A3480" s="230" t="s">
        <v>325</v>
      </c>
      <c r="B3480" s="231" t="s">
        <v>7817</v>
      </c>
      <c r="C3480" s="230" t="s">
        <v>7818</v>
      </c>
      <c r="D3480" s="252"/>
    </row>
    <row r="3481" spans="1:4" ht="14.55" customHeight="1" outlineLevel="1" x14ac:dyDescent="0.25">
      <c r="A3481" s="230" t="s">
        <v>325</v>
      </c>
      <c r="B3481" s="231" t="s">
        <v>7819</v>
      </c>
      <c r="C3481" s="230" t="s">
        <v>7820</v>
      </c>
      <c r="D3481" s="252"/>
    </row>
    <row r="3482" spans="1:4" ht="14.55" customHeight="1" outlineLevel="1" x14ac:dyDescent="0.25">
      <c r="A3482" s="230" t="s">
        <v>325</v>
      </c>
      <c r="B3482" s="231" t="s">
        <v>7821</v>
      </c>
      <c r="C3482" s="230" t="s">
        <v>7822</v>
      </c>
      <c r="D3482" s="252"/>
    </row>
    <row r="3483" spans="1:4" ht="14.55" customHeight="1" outlineLevel="1" x14ac:dyDescent="0.25">
      <c r="A3483" s="230" t="s">
        <v>325</v>
      </c>
      <c r="B3483" s="231" t="s">
        <v>7823</v>
      </c>
      <c r="C3483" s="230" t="s">
        <v>7824</v>
      </c>
      <c r="D3483" s="252"/>
    </row>
    <row r="3484" spans="1:4" ht="14.55" customHeight="1" outlineLevel="1" x14ac:dyDescent="0.25">
      <c r="A3484" s="230" t="s">
        <v>325</v>
      </c>
      <c r="B3484" s="231" t="s">
        <v>7825</v>
      </c>
      <c r="C3484" s="230" t="s">
        <v>7826</v>
      </c>
      <c r="D3484" s="252"/>
    </row>
    <row r="3485" spans="1:4" ht="14.55" customHeight="1" outlineLevel="1" x14ac:dyDescent="0.25">
      <c r="A3485" s="230" t="s">
        <v>325</v>
      </c>
      <c r="B3485" s="231" t="s">
        <v>7827</v>
      </c>
      <c r="C3485" s="230" t="s">
        <v>7828</v>
      </c>
      <c r="D3485" s="252"/>
    </row>
    <row r="3486" spans="1:4" ht="14.55" customHeight="1" outlineLevel="1" x14ac:dyDescent="0.25">
      <c r="A3486" s="230" t="s">
        <v>325</v>
      </c>
      <c r="B3486" s="231" t="s">
        <v>7829</v>
      </c>
      <c r="C3486" s="230" t="s">
        <v>7830</v>
      </c>
      <c r="D3486" s="252"/>
    </row>
    <row r="3487" spans="1:4" ht="14.55" customHeight="1" outlineLevel="1" x14ac:dyDescent="0.25">
      <c r="A3487" s="230" t="s">
        <v>325</v>
      </c>
      <c r="B3487" s="231" t="s">
        <v>7831</v>
      </c>
      <c r="C3487" s="230" t="s">
        <v>7832</v>
      </c>
      <c r="D3487" s="252"/>
    </row>
    <row r="3488" spans="1:4" ht="14.55" customHeight="1" outlineLevel="1" x14ac:dyDescent="0.25">
      <c r="A3488" s="230" t="s">
        <v>325</v>
      </c>
      <c r="B3488" s="231" t="s">
        <v>7833</v>
      </c>
      <c r="C3488" s="230" t="s">
        <v>7834</v>
      </c>
      <c r="D3488" s="252"/>
    </row>
    <row r="3489" spans="1:4" ht="14.55" customHeight="1" outlineLevel="1" x14ac:dyDescent="0.25">
      <c r="A3489" s="230" t="s">
        <v>325</v>
      </c>
      <c r="B3489" s="231" t="s">
        <v>7835</v>
      </c>
      <c r="C3489" s="230" t="s">
        <v>7836</v>
      </c>
      <c r="D3489" s="252"/>
    </row>
    <row r="3490" spans="1:4" ht="14.55" customHeight="1" outlineLevel="1" x14ac:dyDescent="0.25">
      <c r="A3490" s="230" t="s">
        <v>325</v>
      </c>
      <c r="B3490" s="231" t="s">
        <v>7837</v>
      </c>
      <c r="C3490" s="230" t="s">
        <v>7838</v>
      </c>
      <c r="D3490" s="252"/>
    </row>
    <row r="3491" spans="1:4" ht="14.55" customHeight="1" outlineLevel="1" x14ac:dyDescent="0.25">
      <c r="A3491" s="230" t="s">
        <v>325</v>
      </c>
      <c r="B3491" s="231" t="s">
        <v>7839</v>
      </c>
      <c r="C3491" s="230" t="s">
        <v>7840</v>
      </c>
      <c r="D3491" s="252"/>
    </row>
    <row r="3492" spans="1:4" ht="14.55" customHeight="1" outlineLevel="1" x14ac:dyDescent="0.25">
      <c r="A3492" s="230" t="s">
        <v>325</v>
      </c>
      <c r="B3492" s="231" t="s">
        <v>7841</v>
      </c>
      <c r="C3492" s="230" t="s">
        <v>7842</v>
      </c>
      <c r="D3492" s="252"/>
    </row>
    <row r="3493" spans="1:4" ht="14.55" customHeight="1" outlineLevel="1" x14ac:dyDescent="0.25">
      <c r="A3493" s="230" t="s">
        <v>325</v>
      </c>
      <c r="B3493" s="231" t="s">
        <v>7843</v>
      </c>
      <c r="C3493" s="230" t="s">
        <v>7844</v>
      </c>
      <c r="D3493" s="252"/>
    </row>
    <row r="3494" spans="1:4" ht="14.55" customHeight="1" outlineLevel="1" x14ac:dyDescent="0.25">
      <c r="A3494" s="230" t="s">
        <v>325</v>
      </c>
      <c r="B3494" s="231" t="s">
        <v>7845</v>
      </c>
      <c r="C3494" s="230" t="s">
        <v>7846</v>
      </c>
      <c r="D3494" s="252"/>
    </row>
    <row r="3495" spans="1:4" ht="14.55" customHeight="1" outlineLevel="1" x14ac:dyDescent="0.25">
      <c r="A3495" s="230" t="s">
        <v>325</v>
      </c>
      <c r="B3495" s="231" t="s">
        <v>7847</v>
      </c>
      <c r="C3495" s="230" t="s">
        <v>7848</v>
      </c>
      <c r="D3495" s="252"/>
    </row>
    <row r="3496" spans="1:4" ht="14.55" customHeight="1" outlineLevel="1" x14ac:dyDescent="0.25">
      <c r="A3496" s="230" t="s">
        <v>325</v>
      </c>
      <c r="B3496" s="231" t="s">
        <v>7849</v>
      </c>
      <c r="C3496" s="230" t="s">
        <v>7850</v>
      </c>
      <c r="D3496" s="252"/>
    </row>
    <row r="3497" spans="1:4" ht="14.55" customHeight="1" outlineLevel="1" x14ac:dyDescent="0.25">
      <c r="A3497" s="230" t="s">
        <v>325</v>
      </c>
      <c r="B3497" s="231" t="s">
        <v>7851</v>
      </c>
      <c r="C3497" s="230" t="s">
        <v>7852</v>
      </c>
      <c r="D3497" s="252"/>
    </row>
    <row r="3498" spans="1:4" ht="14.55" customHeight="1" outlineLevel="1" x14ac:dyDescent="0.25">
      <c r="A3498" s="230" t="s">
        <v>325</v>
      </c>
      <c r="B3498" s="231" t="s">
        <v>7853</v>
      </c>
      <c r="C3498" s="230" t="s">
        <v>7854</v>
      </c>
      <c r="D3498" s="252"/>
    </row>
    <row r="3499" spans="1:4" ht="14.55" customHeight="1" outlineLevel="1" x14ac:dyDescent="0.25">
      <c r="A3499" s="230" t="s">
        <v>325</v>
      </c>
      <c r="B3499" s="231" t="s">
        <v>7855</v>
      </c>
      <c r="C3499" s="230" t="s">
        <v>7856</v>
      </c>
      <c r="D3499" s="252"/>
    </row>
    <row r="3500" spans="1:4" ht="14.55" customHeight="1" outlineLevel="1" x14ac:dyDescent="0.25">
      <c r="A3500" s="230" t="s">
        <v>325</v>
      </c>
      <c r="B3500" s="231" t="s">
        <v>7857</v>
      </c>
      <c r="C3500" s="230" t="s">
        <v>7858</v>
      </c>
      <c r="D3500" s="252"/>
    </row>
    <row r="3501" spans="1:4" ht="14.55" customHeight="1" outlineLevel="1" x14ac:dyDescent="0.25">
      <c r="A3501" s="230" t="s">
        <v>325</v>
      </c>
      <c r="B3501" s="231" t="s">
        <v>7859</v>
      </c>
      <c r="C3501" s="230" t="s">
        <v>7860</v>
      </c>
      <c r="D3501" s="252"/>
    </row>
    <row r="3502" spans="1:4" ht="14.55" customHeight="1" outlineLevel="1" x14ac:dyDescent="0.25">
      <c r="A3502" s="230" t="s">
        <v>325</v>
      </c>
      <c r="B3502" s="231" t="s">
        <v>7861</v>
      </c>
      <c r="C3502" s="230" t="s">
        <v>7862</v>
      </c>
      <c r="D3502" s="252"/>
    </row>
    <row r="3503" spans="1:4" ht="14.55" customHeight="1" outlineLevel="1" x14ac:dyDescent="0.25">
      <c r="A3503" s="230" t="s">
        <v>325</v>
      </c>
      <c r="B3503" s="231" t="s">
        <v>7863</v>
      </c>
      <c r="C3503" s="230" t="s">
        <v>7864</v>
      </c>
      <c r="D3503" s="252"/>
    </row>
    <row r="3504" spans="1:4" ht="14.55" customHeight="1" outlineLevel="1" x14ac:dyDescent="0.25">
      <c r="A3504" s="230" t="s">
        <v>325</v>
      </c>
      <c r="B3504" s="231" t="s">
        <v>7865</v>
      </c>
      <c r="C3504" s="230" t="s">
        <v>7866</v>
      </c>
      <c r="D3504" s="252"/>
    </row>
    <row r="3505" spans="1:4" ht="14.55" customHeight="1" outlineLevel="1" x14ac:dyDescent="0.25">
      <c r="A3505" s="230" t="s">
        <v>325</v>
      </c>
      <c r="B3505" s="231" t="s">
        <v>7867</v>
      </c>
      <c r="C3505" s="230" t="s">
        <v>7868</v>
      </c>
      <c r="D3505" s="252"/>
    </row>
    <row r="3506" spans="1:4" ht="14.55" customHeight="1" outlineLevel="1" x14ac:dyDescent="0.25">
      <c r="A3506" s="230" t="s">
        <v>325</v>
      </c>
      <c r="B3506" s="231" t="s">
        <v>7869</v>
      </c>
      <c r="C3506" s="230" t="s">
        <v>7870</v>
      </c>
      <c r="D3506" s="252"/>
    </row>
    <row r="3507" spans="1:4" ht="14.55" customHeight="1" outlineLevel="1" x14ac:dyDescent="0.25">
      <c r="A3507" s="230" t="s">
        <v>325</v>
      </c>
      <c r="B3507" s="231" t="s">
        <v>7871</v>
      </c>
      <c r="C3507" s="230" t="s">
        <v>7872</v>
      </c>
      <c r="D3507" s="252"/>
    </row>
    <row r="3508" spans="1:4" ht="14.55" customHeight="1" outlineLevel="1" x14ac:dyDescent="0.25">
      <c r="A3508" s="230" t="s">
        <v>325</v>
      </c>
      <c r="B3508" s="231" t="s">
        <v>7873</v>
      </c>
      <c r="C3508" s="230" t="s">
        <v>7874</v>
      </c>
      <c r="D3508" s="252"/>
    </row>
    <row r="3509" spans="1:4" ht="14.55" customHeight="1" outlineLevel="1" x14ac:dyDescent="0.25">
      <c r="A3509" s="230" t="s">
        <v>325</v>
      </c>
      <c r="B3509" s="231" t="s">
        <v>7875</v>
      </c>
      <c r="C3509" s="230" t="s">
        <v>7876</v>
      </c>
      <c r="D3509" s="252"/>
    </row>
    <row r="3510" spans="1:4" ht="14.55" customHeight="1" outlineLevel="1" x14ac:dyDescent="0.25">
      <c r="A3510" s="230" t="s">
        <v>325</v>
      </c>
      <c r="B3510" s="231" t="s">
        <v>7877</v>
      </c>
      <c r="C3510" s="230" t="s">
        <v>7878</v>
      </c>
      <c r="D3510" s="252"/>
    </row>
    <row r="3511" spans="1:4" ht="14.55" customHeight="1" outlineLevel="1" x14ac:dyDescent="0.25">
      <c r="A3511" s="230" t="s">
        <v>325</v>
      </c>
      <c r="B3511" s="231" t="s">
        <v>7879</v>
      </c>
      <c r="C3511" s="230" t="s">
        <v>7880</v>
      </c>
      <c r="D3511" s="252"/>
    </row>
    <row r="3512" spans="1:4" ht="14.55" customHeight="1" outlineLevel="1" x14ac:dyDescent="0.25">
      <c r="A3512" s="230" t="s">
        <v>325</v>
      </c>
      <c r="B3512" s="231" t="s">
        <v>7881</v>
      </c>
      <c r="C3512" s="230" t="s">
        <v>7882</v>
      </c>
      <c r="D3512" s="252"/>
    </row>
    <row r="3513" spans="1:4" ht="14.55" customHeight="1" outlineLevel="1" x14ac:dyDescent="0.25">
      <c r="A3513" s="230" t="s">
        <v>325</v>
      </c>
      <c r="B3513" s="231" t="s">
        <v>7883</v>
      </c>
      <c r="C3513" s="230" t="s">
        <v>7884</v>
      </c>
      <c r="D3513" s="252"/>
    </row>
    <row r="3514" spans="1:4" ht="14.55" customHeight="1" outlineLevel="1" x14ac:dyDescent="0.25">
      <c r="A3514" s="230" t="s">
        <v>325</v>
      </c>
      <c r="B3514" s="231" t="s">
        <v>7885</v>
      </c>
      <c r="C3514" s="230" t="s">
        <v>7886</v>
      </c>
      <c r="D3514" s="252"/>
    </row>
    <row r="3515" spans="1:4" ht="14.55" customHeight="1" outlineLevel="1" x14ac:dyDescent="0.25">
      <c r="A3515" s="230" t="s">
        <v>325</v>
      </c>
      <c r="B3515" s="231" t="s">
        <v>7887</v>
      </c>
      <c r="C3515" s="230" t="s">
        <v>7888</v>
      </c>
      <c r="D3515" s="252"/>
    </row>
    <row r="3516" spans="1:4" ht="14.55" customHeight="1" outlineLevel="1" x14ac:dyDescent="0.25">
      <c r="A3516" s="230" t="s">
        <v>325</v>
      </c>
      <c r="B3516" s="231" t="s">
        <v>7889</v>
      </c>
      <c r="C3516" s="230" t="s">
        <v>7890</v>
      </c>
      <c r="D3516" s="252"/>
    </row>
    <row r="3517" spans="1:4" ht="14.55" customHeight="1" outlineLevel="1" x14ac:dyDescent="0.25">
      <c r="A3517" s="230" t="s">
        <v>325</v>
      </c>
      <c r="B3517" s="231" t="s">
        <v>7891</v>
      </c>
      <c r="C3517" s="230" t="s">
        <v>7892</v>
      </c>
      <c r="D3517" s="252"/>
    </row>
    <row r="3518" spans="1:4" ht="14.55" customHeight="1" outlineLevel="1" x14ac:dyDescent="0.25">
      <c r="A3518" s="230" t="s">
        <v>325</v>
      </c>
      <c r="B3518" s="231" t="s">
        <v>7893</v>
      </c>
      <c r="C3518" s="230" t="s">
        <v>7894</v>
      </c>
      <c r="D3518" s="252"/>
    </row>
    <row r="3519" spans="1:4" ht="14.55" customHeight="1" outlineLevel="1" x14ac:dyDescent="0.25">
      <c r="A3519" s="230" t="s">
        <v>325</v>
      </c>
      <c r="B3519" s="231" t="s">
        <v>7895</v>
      </c>
      <c r="C3519" s="230" t="s">
        <v>7896</v>
      </c>
      <c r="D3519" s="252"/>
    </row>
    <row r="3520" spans="1:4" ht="14.55" customHeight="1" outlineLevel="1" x14ac:dyDescent="0.25">
      <c r="A3520" s="230" t="s">
        <v>325</v>
      </c>
      <c r="B3520" s="231" t="s">
        <v>7897</v>
      </c>
      <c r="C3520" s="230" t="s">
        <v>7898</v>
      </c>
      <c r="D3520" s="252"/>
    </row>
    <row r="3521" spans="1:4" ht="14.55" customHeight="1" outlineLevel="1" x14ac:dyDescent="0.25">
      <c r="A3521" s="230" t="s">
        <v>325</v>
      </c>
      <c r="B3521" s="231" t="s">
        <v>7899</v>
      </c>
      <c r="C3521" s="230" t="s">
        <v>7900</v>
      </c>
      <c r="D3521" s="252"/>
    </row>
    <row r="3522" spans="1:4" ht="14.55" customHeight="1" outlineLevel="1" x14ac:dyDescent="0.25">
      <c r="A3522" s="230" t="s">
        <v>325</v>
      </c>
      <c r="B3522" s="231" t="s">
        <v>7901</v>
      </c>
      <c r="C3522" s="230" t="s">
        <v>7902</v>
      </c>
      <c r="D3522" s="252"/>
    </row>
    <row r="3523" spans="1:4" ht="14.55" customHeight="1" outlineLevel="1" x14ac:dyDescent="0.25">
      <c r="A3523" s="230" t="s">
        <v>325</v>
      </c>
      <c r="B3523" s="231" t="s">
        <v>7903</v>
      </c>
      <c r="C3523" s="230" t="s">
        <v>7904</v>
      </c>
      <c r="D3523" s="252"/>
    </row>
    <row r="3524" spans="1:4" ht="14.55" customHeight="1" outlineLevel="1" x14ac:dyDescent="0.25">
      <c r="A3524" s="230" t="s">
        <v>325</v>
      </c>
      <c r="B3524" s="231" t="s">
        <v>7905</v>
      </c>
      <c r="C3524" s="230" t="s">
        <v>7906</v>
      </c>
      <c r="D3524" s="252"/>
    </row>
    <row r="3525" spans="1:4" ht="14.55" customHeight="1" outlineLevel="1" x14ac:dyDescent="0.25">
      <c r="A3525" s="230" t="s">
        <v>325</v>
      </c>
      <c r="B3525" s="231" t="s">
        <v>7907</v>
      </c>
      <c r="C3525" s="230" t="s">
        <v>7908</v>
      </c>
      <c r="D3525" s="252"/>
    </row>
    <row r="3526" spans="1:4" ht="14.55" customHeight="1" outlineLevel="1" x14ac:dyDescent="0.25">
      <c r="A3526" s="230" t="s">
        <v>325</v>
      </c>
      <c r="B3526" s="231" t="s">
        <v>7909</v>
      </c>
      <c r="C3526" s="230" t="s">
        <v>7910</v>
      </c>
      <c r="D3526" s="252"/>
    </row>
    <row r="3527" spans="1:4" ht="14.55" customHeight="1" outlineLevel="1" x14ac:dyDescent="0.25">
      <c r="A3527" s="230" t="s">
        <v>325</v>
      </c>
      <c r="B3527" s="231" t="s">
        <v>7911</v>
      </c>
      <c r="C3527" s="230" t="s">
        <v>7912</v>
      </c>
      <c r="D3527" s="252"/>
    </row>
    <row r="3528" spans="1:4" ht="14.55" customHeight="1" outlineLevel="1" x14ac:dyDescent="0.25">
      <c r="A3528" s="230" t="s">
        <v>325</v>
      </c>
      <c r="B3528" s="231" t="s">
        <v>7913</v>
      </c>
      <c r="C3528" s="230" t="s">
        <v>7914</v>
      </c>
      <c r="D3528" s="252"/>
    </row>
    <row r="3529" spans="1:4" ht="14.55" customHeight="1" outlineLevel="1" x14ac:dyDescent="0.25">
      <c r="A3529" s="230" t="s">
        <v>325</v>
      </c>
      <c r="B3529" s="231" t="s">
        <v>7915</v>
      </c>
      <c r="C3529" s="230" t="s">
        <v>7916</v>
      </c>
      <c r="D3529" s="252"/>
    </row>
    <row r="3530" spans="1:4" ht="14.55" customHeight="1" outlineLevel="1" x14ac:dyDescent="0.25">
      <c r="A3530" s="230" t="s">
        <v>325</v>
      </c>
      <c r="B3530" s="231" t="s">
        <v>7917</v>
      </c>
      <c r="C3530" s="230" t="s">
        <v>7918</v>
      </c>
      <c r="D3530" s="252"/>
    </row>
    <row r="3531" spans="1:4" ht="14.55" customHeight="1" outlineLevel="1" x14ac:dyDescent="0.25">
      <c r="A3531" s="230" t="s">
        <v>325</v>
      </c>
      <c r="B3531" s="231" t="s">
        <v>7919</v>
      </c>
      <c r="C3531" s="230" t="s">
        <v>7920</v>
      </c>
      <c r="D3531" s="252"/>
    </row>
    <row r="3532" spans="1:4" ht="14.55" customHeight="1" outlineLevel="1" x14ac:dyDescent="0.25">
      <c r="A3532" s="230" t="s">
        <v>325</v>
      </c>
      <c r="B3532" s="231" t="s">
        <v>7921</v>
      </c>
      <c r="C3532" s="230" t="s">
        <v>7922</v>
      </c>
      <c r="D3532" s="252"/>
    </row>
    <row r="3533" spans="1:4" ht="14.55" customHeight="1" outlineLevel="1" x14ac:dyDescent="0.25">
      <c r="A3533" s="230" t="s">
        <v>325</v>
      </c>
      <c r="B3533" s="231" t="s">
        <v>7923</v>
      </c>
      <c r="C3533" s="230" t="s">
        <v>7924</v>
      </c>
      <c r="D3533" s="252"/>
    </row>
    <row r="3534" spans="1:4" ht="14.55" customHeight="1" outlineLevel="1" x14ac:dyDescent="0.25">
      <c r="A3534" s="230" t="s">
        <v>325</v>
      </c>
      <c r="B3534" s="231" t="s">
        <v>7925</v>
      </c>
      <c r="C3534" s="230" t="s">
        <v>7926</v>
      </c>
      <c r="D3534" s="252"/>
    </row>
    <row r="3535" spans="1:4" ht="14.55" customHeight="1" outlineLevel="1" x14ac:dyDescent="0.25">
      <c r="A3535" s="230" t="s">
        <v>325</v>
      </c>
      <c r="B3535" s="231" t="s">
        <v>7927</v>
      </c>
      <c r="C3535" s="230" t="s">
        <v>7928</v>
      </c>
      <c r="D3535" s="252"/>
    </row>
    <row r="3536" spans="1:4" ht="14.55" customHeight="1" outlineLevel="1" x14ac:dyDescent="0.25">
      <c r="A3536" s="230" t="s">
        <v>325</v>
      </c>
      <c r="B3536" s="231" t="s">
        <v>7929</v>
      </c>
      <c r="C3536" s="230" t="s">
        <v>7930</v>
      </c>
      <c r="D3536" s="252"/>
    </row>
    <row r="3537" spans="1:4" ht="14.55" customHeight="1" outlineLevel="1" x14ac:dyDescent="0.25">
      <c r="A3537" s="230" t="s">
        <v>325</v>
      </c>
      <c r="B3537" s="231" t="s">
        <v>7931</v>
      </c>
      <c r="C3537" s="230" t="s">
        <v>7932</v>
      </c>
      <c r="D3537" s="252"/>
    </row>
    <row r="3538" spans="1:4" ht="14.55" customHeight="1" outlineLevel="1" x14ac:dyDescent="0.25">
      <c r="A3538" s="230" t="s">
        <v>325</v>
      </c>
      <c r="B3538" s="231" t="s">
        <v>7933</v>
      </c>
      <c r="C3538" s="230" t="s">
        <v>7934</v>
      </c>
      <c r="D3538" s="252"/>
    </row>
    <row r="3539" spans="1:4" ht="14.55" customHeight="1" outlineLevel="1" x14ac:dyDescent="0.25">
      <c r="A3539" s="230" t="s">
        <v>325</v>
      </c>
      <c r="B3539" s="231" t="s">
        <v>7935</v>
      </c>
      <c r="C3539" s="230" t="s">
        <v>7936</v>
      </c>
      <c r="D3539" s="252"/>
    </row>
    <row r="3540" spans="1:4" ht="14.55" customHeight="1" outlineLevel="1" x14ac:dyDescent="0.25">
      <c r="A3540" s="230" t="s">
        <v>325</v>
      </c>
      <c r="B3540" s="231" t="s">
        <v>7937</v>
      </c>
      <c r="C3540" s="230" t="s">
        <v>7938</v>
      </c>
      <c r="D3540" s="252"/>
    </row>
    <row r="3541" spans="1:4" ht="14.55" customHeight="1" outlineLevel="1" x14ac:dyDescent="0.25">
      <c r="A3541" s="230" t="s">
        <v>325</v>
      </c>
      <c r="B3541" s="231" t="s">
        <v>7939</v>
      </c>
      <c r="C3541" s="230" t="s">
        <v>7940</v>
      </c>
      <c r="D3541" s="252"/>
    </row>
    <row r="3542" spans="1:4" ht="14.55" customHeight="1" outlineLevel="1" x14ac:dyDescent="0.25">
      <c r="A3542" s="230" t="s">
        <v>325</v>
      </c>
      <c r="B3542" s="231" t="s">
        <v>7941</v>
      </c>
      <c r="C3542" s="230" t="s">
        <v>7942</v>
      </c>
      <c r="D3542" s="252"/>
    </row>
    <row r="3543" spans="1:4" ht="14.55" customHeight="1" outlineLevel="1" x14ac:dyDescent="0.25">
      <c r="A3543" s="230" t="s">
        <v>325</v>
      </c>
      <c r="B3543" s="231" t="s">
        <v>7943</v>
      </c>
      <c r="C3543" s="230" t="s">
        <v>7944</v>
      </c>
      <c r="D3543" s="252"/>
    </row>
    <row r="3544" spans="1:4" ht="14.55" customHeight="1" outlineLevel="1" x14ac:dyDescent="0.25">
      <c r="A3544" s="230" t="s">
        <v>325</v>
      </c>
      <c r="B3544" s="231" t="s">
        <v>7945</v>
      </c>
      <c r="C3544" s="230" t="s">
        <v>7946</v>
      </c>
      <c r="D3544" s="252"/>
    </row>
    <row r="3545" spans="1:4" ht="14.55" customHeight="1" outlineLevel="1" x14ac:dyDescent="0.25">
      <c r="A3545" s="230" t="s">
        <v>325</v>
      </c>
      <c r="B3545" s="231" t="s">
        <v>7947</v>
      </c>
      <c r="C3545" s="230" t="s">
        <v>7948</v>
      </c>
      <c r="D3545" s="252"/>
    </row>
    <row r="3546" spans="1:4" ht="14.55" customHeight="1" outlineLevel="1" x14ac:dyDescent="0.25">
      <c r="A3546" s="230" t="s">
        <v>325</v>
      </c>
      <c r="B3546" s="231" t="s">
        <v>7949</v>
      </c>
      <c r="C3546" s="230" t="s">
        <v>7950</v>
      </c>
      <c r="D3546" s="252"/>
    </row>
    <row r="3547" spans="1:4" ht="14.55" customHeight="1" outlineLevel="1" x14ac:dyDescent="0.25">
      <c r="A3547" s="230" t="s">
        <v>325</v>
      </c>
      <c r="B3547" s="231" t="s">
        <v>7951</v>
      </c>
      <c r="C3547" s="230" t="s">
        <v>7952</v>
      </c>
      <c r="D3547" s="252"/>
    </row>
    <row r="3548" spans="1:4" ht="14.55" customHeight="1" outlineLevel="1" x14ac:dyDescent="0.25">
      <c r="A3548" s="230" t="s">
        <v>325</v>
      </c>
      <c r="B3548" s="231" t="s">
        <v>7953</v>
      </c>
      <c r="C3548" s="230" t="s">
        <v>7954</v>
      </c>
      <c r="D3548" s="252"/>
    </row>
    <row r="3549" spans="1:4" ht="14.55" customHeight="1" outlineLevel="1" x14ac:dyDescent="0.25">
      <c r="A3549" s="230" t="s">
        <v>325</v>
      </c>
      <c r="B3549" s="231" t="s">
        <v>7955</v>
      </c>
      <c r="C3549" s="230" t="s">
        <v>7956</v>
      </c>
      <c r="D3549" s="252"/>
    </row>
    <row r="3550" spans="1:4" ht="14.55" customHeight="1" outlineLevel="1" x14ac:dyDescent="0.25">
      <c r="A3550" s="230" t="s">
        <v>325</v>
      </c>
      <c r="B3550" s="231" t="s">
        <v>7957</v>
      </c>
      <c r="C3550" s="230" t="s">
        <v>7958</v>
      </c>
      <c r="D3550" s="252"/>
    </row>
    <row r="3551" spans="1:4" ht="14.55" customHeight="1" outlineLevel="1" x14ac:dyDescent="0.25">
      <c r="A3551" s="230" t="s">
        <v>325</v>
      </c>
      <c r="B3551" s="231" t="s">
        <v>7959</v>
      </c>
      <c r="C3551" s="230" t="s">
        <v>7960</v>
      </c>
      <c r="D3551" s="252"/>
    </row>
    <row r="3552" spans="1:4" ht="14.55" customHeight="1" outlineLevel="1" x14ac:dyDescent="0.25">
      <c r="A3552" s="230" t="s">
        <v>325</v>
      </c>
      <c r="B3552" s="231" t="s">
        <v>7961</v>
      </c>
      <c r="C3552" s="230" t="s">
        <v>7962</v>
      </c>
      <c r="D3552" s="252"/>
    </row>
    <row r="3553" spans="1:4" ht="14.55" customHeight="1" outlineLevel="1" x14ac:dyDescent="0.25">
      <c r="A3553" s="230" t="s">
        <v>325</v>
      </c>
      <c r="B3553" s="231" t="s">
        <v>7963</v>
      </c>
      <c r="C3553" s="230" t="s">
        <v>7964</v>
      </c>
      <c r="D3553" s="252"/>
    </row>
    <row r="3554" spans="1:4" ht="14.55" customHeight="1" outlineLevel="1" x14ac:dyDescent="0.25">
      <c r="A3554" s="230" t="s">
        <v>325</v>
      </c>
      <c r="B3554" s="231" t="s">
        <v>7965</v>
      </c>
      <c r="C3554" s="230" t="s">
        <v>7966</v>
      </c>
      <c r="D3554" s="252"/>
    </row>
    <row r="3555" spans="1:4" ht="14.55" customHeight="1" outlineLevel="1" x14ac:dyDescent="0.25">
      <c r="A3555" s="230" t="s">
        <v>325</v>
      </c>
      <c r="B3555" s="231" t="s">
        <v>7967</v>
      </c>
      <c r="C3555" s="230" t="s">
        <v>7968</v>
      </c>
      <c r="D3555" s="252"/>
    </row>
    <row r="3556" spans="1:4" ht="14.55" customHeight="1" outlineLevel="1" x14ac:dyDescent="0.25">
      <c r="A3556" s="230" t="s">
        <v>325</v>
      </c>
      <c r="B3556" s="231" t="s">
        <v>7969</v>
      </c>
      <c r="C3556" s="230" t="s">
        <v>7970</v>
      </c>
      <c r="D3556" s="252"/>
    </row>
    <row r="3557" spans="1:4" ht="14.55" customHeight="1" outlineLevel="1" x14ac:dyDescent="0.25">
      <c r="A3557" s="230" t="s">
        <v>325</v>
      </c>
      <c r="B3557" s="231" t="s">
        <v>7971</v>
      </c>
      <c r="C3557" s="230" t="s">
        <v>7972</v>
      </c>
      <c r="D3557" s="252"/>
    </row>
    <row r="3558" spans="1:4" ht="14.55" customHeight="1" outlineLevel="1" x14ac:dyDescent="0.25">
      <c r="A3558" s="230" t="s">
        <v>325</v>
      </c>
      <c r="B3558" s="231" t="s">
        <v>7973</v>
      </c>
      <c r="C3558" s="230" t="s">
        <v>7974</v>
      </c>
      <c r="D3558" s="252"/>
    </row>
    <row r="3559" spans="1:4" ht="14.55" customHeight="1" outlineLevel="1" x14ac:dyDescent="0.25">
      <c r="A3559" s="230" t="s">
        <v>325</v>
      </c>
      <c r="B3559" s="231" t="s">
        <v>7975</v>
      </c>
      <c r="C3559" s="230" t="s">
        <v>7976</v>
      </c>
      <c r="D3559" s="252"/>
    </row>
    <row r="3560" spans="1:4" ht="14.55" customHeight="1" outlineLevel="1" x14ac:dyDescent="0.25">
      <c r="A3560" s="230" t="s">
        <v>325</v>
      </c>
      <c r="B3560" s="231" t="s">
        <v>7977</v>
      </c>
      <c r="C3560" s="230" t="s">
        <v>7978</v>
      </c>
      <c r="D3560" s="252"/>
    </row>
    <row r="3561" spans="1:4" ht="14.55" customHeight="1" outlineLevel="1" x14ac:dyDescent="0.25">
      <c r="A3561" s="230" t="s">
        <v>325</v>
      </c>
      <c r="B3561" s="231" t="s">
        <v>7979</v>
      </c>
      <c r="C3561" s="230" t="s">
        <v>7980</v>
      </c>
      <c r="D3561" s="252"/>
    </row>
    <row r="3562" spans="1:4" ht="14.55" customHeight="1" outlineLevel="1" x14ac:dyDescent="0.25">
      <c r="A3562" s="230" t="s">
        <v>325</v>
      </c>
      <c r="B3562" s="231" t="s">
        <v>7981</v>
      </c>
      <c r="C3562" s="230" t="s">
        <v>7982</v>
      </c>
      <c r="D3562" s="252"/>
    </row>
    <row r="3563" spans="1:4" ht="14.55" customHeight="1" outlineLevel="1" x14ac:dyDescent="0.25">
      <c r="A3563" s="230" t="s">
        <v>325</v>
      </c>
      <c r="B3563" s="231" t="s">
        <v>7983</v>
      </c>
      <c r="C3563" s="230" t="s">
        <v>7984</v>
      </c>
      <c r="D3563" s="252"/>
    </row>
    <row r="3564" spans="1:4" ht="14.55" customHeight="1" outlineLevel="1" x14ac:dyDescent="0.25">
      <c r="A3564" s="230" t="s">
        <v>325</v>
      </c>
      <c r="B3564" s="231" t="s">
        <v>7985</v>
      </c>
      <c r="C3564" s="230" t="s">
        <v>7986</v>
      </c>
      <c r="D3564" s="252"/>
    </row>
    <row r="3565" spans="1:4" ht="14.55" customHeight="1" outlineLevel="1" x14ac:dyDescent="0.25">
      <c r="A3565" s="230" t="s">
        <v>325</v>
      </c>
      <c r="B3565" s="231" t="s">
        <v>7987</v>
      </c>
      <c r="C3565" s="230" t="s">
        <v>7988</v>
      </c>
      <c r="D3565" s="252"/>
    </row>
    <row r="3566" spans="1:4" ht="14.55" customHeight="1" outlineLevel="1" x14ac:dyDescent="0.25">
      <c r="A3566" s="230" t="s">
        <v>325</v>
      </c>
      <c r="B3566" s="231" t="s">
        <v>7989</v>
      </c>
      <c r="C3566" s="230" t="s">
        <v>7990</v>
      </c>
      <c r="D3566" s="252"/>
    </row>
    <row r="3567" spans="1:4" ht="14.55" customHeight="1" outlineLevel="1" x14ac:dyDescent="0.25">
      <c r="A3567" s="230" t="s">
        <v>325</v>
      </c>
      <c r="B3567" s="231" t="s">
        <v>7991</v>
      </c>
      <c r="C3567" s="230" t="s">
        <v>7992</v>
      </c>
      <c r="D3567" s="252"/>
    </row>
    <row r="3568" spans="1:4" ht="14.55" customHeight="1" outlineLevel="1" x14ac:dyDescent="0.25">
      <c r="A3568" s="230" t="s">
        <v>325</v>
      </c>
      <c r="B3568" s="231" t="s">
        <v>7993</v>
      </c>
      <c r="C3568" s="230" t="s">
        <v>7994</v>
      </c>
      <c r="D3568" s="252"/>
    </row>
    <row r="3569" spans="1:4" ht="14.55" customHeight="1" outlineLevel="1" x14ac:dyDescent="0.25">
      <c r="A3569" s="230" t="s">
        <v>325</v>
      </c>
      <c r="B3569" s="231" t="s">
        <v>7995</v>
      </c>
      <c r="C3569" s="230" t="s">
        <v>7996</v>
      </c>
      <c r="D3569" s="252"/>
    </row>
    <row r="3570" spans="1:4" ht="14.55" customHeight="1" outlineLevel="1" x14ac:dyDescent="0.25">
      <c r="A3570" s="230" t="s">
        <v>325</v>
      </c>
      <c r="B3570" s="231" t="s">
        <v>7997</v>
      </c>
      <c r="C3570" s="230" t="s">
        <v>7998</v>
      </c>
      <c r="D3570" s="252"/>
    </row>
    <row r="3571" spans="1:4" ht="14.55" customHeight="1" outlineLevel="1" x14ac:dyDescent="0.25">
      <c r="A3571" s="230" t="s">
        <v>325</v>
      </c>
      <c r="B3571" s="231" t="s">
        <v>7999</v>
      </c>
      <c r="C3571" s="230" t="s">
        <v>8000</v>
      </c>
      <c r="D3571" s="252"/>
    </row>
    <row r="3572" spans="1:4" ht="14.55" customHeight="1" outlineLevel="1" x14ac:dyDescent="0.25">
      <c r="A3572" s="230" t="s">
        <v>325</v>
      </c>
      <c r="B3572" s="231" t="s">
        <v>8001</v>
      </c>
      <c r="C3572" s="230" t="s">
        <v>8002</v>
      </c>
      <c r="D3572" s="252"/>
    </row>
    <row r="3573" spans="1:4" ht="14.55" customHeight="1" outlineLevel="1" x14ac:dyDescent="0.25">
      <c r="A3573" s="230" t="s">
        <v>325</v>
      </c>
      <c r="B3573" s="231" t="s">
        <v>8003</v>
      </c>
      <c r="C3573" s="230" t="s">
        <v>8004</v>
      </c>
      <c r="D3573" s="252"/>
    </row>
    <row r="3574" spans="1:4" ht="14.55" customHeight="1" outlineLevel="1" x14ac:dyDescent="0.25">
      <c r="A3574" s="230" t="s">
        <v>325</v>
      </c>
      <c r="B3574" s="231" t="s">
        <v>8005</v>
      </c>
      <c r="C3574" s="230" t="s">
        <v>8006</v>
      </c>
      <c r="D3574" s="252"/>
    </row>
    <row r="3575" spans="1:4" ht="14.55" customHeight="1" outlineLevel="1" x14ac:dyDescent="0.25">
      <c r="A3575" s="230" t="s">
        <v>325</v>
      </c>
      <c r="B3575" s="231" t="s">
        <v>8007</v>
      </c>
      <c r="C3575" s="230" t="s">
        <v>8008</v>
      </c>
      <c r="D3575" s="252"/>
    </row>
    <row r="3576" spans="1:4" ht="14.55" customHeight="1" outlineLevel="1" x14ac:dyDescent="0.25">
      <c r="A3576" s="230" t="s">
        <v>325</v>
      </c>
      <c r="B3576" s="231" t="s">
        <v>8009</v>
      </c>
      <c r="C3576" s="230" t="s">
        <v>8010</v>
      </c>
      <c r="D3576" s="252"/>
    </row>
    <row r="3577" spans="1:4" ht="14.55" customHeight="1" outlineLevel="1" x14ac:dyDescent="0.25">
      <c r="A3577" s="230" t="s">
        <v>325</v>
      </c>
      <c r="B3577" s="231" t="s">
        <v>8011</v>
      </c>
      <c r="C3577" s="230" t="s">
        <v>8012</v>
      </c>
      <c r="D3577" s="252"/>
    </row>
    <row r="3578" spans="1:4" ht="14.55" customHeight="1" outlineLevel="1" x14ac:dyDescent="0.25">
      <c r="A3578" s="230" t="s">
        <v>325</v>
      </c>
      <c r="B3578" s="231" t="s">
        <v>8013</v>
      </c>
      <c r="C3578" s="230" t="s">
        <v>8014</v>
      </c>
      <c r="D3578" s="252"/>
    </row>
    <row r="3579" spans="1:4" ht="14.55" customHeight="1" outlineLevel="1" x14ac:dyDescent="0.25">
      <c r="A3579" s="230" t="s">
        <v>325</v>
      </c>
      <c r="B3579" s="231" t="s">
        <v>8015</v>
      </c>
      <c r="C3579" s="230" t="s">
        <v>8016</v>
      </c>
      <c r="D3579" s="252"/>
    </row>
    <row r="3580" spans="1:4" ht="14.55" customHeight="1" outlineLevel="1" x14ac:dyDescent="0.25">
      <c r="A3580" s="230" t="s">
        <v>325</v>
      </c>
      <c r="B3580" s="231" t="s">
        <v>8017</v>
      </c>
      <c r="C3580" s="230" t="s">
        <v>8018</v>
      </c>
      <c r="D3580" s="252"/>
    </row>
    <row r="3581" spans="1:4" ht="14.55" customHeight="1" outlineLevel="1" x14ac:dyDescent="0.25">
      <c r="A3581" s="230" t="s">
        <v>325</v>
      </c>
      <c r="B3581" s="231" t="s">
        <v>8019</v>
      </c>
      <c r="C3581" s="230" t="s">
        <v>8020</v>
      </c>
      <c r="D3581" s="252"/>
    </row>
    <row r="3582" spans="1:4" ht="14.55" customHeight="1" outlineLevel="1" x14ac:dyDescent="0.25">
      <c r="A3582" s="230" t="s">
        <v>325</v>
      </c>
      <c r="B3582" s="231" t="s">
        <v>8021</v>
      </c>
      <c r="C3582" s="230" t="s">
        <v>8022</v>
      </c>
      <c r="D3582" s="252"/>
    </row>
    <row r="3583" spans="1:4" ht="14.55" customHeight="1" outlineLevel="1" x14ac:dyDescent="0.25">
      <c r="A3583" s="230" t="s">
        <v>325</v>
      </c>
      <c r="B3583" s="231" t="s">
        <v>8023</v>
      </c>
      <c r="C3583" s="230" t="s">
        <v>8024</v>
      </c>
      <c r="D3583" s="252"/>
    </row>
    <row r="3584" spans="1:4" ht="14.55" customHeight="1" outlineLevel="1" x14ac:dyDescent="0.25">
      <c r="A3584" s="230" t="s">
        <v>325</v>
      </c>
      <c r="B3584" s="231" t="s">
        <v>8025</v>
      </c>
      <c r="C3584" s="230" t="s">
        <v>8026</v>
      </c>
      <c r="D3584" s="252"/>
    </row>
    <row r="3585" spans="1:4" ht="14.55" customHeight="1" outlineLevel="1" x14ac:dyDescent="0.25">
      <c r="A3585" s="230" t="s">
        <v>325</v>
      </c>
      <c r="B3585" s="231" t="s">
        <v>8027</v>
      </c>
      <c r="C3585" s="230" t="s">
        <v>8028</v>
      </c>
      <c r="D3585" s="252"/>
    </row>
    <row r="3586" spans="1:4" ht="14.55" customHeight="1" outlineLevel="1" x14ac:dyDescent="0.25">
      <c r="A3586" s="230" t="s">
        <v>325</v>
      </c>
      <c r="B3586" s="231" t="s">
        <v>8029</v>
      </c>
      <c r="C3586" s="230" t="s">
        <v>8030</v>
      </c>
      <c r="D3586" s="252"/>
    </row>
    <row r="3587" spans="1:4" ht="14.55" customHeight="1" outlineLevel="1" x14ac:dyDescent="0.25">
      <c r="A3587" s="230" t="s">
        <v>325</v>
      </c>
      <c r="B3587" s="231" t="s">
        <v>8031</v>
      </c>
      <c r="C3587" s="230" t="s">
        <v>8032</v>
      </c>
      <c r="D3587" s="252"/>
    </row>
    <row r="3588" spans="1:4" ht="14.55" customHeight="1" outlineLevel="1" x14ac:dyDescent="0.25">
      <c r="A3588" s="230" t="s">
        <v>325</v>
      </c>
      <c r="B3588" s="231" t="s">
        <v>8033</v>
      </c>
      <c r="C3588" s="230" t="s">
        <v>8034</v>
      </c>
      <c r="D3588" s="252"/>
    </row>
    <row r="3589" spans="1:4" ht="14.55" customHeight="1" outlineLevel="1" x14ac:dyDescent="0.25">
      <c r="A3589" s="230" t="s">
        <v>325</v>
      </c>
      <c r="B3589" s="231" t="s">
        <v>8035</v>
      </c>
      <c r="C3589" s="230" t="s">
        <v>8036</v>
      </c>
      <c r="D3589" s="252"/>
    </row>
    <row r="3590" spans="1:4" ht="14.55" customHeight="1" outlineLevel="1" x14ac:dyDescent="0.25">
      <c r="A3590" s="230" t="s">
        <v>325</v>
      </c>
      <c r="B3590" s="231" t="s">
        <v>8037</v>
      </c>
      <c r="C3590" s="230" t="s">
        <v>8038</v>
      </c>
      <c r="D3590" s="252"/>
    </row>
    <row r="3591" spans="1:4" ht="14.55" customHeight="1" outlineLevel="1" x14ac:dyDescent="0.25">
      <c r="A3591" s="230" t="s">
        <v>325</v>
      </c>
      <c r="B3591" s="231" t="s">
        <v>8039</v>
      </c>
      <c r="C3591" s="230" t="s">
        <v>8040</v>
      </c>
      <c r="D3591" s="252"/>
    </row>
    <row r="3592" spans="1:4" ht="14.55" customHeight="1" outlineLevel="1" x14ac:dyDescent="0.25">
      <c r="A3592" s="230" t="s">
        <v>325</v>
      </c>
      <c r="B3592" s="231" t="s">
        <v>8041</v>
      </c>
      <c r="C3592" s="230" t="s">
        <v>8042</v>
      </c>
      <c r="D3592" s="252"/>
    </row>
    <row r="3593" spans="1:4" ht="14.55" customHeight="1" outlineLevel="1" x14ac:dyDescent="0.25">
      <c r="A3593" s="230" t="s">
        <v>325</v>
      </c>
      <c r="B3593" s="231" t="s">
        <v>8043</v>
      </c>
      <c r="C3593" s="230" t="s">
        <v>8044</v>
      </c>
      <c r="D3593" s="252"/>
    </row>
    <row r="3594" spans="1:4" ht="14.55" customHeight="1" outlineLevel="1" x14ac:dyDescent="0.25">
      <c r="A3594" s="230" t="s">
        <v>325</v>
      </c>
      <c r="B3594" s="231" t="s">
        <v>8045</v>
      </c>
      <c r="C3594" s="230" t="s">
        <v>8046</v>
      </c>
      <c r="D3594" s="252"/>
    </row>
    <row r="3595" spans="1:4" ht="14.55" customHeight="1" outlineLevel="1" x14ac:dyDescent="0.25">
      <c r="A3595" s="230" t="s">
        <v>325</v>
      </c>
      <c r="B3595" s="231" t="s">
        <v>8047</v>
      </c>
      <c r="C3595" s="230" t="s">
        <v>8048</v>
      </c>
      <c r="D3595" s="252"/>
    </row>
    <row r="3596" spans="1:4" ht="14.55" customHeight="1" outlineLevel="1" x14ac:dyDescent="0.25">
      <c r="A3596" s="230" t="s">
        <v>325</v>
      </c>
      <c r="B3596" s="231" t="s">
        <v>8049</v>
      </c>
      <c r="C3596" s="230" t="s">
        <v>8050</v>
      </c>
      <c r="D3596" s="252"/>
    </row>
    <row r="3597" spans="1:4" ht="14.55" customHeight="1" outlineLevel="1" x14ac:dyDescent="0.25">
      <c r="A3597" s="230" t="s">
        <v>325</v>
      </c>
      <c r="B3597" s="231" t="s">
        <v>8051</v>
      </c>
      <c r="C3597" s="230" t="s">
        <v>8052</v>
      </c>
      <c r="D3597" s="252"/>
    </row>
    <row r="3598" spans="1:4" ht="14.55" customHeight="1" outlineLevel="1" x14ac:dyDescent="0.25">
      <c r="A3598" s="230" t="s">
        <v>325</v>
      </c>
      <c r="B3598" s="231" t="s">
        <v>8053</v>
      </c>
      <c r="C3598" s="230" t="s">
        <v>8054</v>
      </c>
      <c r="D3598" s="252"/>
    </row>
    <row r="3599" spans="1:4" ht="14.55" customHeight="1" outlineLevel="1" x14ac:dyDescent="0.25">
      <c r="A3599" s="230" t="s">
        <v>325</v>
      </c>
      <c r="B3599" s="231" t="s">
        <v>8055</v>
      </c>
      <c r="C3599" s="230" t="s">
        <v>8056</v>
      </c>
      <c r="D3599" s="252"/>
    </row>
    <row r="3600" spans="1:4" ht="14.55" customHeight="1" outlineLevel="1" x14ac:dyDescent="0.25">
      <c r="A3600" s="230" t="s">
        <v>325</v>
      </c>
      <c r="B3600" s="231" t="s">
        <v>8057</v>
      </c>
      <c r="C3600" s="230" t="s">
        <v>8058</v>
      </c>
      <c r="D3600" s="252"/>
    </row>
    <row r="3601" spans="1:4" ht="14.55" customHeight="1" outlineLevel="1" x14ac:dyDescent="0.25">
      <c r="A3601" s="230" t="s">
        <v>325</v>
      </c>
      <c r="B3601" s="231" t="s">
        <v>8059</v>
      </c>
      <c r="C3601" s="230" t="s">
        <v>8060</v>
      </c>
      <c r="D3601" s="252"/>
    </row>
    <row r="3602" spans="1:4" ht="14.55" customHeight="1" outlineLevel="1" x14ac:dyDescent="0.25">
      <c r="A3602" s="230" t="s">
        <v>325</v>
      </c>
      <c r="B3602" s="231" t="s">
        <v>8061</v>
      </c>
      <c r="C3602" s="230" t="s">
        <v>8062</v>
      </c>
      <c r="D3602" s="252"/>
    </row>
    <row r="3603" spans="1:4" ht="14.55" customHeight="1" outlineLevel="1" x14ac:dyDescent="0.25">
      <c r="A3603" s="230" t="s">
        <v>325</v>
      </c>
      <c r="B3603" s="231" t="s">
        <v>8063</v>
      </c>
      <c r="C3603" s="230" t="s">
        <v>8064</v>
      </c>
      <c r="D3603" s="252"/>
    </row>
    <row r="3604" spans="1:4" ht="14.55" customHeight="1" outlineLevel="1" x14ac:dyDescent="0.25">
      <c r="A3604" s="230" t="s">
        <v>325</v>
      </c>
      <c r="B3604" s="231" t="s">
        <v>8065</v>
      </c>
      <c r="C3604" s="230" t="s">
        <v>8066</v>
      </c>
      <c r="D3604" s="252"/>
    </row>
    <row r="3605" spans="1:4" ht="14.55" customHeight="1" outlineLevel="1" x14ac:dyDescent="0.25">
      <c r="A3605" s="230" t="s">
        <v>325</v>
      </c>
      <c r="B3605" s="231" t="s">
        <v>8067</v>
      </c>
      <c r="C3605" s="230" t="s">
        <v>8068</v>
      </c>
      <c r="D3605" s="252"/>
    </row>
    <row r="3606" spans="1:4" ht="14.55" customHeight="1" outlineLevel="1" x14ac:dyDescent="0.25">
      <c r="A3606" s="230" t="s">
        <v>325</v>
      </c>
      <c r="B3606" s="231" t="s">
        <v>8069</v>
      </c>
      <c r="C3606" s="230" t="s">
        <v>8070</v>
      </c>
      <c r="D3606" s="252"/>
    </row>
    <row r="3607" spans="1:4" ht="14.55" customHeight="1" outlineLevel="1" x14ac:dyDescent="0.25">
      <c r="A3607" s="230" t="s">
        <v>325</v>
      </c>
      <c r="B3607" s="231" t="s">
        <v>8071</v>
      </c>
      <c r="C3607" s="230" t="s">
        <v>8072</v>
      </c>
      <c r="D3607" s="252"/>
    </row>
    <row r="3608" spans="1:4" ht="14.55" customHeight="1" outlineLevel="1" x14ac:dyDescent="0.25">
      <c r="A3608" s="230" t="s">
        <v>325</v>
      </c>
      <c r="B3608" s="231" t="s">
        <v>8073</v>
      </c>
      <c r="C3608" s="230" t="s">
        <v>8074</v>
      </c>
      <c r="D3608" s="252"/>
    </row>
    <row r="3609" spans="1:4" ht="14.55" customHeight="1" outlineLevel="1" x14ac:dyDescent="0.25">
      <c r="A3609" s="230" t="s">
        <v>325</v>
      </c>
      <c r="B3609" s="231" t="s">
        <v>8075</v>
      </c>
      <c r="C3609" s="230" t="s">
        <v>8076</v>
      </c>
      <c r="D3609" s="252"/>
    </row>
    <row r="3610" spans="1:4" ht="14.55" customHeight="1" outlineLevel="1" x14ac:dyDescent="0.25">
      <c r="A3610" s="230" t="s">
        <v>325</v>
      </c>
      <c r="B3610" s="231" t="s">
        <v>8077</v>
      </c>
      <c r="C3610" s="230" t="s">
        <v>8078</v>
      </c>
      <c r="D3610" s="252"/>
    </row>
    <row r="3611" spans="1:4" ht="14.55" customHeight="1" outlineLevel="1" x14ac:dyDescent="0.25">
      <c r="A3611" s="230" t="s">
        <v>325</v>
      </c>
      <c r="B3611" s="231" t="s">
        <v>8079</v>
      </c>
      <c r="C3611" s="230" t="s">
        <v>8080</v>
      </c>
      <c r="D3611" s="252"/>
    </row>
    <row r="3612" spans="1:4" ht="14.55" customHeight="1" outlineLevel="1" x14ac:dyDescent="0.25">
      <c r="A3612" s="230" t="s">
        <v>325</v>
      </c>
      <c r="B3612" s="231" t="s">
        <v>8081</v>
      </c>
      <c r="C3612" s="230" t="s">
        <v>8082</v>
      </c>
      <c r="D3612" s="252"/>
    </row>
    <row r="3613" spans="1:4" ht="14.55" customHeight="1" outlineLevel="1" x14ac:dyDescent="0.25">
      <c r="A3613" s="230" t="s">
        <v>325</v>
      </c>
      <c r="B3613" s="231" t="s">
        <v>8083</v>
      </c>
      <c r="C3613" s="230" t="s">
        <v>8084</v>
      </c>
      <c r="D3613" s="252"/>
    </row>
    <row r="3614" spans="1:4" ht="14.55" customHeight="1" outlineLevel="1" x14ac:dyDescent="0.25">
      <c r="A3614" s="230" t="s">
        <v>325</v>
      </c>
      <c r="B3614" s="231" t="s">
        <v>8085</v>
      </c>
      <c r="C3614" s="230" t="s">
        <v>8086</v>
      </c>
      <c r="D3614" s="252"/>
    </row>
    <row r="3615" spans="1:4" ht="14.55" customHeight="1" outlineLevel="1" x14ac:dyDescent="0.25">
      <c r="A3615" s="230" t="s">
        <v>325</v>
      </c>
      <c r="B3615" s="231" t="s">
        <v>8087</v>
      </c>
      <c r="C3615" s="230" t="s">
        <v>8088</v>
      </c>
      <c r="D3615" s="252"/>
    </row>
    <row r="3616" spans="1:4" ht="14.55" customHeight="1" outlineLevel="1" x14ac:dyDescent="0.25">
      <c r="A3616" s="230" t="s">
        <v>325</v>
      </c>
      <c r="B3616" s="231" t="s">
        <v>8089</v>
      </c>
      <c r="C3616" s="230" t="s">
        <v>8090</v>
      </c>
      <c r="D3616" s="252"/>
    </row>
    <row r="3617" spans="1:4" ht="14.55" customHeight="1" outlineLevel="1" x14ac:dyDescent="0.25">
      <c r="A3617" s="230" t="s">
        <v>325</v>
      </c>
      <c r="B3617" s="231" t="s">
        <v>8091</v>
      </c>
      <c r="C3617" s="230" t="s">
        <v>8092</v>
      </c>
      <c r="D3617" s="252"/>
    </row>
    <row r="3618" spans="1:4" ht="14.55" customHeight="1" outlineLevel="1" x14ac:dyDescent="0.25">
      <c r="A3618" s="230" t="s">
        <v>325</v>
      </c>
      <c r="B3618" s="231" t="s">
        <v>8093</v>
      </c>
      <c r="C3618" s="230" t="s">
        <v>8094</v>
      </c>
      <c r="D3618" s="252"/>
    </row>
    <row r="3619" spans="1:4" ht="14.55" customHeight="1" outlineLevel="1" x14ac:dyDescent="0.25">
      <c r="A3619" s="230" t="s">
        <v>325</v>
      </c>
      <c r="B3619" s="231" t="s">
        <v>8095</v>
      </c>
      <c r="C3619" s="230" t="s">
        <v>8096</v>
      </c>
      <c r="D3619" s="252"/>
    </row>
    <row r="3620" spans="1:4" ht="14.55" customHeight="1" outlineLevel="1" x14ac:dyDescent="0.25">
      <c r="A3620" s="230" t="s">
        <v>325</v>
      </c>
      <c r="B3620" s="231" t="s">
        <v>8097</v>
      </c>
      <c r="C3620" s="230" t="s">
        <v>8098</v>
      </c>
      <c r="D3620" s="252"/>
    </row>
    <row r="3621" spans="1:4" ht="14.55" customHeight="1" outlineLevel="1" x14ac:dyDescent="0.25">
      <c r="A3621" s="230" t="s">
        <v>325</v>
      </c>
      <c r="B3621" s="231" t="s">
        <v>8099</v>
      </c>
      <c r="C3621" s="230" t="s">
        <v>8100</v>
      </c>
      <c r="D3621" s="252"/>
    </row>
    <row r="3622" spans="1:4" ht="14.55" customHeight="1" outlineLevel="1" x14ac:dyDescent="0.25">
      <c r="A3622" s="230" t="s">
        <v>325</v>
      </c>
      <c r="B3622" s="231" t="s">
        <v>8101</v>
      </c>
      <c r="C3622" s="230" t="s">
        <v>8102</v>
      </c>
      <c r="D3622" s="252"/>
    </row>
    <row r="3623" spans="1:4" ht="14.55" customHeight="1" outlineLevel="1" x14ac:dyDescent="0.25">
      <c r="A3623" s="230" t="s">
        <v>325</v>
      </c>
      <c r="B3623" s="231" t="s">
        <v>8103</v>
      </c>
      <c r="C3623" s="230" t="s">
        <v>8104</v>
      </c>
      <c r="D3623" s="252"/>
    </row>
    <row r="3624" spans="1:4" ht="14.55" customHeight="1" outlineLevel="1" x14ac:dyDescent="0.25">
      <c r="A3624" s="230" t="s">
        <v>325</v>
      </c>
      <c r="B3624" s="231" t="s">
        <v>8105</v>
      </c>
      <c r="C3624" s="230" t="s">
        <v>8106</v>
      </c>
      <c r="D3624" s="252"/>
    </row>
    <row r="3625" spans="1:4" ht="14.55" customHeight="1" outlineLevel="1" x14ac:dyDescent="0.25">
      <c r="A3625" s="230" t="s">
        <v>325</v>
      </c>
      <c r="B3625" s="231" t="s">
        <v>8107</v>
      </c>
      <c r="C3625" s="230" t="s">
        <v>8108</v>
      </c>
      <c r="D3625" s="252"/>
    </row>
    <row r="3626" spans="1:4" ht="14.55" customHeight="1" outlineLevel="1" x14ac:dyDescent="0.25">
      <c r="A3626" s="230" t="s">
        <v>325</v>
      </c>
      <c r="B3626" s="231" t="s">
        <v>8109</v>
      </c>
      <c r="C3626" s="230" t="s">
        <v>8110</v>
      </c>
      <c r="D3626" s="252"/>
    </row>
    <row r="3627" spans="1:4" ht="14.55" customHeight="1" outlineLevel="1" x14ac:dyDescent="0.25">
      <c r="A3627" s="230" t="s">
        <v>325</v>
      </c>
      <c r="B3627" s="231" t="s">
        <v>8111</v>
      </c>
      <c r="C3627" s="230" t="s">
        <v>8112</v>
      </c>
      <c r="D3627" s="252"/>
    </row>
    <row r="3628" spans="1:4" ht="14.55" customHeight="1" outlineLevel="1" x14ac:dyDescent="0.25">
      <c r="A3628" s="230" t="s">
        <v>325</v>
      </c>
      <c r="B3628" s="231" t="s">
        <v>8113</v>
      </c>
      <c r="C3628" s="230" t="s">
        <v>8114</v>
      </c>
      <c r="D3628" s="252"/>
    </row>
    <row r="3629" spans="1:4" ht="14.55" customHeight="1" outlineLevel="1" x14ac:dyDescent="0.25">
      <c r="A3629" s="230" t="s">
        <v>325</v>
      </c>
      <c r="B3629" s="231" t="s">
        <v>8115</v>
      </c>
      <c r="C3629" s="230" t="s">
        <v>8116</v>
      </c>
      <c r="D3629" s="252"/>
    </row>
    <row r="3630" spans="1:4" ht="14.55" customHeight="1" outlineLevel="1" x14ac:dyDescent="0.25">
      <c r="A3630" s="230" t="s">
        <v>325</v>
      </c>
      <c r="B3630" s="231" t="s">
        <v>8117</v>
      </c>
      <c r="C3630" s="230" t="s">
        <v>8118</v>
      </c>
      <c r="D3630" s="252"/>
    </row>
    <row r="3631" spans="1:4" ht="14.55" customHeight="1" outlineLevel="1" x14ac:dyDescent="0.25">
      <c r="A3631" s="230" t="s">
        <v>325</v>
      </c>
      <c r="B3631" s="231" t="s">
        <v>8119</v>
      </c>
      <c r="C3631" s="230" t="s">
        <v>8120</v>
      </c>
      <c r="D3631" s="252"/>
    </row>
    <row r="3632" spans="1:4" ht="14.55" customHeight="1" outlineLevel="1" x14ac:dyDescent="0.25">
      <c r="A3632" s="230" t="s">
        <v>325</v>
      </c>
      <c r="B3632" s="231" t="s">
        <v>8121</v>
      </c>
      <c r="C3632" s="230" t="s">
        <v>8122</v>
      </c>
      <c r="D3632" s="252"/>
    </row>
    <row r="3633" spans="1:4" ht="14.55" customHeight="1" outlineLevel="1" x14ac:dyDescent="0.25">
      <c r="A3633" s="230" t="s">
        <v>325</v>
      </c>
      <c r="B3633" s="231" t="s">
        <v>8123</v>
      </c>
      <c r="C3633" s="230" t="s">
        <v>8124</v>
      </c>
      <c r="D3633" s="252"/>
    </row>
    <row r="3634" spans="1:4" ht="14.55" customHeight="1" outlineLevel="1" x14ac:dyDescent="0.25">
      <c r="A3634" s="230" t="s">
        <v>325</v>
      </c>
      <c r="B3634" s="231" t="s">
        <v>8125</v>
      </c>
      <c r="C3634" s="230" t="s">
        <v>8126</v>
      </c>
      <c r="D3634" s="252"/>
    </row>
    <row r="3635" spans="1:4" ht="14.55" customHeight="1" outlineLevel="1" x14ac:dyDescent="0.25">
      <c r="A3635" s="230" t="s">
        <v>325</v>
      </c>
      <c r="B3635" s="231" t="s">
        <v>8127</v>
      </c>
      <c r="C3635" s="230" t="s">
        <v>8128</v>
      </c>
      <c r="D3635" s="252"/>
    </row>
    <row r="3636" spans="1:4" ht="14.55" customHeight="1" outlineLevel="1" x14ac:dyDescent="0.25">
      <c r="A3636" s="230" t="s">
        <v>325</v>
      </c>
      <c r="B3636" s="231" t="s">
        <v>8129</v>
      </c>
      <c r="C3636" s="230" t="s">
        <v>8130</v>
      </c>
      <c r="D3636" s="252"/>
    </row>
    <row r="3637" spans="1:4" ht="14.55" customHeight="1" outlineLevel="1" x14ac:dyDescent="0.25">
      <c r="A3637" s="230" t="s">
        <v>325</v>
      </c>
      <c r="B3637" s="231" t="s">
        <v>8131</v>
      </c>
      <c r="C3637" s="230" t="s">
        <v>8132</v>
      </c>
      <c r="D3637" s="252"/>
    </row>
    <row r="3638" spans="1:4" ht="14.55" customHeight="1" outlineLevel="1" x14ac:dyDescent="0.25">
      <c r="A3638" s="230" t="s">
        <v>325</v>
      </c>
      <c r="B3638" s="231" t="s">
        <v>8133</v>
      </c>
      <c r="C3638" s="230" t="s">
        <v>8134</v>
      </c>
      <c r="D3638" s="252"/>
    </row>
    <row r="3639" spans="1:4" ht="14.55" customHeight="1" outlineLevel="1" x14ac:dyDescent="0.25">
      <c r="A3639" s="230" t="s">
        <v>325</v>
      </c>
      <c r="B3639" s="231" t="s">
        <v>8135</v>
      </c>
      <c r="C3639" s="230" t="s">
        <v>8136</v>
      </c>
      <c r="D3639" s="252"/>
    </row>
    <row r="3640" spans="1:4" ht="14.55" customHeight="1" outlineLevel="1" x14ac:dyDescent="0.25">
      <c r="A3640" s="230" t="s">
        <v>325</v>
      </c>
      <c r="B3640" s="231" t="s">
        <v>8137</v>
      </c>
      <c r="C3640" s="230" t="s">
        <v>8138</v>
      </c>
      <c r="D3640" s="252"/>
    </row>
    <row r="3641" spans="1:4" ht="14.55" customHeight="1" outlineLevel="1" x14ac:dyDescent="0.25">
      <c r="A3641" s="230" t="s">
        <v>325</v>
      </c>
      <c r="B3641" s="231" t="s">
        <v>8139</v>
      </c>
      <c r="C3641" s="230" t="s">
        <v>8140</v>
      </c>
      <c r="D3641" s="252"/>
    </row>
    <row r="3642" spans="1:4" ht="14.55" customHeight="1" outlineLevel="1" x14ac:dyDescent="0.25">
      <c r="A3642" s="230" t="s">
        <v>325</v>
      </c>
      <c r="B3642" s="231" t="s">
        <v>8141</v>
      </c>
      <c r="C3642" s="230" t="s">
        <v>8142</v>
      </c>
      <c r="D3642" s="252"/>
    </row>
    <row r="3643" spans="1:4" ht="14.55" customHeight="1" outlineLevel="1" x14ac:dyDescent="0.25">
      <c r="A3643" s="230" t="s">
        <v>325</v>
      </c>
      <c r="B3643" s="231" t="s">
        <v>8143</v>
      </c>
      <c r="C3643" s="230" t="s">
        <v>8144</v>
      </c>
      <c r="D3643" s="252"/>
    </row>
    <row r="3644" spans="1:4" ht="14.55" customHeight="1" outlineLevel="1" x14ac:dyDescent="0.25">
      <c r="A3644" s="230" t="s">
        <v>325</v>
      </c>
      <c r="B3644" s="231" t="s">
        <v>8145</v>
      </c>
      <c r="C3644" s="230" t="s">
        <v>8146</v>
      </c>
      <c r="D3644" s="252"/>
    </row>
    <row r="3645" spans="1:4" ht="14.55" customHeight="1" outlineLevel="1" x14ac:dyDescent="0.25">
      <c r="A3645" s="230" t="s">
        <v>325</v>
      </c>
      <c r="B3645" s="231" t="s">
        <v>8147</v>
      </c>
      <c r="C3645" s="230" t="s">
        <v>8148</v>
      </c>
      <c r="D3645" s="252"/>
    </row>
    <row r="3646" spans="1:4" ht="14.55" customHeight="1" outlineLevel="1" x14ac:dyDescent="0.25">
      <c r="A3646" s="230" t="s">
        <v>325</v>
      </c>
      <c r="B3646" s="231" t="s">
        <v>8149</v>
      </c>
      <c r="C3646" s="230" t="s">
        <v>8150</v>
      </c>
      <c r="D3646" s="252"/>
    </row>
    <row r="3647" spans="1:4" ht="14.55" customHeight="1" outlineLevel="1" x14ac:dyDescent="0.25">
      <c r="A3647" s="230" t="s">
        <v>325</v>
      </c>
      <c r="B3647" s="231" t="s">
        <v>8151</v>
      </c>
      <c r="C3647" s="230" t="s">
        <v>8152</v>
      </c>
      <c r="D3647" s="252"/>
    </row>
    <row r="3648" spans="1:4" ht="14.55" customHeight="1" outlineLevel="1" x14ac:dyDescent="0.25">
      <c r="A3648" s="230" t="s">
        <v>325</v>
      </c>
      <c r="B3648" s="231" t="s">
        <v>8153</v>
      </c>
      <c r="C3648" s="230" t="s">
        <v>8154</v>
      </c>
      <c r="D3648" s="252"/>
    </row>
    <row r="3649" spans="1:4" ht="14.55" customHeight="1" outlineLevel="1" x14ac:dyDescent="0.25">
      <c r="A3649" s="230" t="s">
        <v>325</v>
      </c>
      <c r="B3649" s="231" t="s">
        <v>8155</v>
      </c>
      <c r="C3649" s="230" t="s">
        <v>8156</v>
      </c>
      <c r="D3649" s="252"/>
    </row>
    <row r="3650" spans="1:4" ht="14.55" customHeight="1" outlineLevel="1" x14ac:dyDescent="0.25">
      <c r="A3650" s="230" t="s">
        <v>325</v>
      </c>
      <c r="B3650" s="231" t="s">
        <v>8157</v>
      </c>
      <c r="C3650" s="230" t="s">
        <v>8158</v>
      </c>
      <c r="D3650" s="252"/>
    </row>
    <row r="3651" spans="1:4" ht="14.55" customHeight="1" outlineLevel="1" x14ac:dyDescent="0.25">
      <c r="A3651" s="230" t="s">
        <v>325</v>
      </c>
      <c r="B3651" s="231" t="s">
        <v>8159</v>
      </c>
      <c r="C3651" s="230" t="s">
        <v>8160</v>
      </c>
      <c r="D3651" s="252"/>
    </row>
    <row r="3652" spans="1:4" ht="14.55" customHeight="1" outlineLevel="1" x14ac:dyDescent="0.25">
      <c r="A3652" s="230" t="s">
        <v>325</v>
      </c>
      <c r="B3652" s="231" t="s">
        <v>8161</v>
      </c>
      <c r="C3652" s="230" t="s">
        <v>8162</v>
      </c>
      <c r="D3652" s="252"/>
    </row>
    <row r="3653" spans="1:4" ht="14.55" customHeight="1" outlineLevel="1" x14ac:dyDescent="0.25">
      <c r="A3653" s="230" t="s">
        <v>325</v>
      </c>
      <c r="B3653" s="231" t="s">
        <v>8163</v>
      </c>
      <c r="C3653" s="230" t="s">
        <v>8164</v>
      </c>
      <c r="D3653" s="252"/>
    </row>
    <row r="3654" spans="1:4" ht="14.55" customHeight="1" outlineLevel="1" x14ac:dyDescent="0.25">
      <c r="A3654" s="230" t="s">
        <v>325</v>
      </c>
      <c r="B3654" s="231" t="s">
        <v>8165</v>
      </c>
      <c r="C3654" s="230" t="s">
        <v>8166</v>
      </c>
      <c r="D3654" s="252"/>
    </row>
    <row r="3655" spans="1:4" ht="14.55" customHeight="1" outlineLevel="1" x14ac:dyDescent="0.25">
      <c r="A3655" s="230" t="s">
        <v>325</v>
      </c>
      <c r="B3655" s="231" t="s">
        <v>8167</v>
      </c>
      <c r="C3655" s="230" t="s">
        <v>8168</v>
      </c>
      <c r="D3655" s="252"/>
    </row>
    <row r="3656" spans="1:4" ht="14.55" customHeight="1" outlineLevel="1" x14ac:dyDescent="0.25">
      <c r="A3656" s="230" t="s">
        <v>325</v>
      </c>
      <c r="B3656" s="231" t="s">
        <v>8169</v>
      </c>
      <c r="C3656" s="230" t="s">
        <v>8170</v>
      </c>
      <c r="D3656" s="252"/>
    </row>
    <row r="3657" spans="1:4" ht="14.55" customHeight="1" outlineLevel="1" x14ac:dyDescent="0.25">
      <c r="A3657" s="230" t="s">
        <v>325</v>
      </c>
      <c r="B3657" s="231" t="s">
        <v>8171</v>
      </c>
      <c r="C3657" s="230" t="s">
        <v>8172</v>
      </c>
      <c r="D3657" s="252"/>
    </row>
    <row r="3658" spans="1:4" ht="14.55" customHeight="1" outlineLevel="1" x14ac:dyDescent="0.25">
      <c r="A3658" s="230" t="s">
        <v>325</v>
      </c>
      <c r="B3658" s="231" t="s">
        <v>8173</v>
      </c>
      <c r="C3658" s="230" t="s">
        <v>8174</v>
      </c>
      <c r="D3658" s="252"/>
    </row>
    <row r="3659" spans="1:4" ht="14.55" customHeight="1" outlineLevel="1" x14ac:dyDescent="0.25">
      <c r="A3659" s="230" t="s">
        <v>325</v>
      </c>
      <c r="B3659" s="231" t="s">
        <v>8175</v>
      </c>
      <c r="C3659" s="230" t="s">
        <v>8176</v>
      </c>
      <c r="D3659" s="252"/>
    </row>
    <row r="3660" spans="1:4" ht="14.55" customHeight="1" outlineLevel="1" x14ac:dyDescent="0.25">
      <c r="A3660" s="230" t="s">
        <v>325</v>
      </c>
      <c r="B3660" s="231" t="s">
        <v>8177</v>
      </c>
      <c r="C3660" s="230" t="s">
        <v>8178</v>
      </c>
      <c r="D3660" s="252"/>
    </row>
    <row r="3661" spans="1:4" ht="14.55" customHeight="1" outlineLevel="1" x14ac:dyDescent="0.25">
      <c r="A3661" s="230" t="s">
        <v>325</v>
      </c>
      <c r="B3661" s="231" t="s">
        <v>8179</v>
      </c>
      <c r="C3661" s="230" t="s">
        <v>8180</v>
      </c>
      <c r="D3661" s="252"/>
    </row>
    <row r="3662" spans="1:4" ht="14.55" customHeight="1" outlineLevel="1" x14ac:dyDescent="0.25">
      <c r="A3662" s="230" t="s">
        <v>325</v>
      </c>
      <c r="B3662" s="231" t="s">
        <v>8181</v>
      </c>
      <c r="C3662" s="230" t="s">
        <v>8182</v>
      </c>
      <c r="D3662" s="252"/>
    </row>
    <row r="3663" spans="1:4" ht="14.55" customHeight="1" outlineLevel="1" x14ac:dyDescent="0.25">
      <c r="A3663" s="230" t="s">
        <v>325</v>
      </c>
      <c r="B3663" s="231" t="s">
        <v>8183</v>
      </c>
      <c r="C3663" s="230" t="s">
        <v>8184</v>
      </c>
      <c r="D3663" s="252"/>
    </row>
    <row r="3664" spans="1:4" ht="14.55" customHeight="1" outlineLevel="1" x14ac:dyDescent="0.25">
      <c r="A3664" s="230" t="s">
        <v>325</v>
      </c>
      <c r="B3664" s="231" t="s">
        <v>8185</v>
      </c>
      <c r="C3664" s="230" t="s">
        <v>8186</v>
      </c>
      <c r="D3664" s="252"/>
    </row>
    <row r="3665" spans="1:4" ht="14.55" customHeight="1" outlineLevel="1" x14ac:dyDescent="0.25">
      <c r="A3665" s="230" t="s">
        <v>325</v>
      </c>
      <c r="B3665" s="231" t="s">
        <v>8187</v>
      </c>
      <c r="C3665" s="230" t="s">
        <v>8188</v>
      </c>
      <c r="D3665" s="252"/>
    </row>
    <row r="3666" spans="1:4" ht="14.55" customHeight="1" outlineLevel="1" x14ac:dyDescent="0.25">
      <c r="A3666" s="230" t="s">
        <v>325</v>
      </c>
      <c r="B3666" s="231" t="s">
        <v>8189</v>
      </c>
      <c r="C3666" s="230" t="s">
        <v>8190</v>
      </c>
      <c r="D3666" s="252"/>
    </row>
    <row r="3667" spans="1:4" ht="14.55" customHeight="1" outlineLevel="1" x14ac:dyDescent="0.25">
      <c r="A3667" s="230" t="s">
        <v>325</v>
      </c>
      <c r="B3667" s="231" t="s">
        <v>8191</v>
      </c>
      <c r="C3667" s="230" t="s">
        <v>8192</v>
      </c>
      <c r="D3667" s="252"/>
    </row>
    <row r="3668" spans="1:4" ht="14.55" customHeight="1" outlineLevel="1" x14ac:dyDescent="0.25">
      <c r="A3668" s="230" t="s">
        <v>325</v>
      </c>
      <c r="B3668" s="231" t="s">
        <v>8193</v>
      </c>
      <c r="C3668" s="230" t="s">
        <v>8194</v>
      </c>
      <c r="D3668" s="252"/>
    </row>
    <row r="3669" spans="1:4" ht="14.55" customHeight="1" outlineLevel="1" x14ac:dyDescent="0.25">
      <c r="A3669" s="230" t="s">
        <v>325</v>
      </c>
      <c r="B3669" s="231" t="s">
        <v>8195</v>
      </c>
      <c r="C3669" s="230" t="s">
        <v>8196</v>
      </c>
      <c r="D3669" s="252"/>
    </row>
    <row r="3670" spans="1:4" ht="14.55" customHeight="1" outlineLevel="1" x14ac:dyDescent="0.25">
      <c r="A3670" s="230" t="s">
        <v>325</v>
      </c>
      <c r="B3670" s="231" t="s">
        <v>8197</v>
      </c>
      <c r="C3670" s="230" t="s">
        <v>8198</v>
      </c>
      <c r="D3670" s="252"/>
    </row>
    <row r="3671" spans="1:4" ht="14.55" customHeight="1" outlineLevel="1" x14ac:dyDescent="0.25">
      <c r="A3671" s="230" t="s">
        <v>325</v>
      </c>
      <c r="B3671" s="231" t="s">
        <v>8199</v>
      </c>
      <c r="C3671" s="230" t="s">
        <v>8200</v>
      </c>
      <c r="D3671" s="252"/>
    </row>
    <row r="3672" spans="1:4" ht="14.55" customHeight="1" outlineLevel="1" x14ac:dyDescent="0.25">
      <c r="A3672" s="230" t="s">
        <v>325</v>
      </c>
      <c r="B3672" s="231" t="s">
        <v>8201</v>
      </c>
      <c r="C3672" s="230" t="s">
        <v>8202</v>
      </c>
      <c r="D3672" s="252"/>
    </row>
    <row r="3673" spans="1:4" ht="14.55" customHeight="1" outlineLevel="1" x14ac:dyDescent="0.25">
      <c r="A3673" s="230" t="s">
        <v>325</v>
      </c>
      <c r="B3673" s="231" t="s">
        <v>8203</v>
      </c>
      <c r="C3673" s="230" t="s">
        <v>8204</v>
      </c>
      <c r="D3673" s="252"/>
    </row>
    <row r="3674" spans="1:4" ht="14.55" customHeight="1" outlineLevel="1" x14ac:dyDescent="0.25">
      <c r="A3674" s="230" t="s">
        <v>325</v>
      </c>
      <c r="B3674" s="231" t="s">
        <v>8205</v>
      </c>
      <c r="C3674" s="230" t="s">
        <v>8206</v>
      </c>
      <c r="D3674" s="252"/>
    </row>
    <row r="3675" spans="1:4" ht="14.55" customHeight="1" outlineLevel="1" x14ac:dyDescent="0.25">
      <c r="A3675" s="230" t="s">
        <v>325</v>
      </c>
      <c r="B3675" s="231" t="s">
        <v>8207</v>
      </c>
      <c r="C3675" s="230" t="s">
        <v>8208</v>
      </c>
      <c r="D3675" s="252"/>
    </row>
    <row r="3676" spans="1:4" ht="14.55" customHeight="1" outlineLevel="1" x14ac:dyDescent="0.25">
      <c r="A3676" s="230" t="s">
        <v>325</v>
      </c>
      <c r="B3676" s="231" t="s">
        <v>8209</v>
      </c>
      <c r="C3676" s="230" t="s">
        <v>8210</v>
      </c>
      <c r="D3676" s="252"/>
    </row>
    <row r="3677" spans="1:4" ht="14.55" customHeight="1" outlineLevel="1" x14ac:dyDescent="0.25">
      <c r="A3677" s="230" t="s">
        <v>325</v>
      </c>
      <c r="B3677" s="231" t="s">
        <v>8211</v>
      </c>
      <c r="C3677" s="230" t="s">
        <v>8212</v>
      </c>
      <c r="D3677" s="252"/>
    </row>
    <row r="3678" spans="1:4" ht="14.55" customHeight="1" outlineLevel="1" x14ac:dyDescent="0.25">
      <c r="A3678" s="230" t="s">
        <v>325</v>
      </c>
      <c r="B3678" s="231" t="s">
        <v>8213</v>
      </c>
      <c r="C3678" s="230" t="s">
        <v>8214</v>
      </c>
      <c r="D3678" s="252"/>
    </row>
    <row r="3679" spans="1:4" ht="14.55" customHeight="1" outlineLevel="1" x14ac:dyDescent="0.25">
      <c r="A3679" s="230" t="s">
        <v>325</v>
      </c>
      <c r="B3679" s="231" t="s">
        <v>8215</v>
      </c>
      <c r="C3679" s="230" t="s">
        <v>8216</v>
      </c>
      <c r="D3679" s="252"/>
    </row>
    <row r="3680" spans="1:4" ht="14.55" customHeight="1" outlineLevel="1" x14ac:dyDescent="0.25">
      <c r="A3680" s="230" t="s">
        <v>325</v>
      </c>
      <c r="B3680" s="231" t="s">
        <v>8217</v>
      </c>
      <c r="C3680" s="230" t="s">
        <v>8218</v>
      </c>
      <c r="D3680" s="252"/>
    </row>
    <row r="3681" spans="1:4" ht="14.55" customHeight="1" outlineLevel="1" x14ac:dyDescent="0.25">
      <c r="A3681" s="230" t="s">
        <v>325</v>
      </c>
      <c r="B3681" s="231" t="s">
        <v>8219</v>
      </c>
      <c r="C3681" s="230" t="s">
        <v>8220</v>
      </c>
      <c r="D3681" s="252"/>
    </row>
    <row r="3682" spans="1:4" ht="14.55" customHeight="1" outlineLevel="1" x14ac:dyDescent="0.25">
      <c r="A3682" s="230" t="s">
        <v>325</v>
      </c>
      <c r="B3682" s="231" t="s">
        <v>8221</v>
      </c>
      <c r="C3682" s="230" t="s">
        <v>8222</v>
      </c>
      <c r="D3682" s="252"/>
    </row>
    <row r="3683" spans="1:4" ht="14.55" customHeight="1" outlineLevel="1" x14ac:dyDescent="0.25">
      <c r="A3683" s="230" t="s">
        <v>325</v>
      </c>
      <c r="B3683" s="231" t="s">
        <v>8223</v>
      </c>
      <c r="C3683" s="230" t="s">
        <v>8224</v>
      </c>
      <c r="D3683" s="252"/>
    </row>
    <row r="3684" spans="1:4" ht="14.55" customHeight="1" outlineLevel="1" x14ac:dyDescent="0.25">
      <c r="A3684" s="230" t="s">
        <v>325</v>
      </c>
      <c r="B3684" s="231" t="s">
        <v>8225</v>
      </c>
      <c r="C3684" s="230" t="s">
        <v>8226</v>
      </c>
      <c r="D3684" s="252"/>
    </row>
    <row r="3685" spans="1:4" ht="14.55" customHeight="1" outlineLevel="1" x14ac:dyDescent="0.25">
      <c r="A3685" s="230" t="s">
        <v>325</v>
      </c>
      <c r="B3685" s="231" t="s">
        <v>8227</v>
      </c>
      <c r="C3685" s="230" t="s">
        <v>8228</v>
      </c>
      <c r="D3685" s="252"/>
    </row>
    <row r="3686" spans="1:4" ht="14.55" customHeight="1" outlineLevel="1" x14ac:dyDescent="0.25">
      <c r="A3686" s="230" t="s">
        <v>325</v>
      </c>
      <c r="B3686" s="231" t="s">
        <v>8229</v>
      </c>
      <c r="C3686" s="230" t="s">
        <v>8230</v>
      </c>
      <c r="D3686" s="252"/>
    </row>
    <row r="3687" spans="1:4" ht="14.55" customHeight="1" outlineLevel="1" x14ac:dyDescent="0.25">
      <c r="A3687" s="230" t="s">
        <v>325</v>
      </c>
      <c r="B3687" s="231" t="s">
        <v>8231</v>
      </c>
      <c r="C3687" s="230" t="s">
        <v>8232</v>
      </c>
      <c r="D3687" s="252"/>
    </row>
    <row r="3688" spans="1:4" ht="14.55" customHeight="1" outlineLevel="1" x14ac:dyDescent="0.25">
      <c r="A3688" s="230" t="s">
        <v>325</v>
      </c>
      <c r="B3688" s="231" t="s">
        <v>8233</v>
      </c>
      <c r="C3688" s="230" t="s">
        <v>8234</v>
      </c>
      <c r="D3688" s="252"/>
    </row>
    <row r="3689" spans="1:4" ht="14.55" customHeight="1" outlineLevel="1" x14ac:dyDescent="0.25">
      <c r="A3689" s="230" t="s">
        <v>325</v>
      </c>
      <c r="B3689" s="231" t="s">
        <v>8235</v>
      </c>
      <c r="C3689" s="230" t="s">
        <v>8236</v>
      </c>
      <c r="D3689" s="252"/>
    </row>
    <row r="3690" spans="1:4" ht="14.55" customHeight="1" outlineLevel="1" x14ac:dyDescent="0.25">
      <c r="A3690" s="230" t="s">
        <v>325</v>
      </c>
      <c r="B3690" s="231" t="s">
        <v>8237</v>
      </c>
      <c r="C3690" s="230" t="s">
        <v>8238</v>
      </c>
      <c r="D3690" s="252"/>
    </row>
    <row r="3691" spans="1:4" ht="14.55" customHeight="1" outlineLevel="1" x14ac:dyDescent="0.25">
      <c r="A3691" s="230" t="s">
        <v>325</v>
      </c>
      <c r="B3691" s="231" t="s">
        <v>8239</v>
      </c>
      <c r="C3691" s="230" t="s">
        <v>8240</v>
      </c>
      <c r="D3691" s="252"/>
    </row>
    <row r="3692" spans="1:4" ht="14.55" customHeight="1" outlineLevel="1" x14ac:dyDescent="0.25">
      <c r="A3692" s="230" t="s">
        <v>325</v>
      </c>
      <c r="B3692" s="231" t="s">
        <v>8241</v>
      </c>
      <c r="C3692" s="230" t="s">
        <v>8242</v>
      </c>
      <c r="D3692" s="252"/>
    </row>
    <row r="3693" spans="1:4" ht="14.55" customHeight="1" outlineLevel="1" x14ac:dyDescent="0.25">
      <c r="A3693" s="230" t="s">
        <v>325</v>
      </c>
      <c r="B3693" s="231" t="s">
        <v>8243</v>
      </c>
      <c r="C3693" s="230" t="s">
        <v>8244</v>
      </c>
      <c r="D3693" s="252"/>
    </row>
    <row r="3694" spans="1:4" ht="14.55" customHeight="1" outlineLevel="1" x14ac:dyDescent="0.25">
      <c r="A3694" s="230" t="s">
        <v>325</v>
      </c>
      <c r="B3694" s="231" t="s">
        <v>8245</v>
      </c>
      <c r="C3694" s="230" t="s">
        <v>8246</v>
      </c>
      <c r="D3694" s="252"/>
    </row>
    <row r="3695" spans="1:4" ht="14.55" customHeight="1" outlineLevel="1" x14ac:dyDescent="0.25">
      <c r="A3695" s="230" t="s">
        <v>325</v>
      </c>
      <c r="B3695" s="231" t="s">
        <v>8247</v>
      </c>
      <c r="C3695" s="230" t="s">
        <v>8248</v>
      </c>
      <c r="D3695" s="252"/>
    </row>
    <row r="3696" spans="1:4" ht="14.55" customHeight="1" outlineLevel="1" x14ac:dyDescent="0.25">
      <c r="A3696" s="230" t="s">
        <v>325</v>
      </c>
      <c r="B3696" s="231" t="s">
        <v>8249</v>
      </c>
      <c r="C3696" s="230" t="s">
        <v>8250</v>
      </c>
      <c r="D3696" s="252"/>
    </row>
    <row r="3697" spans="1:4" ht="14.55" customHeight="1" outlineLevel="1" x14ac:dyDescent="0.25">
      <c r="A3697" s="230" t="s">
        <v>325</v>
      </c>
      <c r="B3697" s="231" t="s">
        <v>8251</v>
      </c>
      <c r="C3697" s="230" t="s">
        <v>8252</v>
      </c>
      <c r="D3697" s="252"/>
    </row>
    <row r="3698" spans="1:4" ht="14.55" customHeight="1" outlineLevel="1" x14ac:dyDescent="0.25">
      <c r="A3698" s="230" t="s">
        <v>325</v>
      </c>
      <c r="B3698" s="231" t="s">
        <v>8253</v>
      </c>
      <c r="C3698" s="230" t="s">
        <v>8254</v>
      </c>
      <c r="D3698" s="252"/>
    </row>
    <row r="3699" spans="1:4" ht="14.55" customHeight="1" outlineLevel="1" x14ac:dyDescent="0.25">
      <c r="A3699" s="230" t="s">
        <v>325</v>
      </c>
      <c r="B3699" s="231" t="s">
        <v>8255</v>
      </c>
      <c r="C3699" s="230" t="s">
        <v>8256</v>
      </c>
      <c r="D3699" s="252"/>
    </row>
    <row r="3700" spans="1:4" ht="14.55" customHeight="1" outlineLevel="1" x14ac:dyDescent="0.25">
      <c r="A3700" s="230" t="s">
        <v>325</v>
      </c>
      <c r="B3700" s="231" t="s">
        <v>8257</v>
      </c>
      <c r="C3700" s="230" t="s">
        <v>8258</v>
      </c>
      <c r="D3700" s="252"/>
    </row>
    <row r="3701" spans="1:4" ht="14.55" customHeight="1" outlineLevel="1" x14ac:dyDescent="0.25">
      <c r="A3701" s="230" t="s">
        <v>325</v>
      </c>
      <c r="B3701" s="231" t="s">
        <v>8259</v>
      </c>
      <c r="C3701" s="230" t="s">
        <v>8260</v>
      </c>
      <c r="D3701" s="252"/>
    </row>
    <row r="3702" spans="1:4" ht="14.55" customHeight="1" outlineLevel="1" x14ac:dyDescent="0.25">
      <c r="A3702" s="230" t="s">
        <v>325</v>
      </c>
      <c r="B3702" s="231" t="s">
        <v>8261</v>
      </c>
      <c r="C3702" s="230" t="s">
        <v>8262</v>
      </c>
      <c r="D3702" s="252"/>
    </row>
    <row r="3703" spans="1:4" ht="14.55" customHeight="1" outlineLevel="1" x14ac:dyDescent="0.25">
      <c r="A3703" s="230" t="s">
        <v>325</v>
      </c>
      <c r="B3703" s="231" t="s">
        <v>8263</v>
      </c>
      <c r="C3703" s="230" t="s">
        <v>8264</v>
      </c>
      <c r="D3703" s="252"/>
    </row>
    <row r="3704" spans="1:4" ht="14.55" customHeight="1" outlineLevel="1" x14ac:dyDescent="0.25">
      <c r="A3704" s="230" t="s">
        <v>325</v>
      </c>
      <c r="B3704" s="231" t="s">
        <v>8265</v>
      </c>
      <c r="C3704" s="230" t="s">
        <v>8266</v>
      </c>
      <c r="D3704" s="252"/>
    </row>
    <row r="3705" spans="1:4" ht="14.55" customHeight="1" outlineLevel="1" x14ac:dyDescent="0.25">
      <c r="A3705" s="230" t="s">
        <v>325</v>
      </c>
      <c r="B3705" s="231" t="s">
        <v>8267</v>
      </c>
      <c r="C3705" s="230" t="s">
        <v>8268</v>
      </c>
      <c r="D3705" s="252"/>
    </row>
    <row r="3706" spans="1:4" ht="14.55" customHeight="1" outlineLevel="1" x14ac:dyDescent="0.25">
      <c r="A3706" s="230" t="s">
        <v>325</v>
      </c>
      <c r="B3706" s="231" t="s">
        <v>8269</v>
      </c>
      <c r="C3706" s="230" t="s">
        <v>8270</v>
      </c>
      <c r="D3706" s="252"/>
    </row>
    <row r="3707" spans="1:4" ht="14.55" customHeight="1" outlineLevel="1" x14ac:dyDescent="0.25">
      <c r="A3707" s="230" t="s">
        <v>325</v>
      </c>
      <c r="B3707" s="231" t="s">
        <v>8271</v>
      </c>
      <c r="C3707" s="230" t="s">
        <v>8272</v>
      </c>
      <c r="D3707" s="252"/>
    </row>
    <row r="3708" spans="1:4" ht="14.55" customHeight="1" outlineLevel="1" x14ac:dyDescent="0.25">
      <c r="A3708" s="230" t="s">
        <v>325</v>
      </c>
      <c r="B3708" s="231" t="s">
        <v>8273</v>
      </c>
      <c r="C3708" s="230" t="s">
        <v>8274</v>
      </c>
      <c r="D3708" s="252"/>
    </row>
    <row r="3709" spans="1:4" ht="14.55" customHeight="1" outlineLevel="1" x14ac:dyDescent="0.25">
      <c r="A3709" s="230" t="s">
        <v>325</v>
      </c>
      <c r="B3709" s="231" t="s">
        <v>8275</v>
      </c>
      <c r="C3709" s="230" t="s">
        <v>8276</v>
      </c>
      <c r="D3709" s="252"/>
    </row>
    <row r="3710" spans="1:4" ht="14.55" customHeight="1" outlineLevel="1" x14ac:dyDescent="0.25">
      <c r="A3710" s="230" t="s">
        <v>325</v>
      </c>
      <c r="B3710" s="231" t="s">
        <v>8277</v>
      </c>
      <c r="C3710" s="230" t="s">
        <v>8278</v>
      </c>
      <c r="D3710" s="252"/>
    </row>
    <row r="3711" spans="1:4" ht="14.55" customHeight="1" outlineLevel="1" x14ac:dyDescent="0.25">
      <c r="A3711" s="230" t="s">
        <v>325</v>
      </c>
      <c r="B3711" s="231" t="s">
        <v>8279</v>
      </c>
      <c r="C3711" s="230" t="s">
        <v>8280</v>
      </c>
      <c r="D3711" s="252"/>
    </row>
    <row r="3712" spans="1:4" ht="14.55" customHeight="1" outlineLevel="1" x14ac:dyDescent="0.25">
      <c r="A3712" s="230" t="s">
        <v>325</v>
      </c>
      <c r="B3712" s="231" t="s">
        <v>8281</v>
      </c>
      <c r="C3712" s="230" t="s">
        <v>8282</v>
      </c>
      <c r="D3712" s="252"/>
    </row>
    <row r="3713" spans="1:4" ht="14.55" customHeight="1" outlineLevel="1" x14ac:dyDescent="0.25">
      <c r="A3713" s="230" t="s">
        <v>325</v>
      </c>
      <c r="B3713" s="231" t="s">
        <v>8283</v>
      </c>
      <c r="C3713" s="230" t="s">
        <v>8284</v>
      </c>
      <c r="D3713" s="252"/>
    </row>
    <row r="3714" spans="1:4" ht="14.55" customHeight="1" outlineLevel="1" x14ac:dyDescent="0.25">
      <c r="A3714" s="230" t="s">
        <v>325</v>
      </c>
      <c r="B3714" s="231" t="s">
        <v>8285</v>
      </c>
      <c r="C3714" s="230" t="s">
        <v>8286</v>
      </c>
      <c r="D3714" s="252"/>
    </row>
    <row r="3715" spans="1:4" ht="14.55" customHeight="1" outlineLevel="1" x14ac:dyDescent="0.25">
      <c r="A3715" s="230" t="s">
        <v>325</v>
      </c>
      <c r="B3715" s="231" t="s">
        <v>8287</v>
      </c>
      <c r="C3715" s="230" t="s">
        <v>8288</v>
      </c>
      <c r="D3715" s="252"/>
    </row>
    <row r="3716" spans="1:4" ht="14.55" customHeight="1" outlineLevel="1" x14ac:dyDescent="0.25">
      <c r="A3716" s="230" t="s">
        <v>325</v>
      </c>
      <c r="B3716" s="231" t="s">
        <v>8289</v>
      </c>
      <c r="C3716" s="230" t="s">
        <v>8290</v>
      </c>
      <c r="D3716" s="252"/>
    </row>
    <row r="3717" spans="1:4" ht="14.55" customHeight="1" outlineLevel="1" x14ac:dyDescent="0.25">
      <c r="A3717" s="230" t="s">
        <v>325</v>
      </c>
      <c r="B3717" s="231" t="s">
        <v>8291</v>
      </c>
      <c r="C3717" s="230" t="s">
        <v>8292</v>
      </c>
      <c r="D3717" s="252"/>
    </row>
    <row r="3718" spans="1:4" ht="14.55" customHeight="1" outlineLevel="1" x14ac:dyDescent="0.25">
      <c r="A3718" s="230" t="s">
        <v>325</v>
      </c>
      <c r="B3718" s="231" t="s">
        <v>8293</v>
      </c>
      <c r="C3718" s="230" t="s">
        <v>8294</v>
      </c>
      <c r="D3718" s="252"/>
    </row>
    <row r="3719" spans="1:4" ht="14.55" customHeight="1" outlineLevel="1" x14ac:dyDescent="0.25">
      <c r="A3719" s="230" t="s">
        <v>325</v>
      </c>
      <c r="B3719" s="231" t="s">
        <v>8295</v>
      </c>
      <c r="C3719" s="230" t="s">
        <v>8296</v>
      </c>
      <c r="D3719" s="252"/>
    </row>
    <row r="3720" spans="1:4" ht="14.55" customHeight="1" outlineLevel="1" x14ac:dyDescent="0.25">
      <c r="A3720" s="230" t="s">
        <v>325</v>
      </c>
      <c r="B3720" s="231" t="s">
        <v>8297</v>
      </c>
      <c r="C3720" s="230" t="s">
        <v>8298</v>
      </c>
      <c r="D3720" s="252"/>
    </row>
    <row r="3721" spans="1:4" ht="14.55" customHeight="1" outlineLevel="1" x14ac:dyDescent="0.25">
      <c r="A3721" s="230" t="s">
        <v>325</v>
      </c>
      <c r="B3721" s="231" t="s">
        <v>8299</v>
      </c>
      <c r="C3721" s="230" t="s">
        <v>8300</v>
      </c>
      <c r="D3721" s="252"/>
    </row>
    <row r="3722" spans="1:4" ht="14.55" customHeight="1" outlineLevel="1" x14ac:dyDescent="0.25">
      <c r="A3722" s="230" t="s">
        <v>325</v>
      </c>
      <c r="B3722" s="231" t="s">
        <v>8301</v>
      </c>
      <c r="C3722" s="230" t="s">
        <v>8302</v>
      </c>
      <c r="D3722" s="252"/>
    </row>
    <row r="3723" spans="1:4" ht="14.55" customHeight="1" outlineLevel="1" x14ac:dyDescent="0.25">
      <c r="A3723" s="230" t="s">
        <v>325</v>
      </c>
      <c r="B3723" s="231" t="s">
        <v>8303</v>
      </c>
      <c r="C3723" s="230" t="s">
        <v>8304</v>
      </c>
      <c r="D3723" s="252"/>
    </row>
    <row r="3724" spans="1:4" ht="14.55" customHeight="1" outlineLevel="1" x14ac:dyDescent="0.25">
      <c r="A3724" s="230" t="s">
        <v>325</v>
      </c>
      <c r="B3724" s="231" t="s">
        <v>8305</v>
      </c>
      <c r="C3724" s="230" t="s">
        <v>8306</v>
      </c>
      <c r="D3724" s="252"/>
    </row>
    <row r="3725" spans="1:4" ht="14.55" customHeight="1" outlineLevel="1" x14ac:dyDescent="0.25">
      <c r="A3725" s="230" t="s">
        <v>325</v>
      </c>
      <c r="B3725" s="231" t="s">
        <v>8307</v>
      </c>
      <c r="C3725" s="230" t="s">
        <v>8308</v>
      </c>
      <c r="D3725" s="252"/>
    </row>
    <row r="3726" spans="1:4" ht="14.55" customHeight="1" outlineLevel="1" x14ac:dyDescent="0.25">
      <c r="A3726" s="230" t="s">
        <v>325</v>
      </c>
      <c r="B3726" s="231" t="s">
        <v>8309</v>
      </c>
      <c r="C3726" s="230" t="s">
        <v>8310</v>
      </c>
      <c r="D3726" s="252"/>
    </row>
    <row r="3727" spans="1:4" ht="14.55" customHeight="1" outlineLevel="1" x14ac:dyDescent="0.25">
      <c r="A3727" s="230" t="s">
        <v>325</v>
      </c>
      <c r="B3727" s="231" t="s">
        <v>8311</v>
      </c>
      <c r="C3727" s="230" t="s">
        <v>8312</v>
      </c>
      <c r="D3727" s="252"/>
    </row>
    <row r="3728" spans="1:4" ht="14.55" customHeight="1" outlineLevel="1" x14ac:dyDescent="0.25">
      <c r="A3728" s="230" t="s">
        <v>325</v>
      </c>
      <c r="B3728" s="231" t="s">
        <v>8313</v>
      </c>
      <c r="C3728" s="230" t="s">
        <v>8314</v>
      </c>
      <c r="D3728" s="252"/>
    </row>
    <row r="3729" spans="1:4" ht="14.55" customHeight="1" outlineLevel="1" x14ac:dyDescent="0.25">
      <c r="A3729" s="230" t="s">
        <v>325</v>
      </c>
      <c r="B3729" s="231" t="s">
        <v>8315</v>
      </c>
      <c r="C3729" s="230" t="s">
        <v>8316</v>
      </c>
      <c r="D3729" s="252"/>
    </row>
    <row r="3730" spans="1:4" ht="14.55" customHeight="1" outlineLevel="1" x14ac:dyDescent="0.25">
      <c r="A3730" s="230" t="s">
        <v>325</v>
      </c>
      <c r="B3730" s="231" t="s">
        <v>8317</v>
      </c>
      <c r="C3730" s="230" t="s">
        <v>8318</v>
      </c>
      <c r="D3730" s="252"/>
    </row>
    <row r="3731" spans="1:4" ht="14.55" customHeight="1" outlineLevel="1" x14ac:dyDescent="0.25">
      <c r="A3731" s="230" t="s">
        <v>325</v>
      </c>
      <c r="B3731" s="231" t="s">
        <v>8319</v>
      </c>
      <c r="C3731" s="230" t="s">
        <v>8320</v>
      </c>
      <c r="D3731" s="252"/>
    </row>
    <row r="3732" spans="1:4" ht="14.55" customHeight="1" outlineLevel="1" x14ac:dyDescent="0.25">
      <c r="A3732" s="230" t="s">
        <v>325</v>
      </c>
      <c r="B3732" s="231" t="s">
        <v>8321</v>
      </c>
      <c r="C3732" s="230" t="s">
        <v>8322</v>
      </c>
      <c r="D3732" s="252"/>
    </row>
    <row r="3733" spans="1:4" ht="14.55" customHeight="1" outlineLevel="1" x14ac:dyDescent="0.25">
      <c r="A3733" s="230" t="s">
        <v>325</v>
      </c>
      <c r="B3733" s="231" t="s">
        <v>8323</v>
      </c>
      <c r="C3733" s="230" t="s">
        <v>8324</v>
      </c>
      <c r="D3733" s="252"/>
    </row>
    <row r="3734" spans="1:4" ht="14.55" customHeight="1" outlineLevel="1" x14ac:dyDescent="0.25">
      <c r="A3734" s="230" t="s">
        <v>325</v>
      </c>
      <c r="B3734" s="231" t="s">
        <v>8325</v>
      </c>
      <c r="C3734" s="230" t="s">
        <v>8326</v>
      </c>
      <c r="D3734" s="252"/>
    </row>
    <row r="3735" spans="1:4" ht="14.55" customHeight="1" outlineLevel="1" x14ac:dyDescent="0.25">
      <c r="A3735" s="230" t="s">
        <v>325</v>
      </c>
      <c r="B3735" s="231" t="s">
        <v>8327</v>
      </c>
      <c r="C3735" s="230" t="s">
        <v>8328</v>
      </c>
      <c r="D3735" s="252"/>
    </row>
    <row r="3736" spans="1:4" ht="14.55" customHeight="1" outlineLevel="1" x14ac:dyDescent="0.25">
      <c r="A3736" s="230" t="s">
        <v>325</v>
      </c>
      <c r="B3736" s="231" t="s">
        <v>8329</v>
      </c>
      <c r="C3736" s="230" t="s">
        <v>8330</v>
      </c>
      <c r="D3736" s="252"/>
    </row>
    <row r="3737" spans="1:4" ht="14.55" customHeight="1" outlineLevel="1" x14ac:dyDescent="0.25">
      <c r="A3737" s="230" t="s">
        <v>325</v>
      </c>
      <c r="B3737" s="231" t="s">
        <v>8331</v>
      </c>
      <c r="C3737" s="230" t="s">
        <v>8332</v>
      </c>
      <c r="D3737" s="252"/>
    </row>
    <row r="3738" spans="1:4" ht="14.55" customHeight="1" outlineLevel="1" x14ac:dyDescent="0.25">
      <c r="A3738" s="230" t="s">
        <v>325</v>
      </c>
      <c r="B3738" s="231" t="s">
        <v>8333</v>
      </c>
      <c r="C3738" s="230" t="s">
        <v>8334</v>
      </c>
      <c r="D3738" s="252"/>
    </row>
    <row r="3739" spans="1:4" ht="14.55" customHeight="1" outlineLevel="1" x14ac:dyDescent="0.25">
      <c r="A3739" s="230" t="s">
        <v>325</v>
      </c>
      <c r="B3739" s="231" t="s">
        <v>8335</v>
      </c>
      <c r="C3739" s="230" t="s">
        <v>8336</v>
      </c>
      <c r="D3739" s="252"/>
    </row>
    <row r="3740" spans="1:4" ht="14.55" customHeight="1" outlineLevel="1" x14ac:dyDescent="0.25">
      <c r="A3740" s="230" t="s">
        <v>325</v>
      </c>
      <c r="B3740" s="231" t="s">
        <v>8337</v>
      </c>
      <c r="C3740" s="230" t="s">
        <v>8338</v>
      </c>
      <c r="D3740" s="252"/>
    </row>
    <row r="3741" spans="1:4" ht="14.55" customHeight="1" outlineLevel="1" x14ac:dyDescent="0.25">
      <c r="A3741" s="230" t="s">
        <v>325</v>
      </c>
      <c r="B3741" s="231" t="s">
        <v>8339</v>
      </c>
      <c r="C3741" s="230" t="s">
        <v>8340</v>
      </c>
      <c r="D3741" s="252"/>
    </row>
    <row r="3742" spans="1:4" ht="14.55" customHeight="1" outlineLevel="1" x14ac:dyDescent="0.25">
      <c r="A3742" s="230" t="s">
        <v>325</v>
      </c>
      <c r="B3742" s="231" t="s">
        <v>8341</v>
      </c>
      <c r="C3742" s="230" t="s">
        <v>8342</v>
      </c>
      <c r="D3742" s="252"/>
    </row>
    <row r="3743" spans="1:4" ht="14.55" customHeight="1" outlineLevel="1" x14ac:dyDescent="0.25">
      <c r="A3743" s="230" t="s">
        <v>325</v>
      </c>
      <c r="B3743" s="231" t="s">
        <v>8343</v>
      </c>
      <c r="C3743" s="230" t="s">
        <v>8344</v>
      </c>
      <c r="D3743" s="252"/>
    </row>
    <row r="3744" spans="1:4" ht="14.55" customHeight="1" outlineLevel="1" x14ac:dyDescent="0.25">
      <c r="A3744" s="230" t="s">
        <v>325</v>
      </c>
      <c r="B3744" s="231" t="s">
        <v>8345</v>
      </c>
      <c r="C3744" s="230" t="s">
        <v>8346</v>
      </c>
      <c r="D3744" s="252"/>
    </row>
    <row r="3745" spans="1:4" ht="14.55" customHeight="1" outlineLevel="1" x14ac:dyDescent="0.25">
      <c r="A3745" s="230" t="s">
        <v>325</v>
      </c>
      <c r="B3745" s="231" t="s">
        <v>8347</v>
      </c>
      <c r="C3745" s="230" t="s">
        <v>8348</v>
      </c>
      <c r="D3745" s="252"/>
    </row>
    <row r="3746" spans="1:4" ht="14.55" customHeight="1" outlineLevel="1" x14ac:dyDescent="0.25">
      <c r="A3746" s="230" t="s">
        <v>325</v>
      </c>
      <c r="B3746" s="231" t="s">
        <v>8349</v>
      </c>
      <c r="C3746" s="230" t="s">
        <v>8350</v>
      </c>
      <c r="D3746" s="252"/>
    </row>
    <row r="3747" spans="1:4" ht="14.55" customHeight="1" outlineLevel="1" x14ac:dyDescent="0.25">
      <c r="A3747" s="230" t="s">
        <v>325</v>
      </c>
      <c r="B3747" s="231" t="s">
        <v>8351</v>
      </c>
      <c r="C3747" s="230" t="s">
        <v>8352</v>
      </c>
      <c r="D3747" s="252"/>
    </row>
    <row r="3748" spans="1:4" ht="14.55" customHeight="1" outlineLevel="1" x14ac:dyDescent="0.25">
      <c r="A3748" s="230" t="s">
        <v>325</v>
      </c>
      <c r="B3748" s="231" t="s">
        <v>8353</v>
      </c>
      <c r="C3748" s="230" t="s">
        <v>8354</v>
      </c>
      <c r="D3748" s="252"/>
    </row>
    <row r="3749" spans="1:4" ht="14.55" customHeight="1" outlineLevel="1" x14ac:dyDescent="0.25">
      <c r="A3749" s="230" t="s">
        <v>325</v>
      </c>
      <c r="B3749" s="231" t="s">
        <v>8355</v>
      </c>
      <c r="C3749" s="230" t="s">
        <v>8356</v>
      </c>
      <c r="D3749" s="252"/>
    </row>
    <row r="3750" spans="1:4" ht="14.55" customHeight="1" outlineLevel="1" x14ac:dyDescent="0.25">
      <c r="A3750" s="230" t="s">
        <v>325</v>
      </c>
      <c r="B3750" s="231" t="s">
        <v>8357</v>
      </c>
      <c r="C3750" s="230" t="s">
        <v>8358</v>
      </c>
      <c r="D3750" s="252"/>
    </row>
    <row r="3751" spans="1:4" ht="14.55" customHeight="1" outlineLevel="1" x14ac:dyDescent="0.25">
      <c r="A3751" s="230" t="s">
        <v>325</v>
      </c>
      <c r="B3751" s="231" t="s">
        <v>8359</v>
      </c>
      <c r="C3751" s="230" t="s">
        <v>8360</v>
      </c>
      <c r="D3751" s="252"/>
    </row>
    <row r="3752" spans="1:4" ht="14.55" customHeight="1" outlineLevel="1" x14ac:dyDescent="0.25">
      <c r="A3752" s="230" t="s">
        <v>325</v>
      </c>
      <c r="B3752" s="231" t="s">
        <v>8361</v>
      </c>
      <c r="C3752" s="230" t="s">
        <v>8362</v>
      </c>
      <c r="D3752" s="252"/>
    </row>
    <row r="3753" spans="1:4" ht="14.55" customHeight="1" outlineLevel="1" x14ac:dyDescent="0.25">
      <c r="A3753" s="230" t="s">
        <v>325</v>
      </c>
      <c r="B3753" s="231" t="s">
        <v>8363</v>
      </c>
      <c r="C3753" s="230" t="s">
        <v>8364</v>
      </c>
      <c r="D3753" s="252"/>
    </row>
    <row r="3754" spans="1:4" ht="14.55" customHeight="1" outlineLevel="1" x14ac:dyDescent="0.25">
      <c r="A3754" s="230" t="s">
        <v>325</v>
      </c>
      <c r="B3754" s="231" t="s">
        <v>8365</v>
      </c>
      <c r="C3754" s="230" t="s">
        <v>8366</v>
      </c>
      <c r="D3754" s="252"/>
    </row>
    <row r="3755" spans="1:4" ht="14.55" customHeight="1" outlineLevel="1" x14ac:dyDescent="0.25">
      <c r="A3755" s="230" t="s">
        <v>325</v>
      </c>
      <c r="B3755" s="231" t="s">
        <v>8367</v>
      </c>
      <c r="C3755" s="230" t="s">
        <v>8368</v>
      </c>
      <c r="D3755" s="252"/>
    </row>
    <row r="3756" spans="1:4" ht="14.55" customHeight="1" outlineLevel="1" x14ac:dyDescent="0.25">
      <c r="A3756" s="230" t="s">
        <v>325</v>
      </c>
      <c r="B3756" s="231" t="s">
        <v>8369</v>
      </c>
      <c r="C3756" s="230" t="s">
        <v>8370</v>
      </c>
      <c r="D3756" s="252"/>
    </row>
    <row r="3757" spans="1:4" ht="14.55" customHeight="1" outlineLevel="1" x14ac:dyDescent="0.25">
      <c r="A3757" s="230" t="s">
        <v>325</v>
      </c>
      <c r="B3757" s="231" t="s">
        <v>8371</v>
      </c>
      <c r="C3757" s="230" t="s">
        <v>8372</v>
      </c>
      <c r="D3757" s="252"/>
    </row>
    <row r="3758" spans="1:4" ht="14.55" customHeight="1" outlineLevel="1" x14ac:dyDescent="0.25">
      <c r="A3758" s="230" t="s">
        <v>325</v>
      </c>
      <c r="B3758" s="231" t="s">
        <v>8373</v>
      </c>
      <c r="C3758" s="230" t="s">
        <v>8374</v>
      </c>
      <c r="D3758" s="252"/>
    </row>
    <row r="3759" spans="1:4" ht="14.55" customHeight="1" outlineLevel="1" x14ac:dyDescent="0.25">
      <c r="A3759" s="230" t="s">
        <v>325</v>
      </c>
      <c r="B3759" s="231" t="s">
        <v>8375</v>
      </c>
      <c r="C3759" s="230" t="s">
        <v>8376</v>
      </c>
      <c r="D3759" s="252"/>
    </row>
    <row r="3760" spans="1:4" ht="14.55" customHeight="1" outlineLevel="1" x14ac:dyDescent="0.25">
      <c r="A3760" s="230" t="s">
        <v>325</v>
      </c>
      <c r="B3760" s="231" t="s">
        <v>8377</v>
      </c>
      <c r="C3760" s="230" t="s">
        <v>8378</v>
      </c>
      <c r="D3760" s="252"/>
    </row>
    <row r="3761" spans="1:4" ht="14.55" customHeight="1" outlineLevel="1" x14ac:dyDescent="0.25">
      <c r="A3761" s="230" t="s">
        <v>325</v>
      </c>
      <c r="B3761" s="231" t="s">
        <v>8379</v>
      </c>
      <c r="C3761" s="230" t="s">
        <v>8380</v>
      </c>
      <c r="D3761" s="252"/>
    </row>
    <row r="3762" spans="1:4" ht="14.55" customHeight="1" outlineLevel="1" x14ac:dyDescent="0.25">
      <c r="A3762" s="230" t="s">
        <v>325</v>
      </c>
      <c r="B3762" s="231" t="s">
        <v>8381</v>
      </c>
      <c r="C3762" s="230" t="s">
        <v>8382</v>
      </c>
      <c r="D3762" s="252"/>
    </row>
    <row r="3763" spans="1:4" ht="14.55" customHeight="1" outlineLevel="1" x14ac:dyDescent="0.25">
      <c r="A3763" s="230" t="s">
        <v>325</v>
      </c>
      <c r="B3763" s="231" t="s">
        <v>8383</v>
      </c>
      <c r="C3763" s="230" t="s">
        <v>8384</v>
      </c>
      <c r="D3763" s="252"/>
    </row>
    <row r="3764" spans="1:4" ht="14.55" customHeight="1" outlineLevel="1" x14ac:dyDescent="0.25">
      <c r="A3764" s="230" t="s">
        <v>325</v>
      </c>
      <c r="B3764" s="231" t="s">
        <v>8385</v>
      </c>
      <c r="C3764" s="230" t="s">
        <v>8386</v>
      </c>
      <c r="D3764" s="252"/>
    </row>
    <row r="3765" spans="1:4" ht="14.55" customHeight="1" outlineLevel="1" x14ac:dyDescent="0.25">
      <c r="A3765" s="230" t="s">
        <v>325</v>
      </c>
      <c r="B3765" s="231" t="s">
        <v>8387</v>
      </c>
      <c r="C3765" s="230" t="s">
        <v>8388</v>
      </c>
      <c r="D3765" s="252"/>
    </row>
    <row r="3766" spans="1:4" ht="14.55" customHeight="1" outlineLevel="1" x14ac:dyDescent="0.25">
      <c r="A3766" s="230" t="s">
        <v>325</v>
      </c>
      <c r="B3766" s="231" t="s">
        <v>8389</v>
      </c>
      <c r="C3766" s="230" t="s">
        <v>8390</v>
      </c>
      <c r="D3766" s="252"/>
    </row>
    <row r="3767" spans="1:4" ht="14.55" customHeight="1" outlineLevel="1" x14ac:dyDescent="0.25">
      <c r="A3767" s="230" t="s">
        <v>325</v>
      </c>
      <c r="B3767" s="231" t="s">
        <v>8391</v>
      </c>
      <c r="C3767" s="230" t="s">
        <v>8392</v>
      </c>
      <c r="D3767" s="252"/>
    </row>
    <row r="3768" spans="1:4" ht="14.55" customHeight="1" outlineLevel="1" x14ac:dyDescent="0.25">
      <c r="A3768" s="230" t="s">
        <v>325</v>
      </c>
      <c r="B3768" s="231" t="s">
        <v>8393</v>
      </c>
      <c r="C3768" s="230" t="s">
        <v>8394</v>
      </c>
      <c r="D3768" s="252"/>
    </row>
    <row r="3769" spans="1:4" ht="14.55" customHeight="1" outlineLevel="1" x14ac:dyDescent="0.25">
      <c r="A3769" s="230" t="s">
        <v>325</v>
      </c>
      <c r="B3769" s="231" t="s">
        <v>8395</v>
      </c>
      <c r="C3769" s="230" t="s">
        <v>8396</v>
      </c>
      <c r="D3769" s="252"/>
    </row>
    <row r="3770" spans="1:4" ht="14.55" customHeight="1" outlineLevel="1" x14ac:dyDescent="0.25">
      <c r="A3770" s="230" t="s">
        <v>325</v>
      </c>
      <c r="B3770" s="231" t="s">
        <v>8397</v>
      </c>
      <c r="C3770" s="230" t="s">
        <v>8398</v>
      </c>
      <c r="D3770" s="252"/>
    </row>
    <row r="3771" spans="1:4" ht="14.55" customHeight="1" outlineLevel="1" x14ac:dyDescent="0.25">
      <c r="A3771" s="230" t="s">
        <v>325</v>
      </c>
      <c r="B3771" s="231" t="s">
        <v>8399</v>
      </c>
      <c r="C3771" s="230" t="s">
        <v>8400</v>
      </c>
      <c r="D3771" s="252"/>
    </row>
    <row r="3772" spans="1:4" ht="14.55" customHeight="1" outlineLevel="1" x14ac:dyDescent="0.25">
      <c r="A3772" s="230" t="s">
        <v>325</v>
      </c>
      <c r="B3772" s="231" t="s">
        <v>8401</v>
      </c>
      <c r="C3772" s="230" t="s">
        <v>8402</v>
      </c>
      <c r="D3772" s="252"/>
    </row>
    <row r="3773" spans="1:4" ht="14.55" customHeight="1" outlineLevel="1" x14ac:dyDescent="0.25">
      <c r="A3773" s="230" t="s">
        <v>325</v>
      </c>
      <c r="B3773" s="231" t="s">
        <v>8403</v>
      </c>
      <c r="C3773" s="230" t="s">
        <v>8404</v>
      </c>
      <c r="D3773" s="252"/>
    </row>
    <row r="3774" spans="1:4" ht="14.55" customHeight="1" outlineLevel="1" x14ac:dyDescent="0.25">
      <c r="A3774" s="230" t="s">
        <v>325</v>
      </c>
      <c r="B3774" s="231" t="s">
        <v>8405</v>
      </c>
      <c r="C3774" s="230" t="s">
        <v>8406</v>
      </c>
      <c r="D3774" s="252"/>
    </row>
    <row r="3775" spans="1:4" ht="14.55" customHeight="1" outlineLevel="1" x14ac:dyDescent="0.25">
      <c r="A3775" s="230" t="s">
        <v>325</v>
      </c>
      <c r="B3775" s="231" t="s">
        <v>8407</v>
      </c>
      <c r="C3775" s="230" t="s">
        <v>8408</v>
      </c>
      <c r="D3775" s="252"/>
    </row>
    <row r="3776" spans="1:4" ht="14.55" customHeight="1" outlineLevel="1" x14ac:dyDescent="0.25">
      <c r="A3776" s="230" t="s">
        <v>325</v>
      </c>
      <c r="B3776" s="231" t="s">
        <v>8409</v>
      </c>
      <c r="C3776" s="230" t="s">
        <v>8410</v>
      </c>
      <c r="D3776" s="252"/>
    </row>
    <row r="3777" spans="1:4" ht="14.55" customHeight="1" outlineLevel="1" x14ac:dyDescent="0.25">
      <c r="A3777" s="230" t="s">
        <v>325</v>
      </c>
      <c r="B3777" s="231" t="s">
        <v>8411</v>
      </c>
      <c r="C3777" s="230" t="s">
        <v>8412</v>
      </c>
      <c r="D3777" s="252"/>
    </row>
    <row r="3778" spans="1:4" ht="14.55" customHeight="1" outlineLevel="1" x14ac:dyDescent="0.25">
      <c r="A3778" s="230" t="s">
        <v>325</v>
      </c>
      <c r="B3778" s="231" t="s">
        <v>8413</v>
      </c>
      <c r="C3778" s="230" t="s">
        <v>8414</v>
      </c>
      <c r="D3778" s="252"/>
    </row>
    <row r="3779" spans="1:4" ht="14.55" customHeight="1" outlineLevel="1" x14ac:dyDescent="0.25">
      <c r="A3779" s="230" t="s">
        <v>325</v>
      </c>
      <c r="B3779" s="231" t="s">
        <v>8415</v>
      </c>
      <c r="C3779" s="230" t="s">
        <v>8416</v>
      </c>
      <c r="D3779" s="252"/>
    </row>
    <row r="3780" spans="1:4" ht="14.55" customHeight="1" outlineLevel="1" x14ac:dyDescent="0.25">
      <c r="A3780" s="230" t="s">
        <v>325</v>
      </c>
      <c r="B3780" s="231" t="s">
        <v>8417</v>
      </c>
      <c r="C3780" s="230" t="s">
        <v>8418</v>
      </c>
      <c r="D3780" s="252"/>
    </row>
    <row r="3781" spans="1:4" ht="14.55" customHeight="1" outlineLevel="1" x14ac:dyDescent="0.25">
      <c r="A3781" s="230" t="s">
        <v>325</v>
      </c>
      <c r="B3781" s="231" t="s">
        <v>8419</v>
      </c>
      <c r="C3781" s="230" t="s">
        <v>8420</v>
      </c>
      <c r="D3781" s="252"/>
    </row>
    <row r="3782" spans="1:4" ht="14.55" customHeight="1" outlineLevel="1" x14ac:dyDescent="0.25">
      <c r="A3782" s="230" t="s">
        <v>325</v>
      </c>
      <c r="B3782" s="231" t="s">
        <v>8421</v>
      </c>
      <c r="C3782" s="230" t="s">
        <v>8422</v>
      </c>
      <c r="D3782" s="252"/>
    </row>
    <row r="3783" spans="1:4" ht="14.55" customHeight="1" outlineLevel="1" x14ac:dyDescent="0.25">
      <c r="A3783" s="230" t="s">
        <v>325</v>
      </c>
      <c r="B3783" s="231" t="s">
        <v>8423</v>
      </c>
      <c r="C3783" s="230" t="s">
        <v>8424</v>
      </c>
      <c r="D3783" s="252"/>
    </row>
    <row r="3784" spans="1:4" ht="14.55" customHeight="1" outlineLevel="1" x14ac:dyDescent="0.25">
      <c r="A3784" s="230" t="s">
        <v>325</v>
      </c>
      <c r="B3784" s="231" t="s">
        <v>8425</v>
      </c>
      <c r="C3784" s="230" t="s">
        <v>8426</v>
      </c>
      <c r="D3784" s="252"/>
    </row>
    <row r="3785" spans="1:4" ht="14.55" customHeight="1" outlineLevel="1" x14ac:dyDescent="0.25">
      <c r="A3785" s="230" t="s">
        <v>325</v>
      </c>
      <c r="B3785" s="231" t="s">
        <v>8427</v>
      </c>
      <c r="C3785" s="230" t="s">
        <v>8428</v>
      </c>
      <c r="D3785" s="252"/>
    </row>
    <row r="3786" spans="1:4" ht="14.55" customHeight="1" outlineLevel="1" x14ac:dyDescent="0.25">
      <c r="A3786" s="230" t="s">
        <v>325</v>
      </c>
      <c r="B3786" s="231" t="s">
        <v>8429</v>
      </c>
      <c r="C3786" s="230" t="s">
        <v>8430</v>
      </c>
      <c r="D3786" s="252"/>
    </row>
    <row r="3787" spans="1:4" ht="14.55" customHeight="1" outlineLevel="1" x14ac:dyDescent="0.25">
      <c r="A3787" s="230" t="s">
        <v>325</v>
      </c>
      <c r="B3787" s="231" t="s">
        <v>8431</v>
      </c>
      <c r="C3787" s="230" t="s">
        <v>8432</v>
      </c>
      <c r="D3787" s="252"/>
    </row>
    <row r="3788" spans="1:4" ht="14.55" customHeight="1" outlineLevel="1" x14ac:dyDescent="0.25">
      <c r="A3788" s="230" t="s">
        <v>325</v>
      </c>
      <c r="B3788" s="231" t="s">
        <v>8433</v>
      </c>
      <c r="C3788" s="230" t="s">
        <v>8434</v>
      </c>
      <c r="D3788" s="252"/>
    </row>
    <row r="3789" spans="1:4" ht="14.55" customHeight="1" outlineLevel="1" x14ac:dyDescent="0.25">
      <c r="A3789" s="230" t="s">
        <v>325</v>
      </c>
      <c r="B3789" s="231" t="s">
        <v>8435</v>
      </c>
      <c r="C3789" s="230" t="s">
        <v>8436</v>
      </c>
      <c r="D3789" s="252"/>
    </row>
    <row r="3790" spans="1:4" ht="14.55" customHeight="1" outlineLevel="1" x14ac:dyDescent="0.25">
      <c r="A3790" s="230" t="s">
        <v>325</v>
      </c>
      <c r="B3790" s="231" t="s">
        <v>8437</v>
      </c>
      <c r="C3790" s="230" t="s">
        <v>8438</v>
      </c>
      <c r="D3790" s="252"/>
    </row>
    <row r="3791" spans="1:4" ht="14.55" customHeight="1" outlineLevel="1" x14ac:dyDescent="0.25">
      <c r="A3791" s="230" t="s">
        <v>325</v>
      </c>
      <c r="B3791" s="231" t="s">
        <v>8439</v>
      </c>
      <c r="C3791" s="230" t="s">
        <v>8440</v>
      </c>
      <c r="D3791" s="252"/>
    </row>
    <row r="3792" spans="1:4" ht="14.55" customHeight="1" outlineLevel="1" x14ac:dyDescent="0.25">
      <c r="A3792" s="230" t="s">
        <v>325</v>
      </c>
      <c r="B3792" s="231" t="s">
        <v>8441</v>
      </c>
      <c r="C3792" s="230" t="s">
        <v>8442</v>
      </c>
      <c r="D3792" s="252"/>
    </row>
    <row r="3793" spans="1:4" ht="14.55" customHeight="1" outlineLevel="1" x14ac:dyDescent="0.25">
      <c r="A3793" s="230" t="s">
        <v>325</v>
      </c>
      <c r="B3793" s="231" t="s">
        <v>8443</v>
      </c>
      <c r="C3793" s="230" t="s">
        <v>8444</v>
      </c>
      <c r="D3793" s="252"/>
    </row>
    <row r="3794" spans="1:4" ht="14.55" customHeight="1" outlineLevel="1" x14ac:dyDescent="0.25">
      <c r="A3794" s="230" t="s">
        <v>325</v>
      </c>
      <c r="B3794" s="231" t="s">
        <v>8445</v>
      </c>
      <c r="C3794" s="230" t="s">
        <v>8446</v>
      </c>
      <c r="D3794" s="252"/>
    </row>
    <row r="3795" spans="1:4" ht="14.55" customHeight="1" outlineLevel="1" x14ac:dyDescent="0.25">
      <c r="A3795" s="230" t="s">
        <v>325</v>
      </c>
      <c r="B3795" s="231" t="s">
        <v>8447</v>
      </c>
      <c r="C3795" s="230" t="s">
        <v>8448</v>
      </c>
      <c r="D3795" s="252"/>
    </row>
    <row r="3796" spans="1:4" ht="14.55" customHeight="1" outlineLevel="1" x14ac:dyDescent="0.25">
      <c r="A3796" s="230" t="s">
        <v>325</v>
      </c>
      <c r="B3796" s="231" t="s">
        <v>8449</v>
      </c>
      <c r="C3796" s="230" t="s">
        <v>8450</v>
      </c>
      <c r="D3796" s="252"/>
    </row>
    <row r="3797" spans="1:4" ht="14.55" customHeight="1" outlineLevel="1" x14ac:dyDescent="0.25">
      <c r="A3797" s="230" t="s">
        <v>325</v>
      </c>
      <c r="B3797" s="231" t="s">
        <v>8451</v>
      </c>
      <c r="C3797" s="230" t="s">
        <v>8452</v>
      </c>
      <c r="D3797" s="252"/>
    </row>
    <row r="3798" spans="1:4" ht="14.55" customHeight="1" outlineLevel="1" x14ac:dyDescent="0.25">
      <c r="A3798" s="230" t="s">
        <v>325</v>
      </c>
      <c r="B3798" s="231" t="s">
        <v>8453</v>
      </c>
      <c r="C3798" s="230" t="s">
        <v>8454</v>
      </c>
      <c r="D3798" s="252"/>
    </row>
    <row r="3799" spans="1:4" ht="14.55" customHeight="1" outlineLevel="1" x14ac:dyDescent="0.25">
      <c r="A3799" s="230" t="s">
        <v>325</v>
      </c>
      <c r="B3799" s="231" t="s">
        <v>8455</v>
      </c>
      <c r="C3799" s="230" t="s">
        <v>8456</v>
      </c>
      <c r="D3799" s="252"/>
    </row>
    <row r="3800" spans="1:4" ht="14.55" customHeight="1" outlineLevel="1" x14ac:dyDescent="0.25">
      <c r="A3800" s="230" t="s">
        <v>325</v>
      </c>
      <c r="B3800" s="231" t="s">
        <v>8457</v>
      </c>
      <c r="C3800" s="230" t="s">
        <v>8458</v>
      </c>
      <c r="D3800" s="252"/>
    </row>
    <row r="3801" spans="1:4" ht="14.55" customHeight="1" outlineLevel="1" x14ac:dyDescent="0.25">
      <c r="A3801" s="230" t="s">
        <v>325</v>
      </c>
      <c r="B3801" s="231" t="s">
        <v>8459</v>
      </c>
      <c r="C3801" s="230" t="s">
        <v>8460</v>
      </c>
      <c r="D3801" s="252"/>
    </row>
    <row r="3802" spans="1:4" ht="14.55" customHeight="1" outlineLevel="1" x14ac:dyDescent="0.25">
      <c r="A3802" s="230" t="s">
        <v>325</v>
      </c>
      <c r="B3802" s="231" t="s">
        <v>8461</v>
      </c>
      <c r="C3802" s="230" t="s">
        <v>8462</v>
      </c>
      <c r="D3802" s="252"/>
    </row>
    <row r="3803" spans="1:4" ht="14.55" customHeight="1" outlineLevel="1" x14ac:dyDescent="0.25">
      <c r="A3803" s="230" t="s">
        <v>325</v>
      </c>
      <c r="B3803" s="231" t="s">
        <v>8463</v>
      </c>
      <c r="C3803" s="230" t="s">
        <v>8464</v>
      </c>
      <c r="D3803" s="252"/>
    </row>
    <row r="3804" spans="1:4" ht="14.55" customHeight="1" outlineLevel="1" x14ac:dyDescent="0.25">
      <c r="A3804" s="230" t="s">
        <v>325</v>
      </c>
      <c r="B3804" s="231" t="s">
        <v>8465</v>
      </c>
      <c r="C3804" s="230" t="s">
        <v>8466</v>
      </c>
      <c r="D3804" s="252"/>
    </row>
    <row r="3805" spans="1:4" ht="14.55" customHeight="1" outlineLevel="1" x14ac:dyDescent="0.25">
      <c r="A3805" s="230" t="s">
        <v>325</v>
      </c>
      <c r="B3805" s="231" t="s">
        <v>8467</v>
      </c>
      <c r="C3805" s="230" t="s">
        <v>8468</v>
      </c>
      <c r="D3805" s="252"/>
    </row>
    <row r="3806" spans="1:4" ht="14.55" customHeight="1" outlineLevel="1" x14ac:dyDescent="0.25">
      <c r="A3806" s="230" t="s">
        <v>325</v>
      </c>
      <c r="B3806" s="231" t="s">
        <v>8469</v>
      </c>
      <c r="C3806" s="230" t="s">
        <v>8470</v>
      </c>
      <c r="D3806" s="252"/>
    </row>
    <row r="3807" spans="1:4" ht="14.55" customHeight="1" outlineLevel="1" x14ac:dyDescent="0.25">
      <c r="A3807" s="230" t="s">
        <v>325</v>
      </c>
      <c r="B3807" s="231" t="s">
        <v>8471</v>
      </c>
      <c r="C3807" s="230" t="s">
        <v>8472</v>
      </c>
      <c r="D3807" s="252"/>
    </row>
    <row r="3808" spans="1:4" ht="14.55" customHeight="1" outlineLevel="1" x14ac:dyDescent="0.25">
      <c r="A3808" s="230" t="s">
        <v>325</v>
      </c>
      <c r="B3808" s="231" t="s">
        <v>8473</v>
      </c>
      <c r="C3808" s="230" t="s">
        <v>8474</v>
      </c>
      <c r="D3808" s="252"/>
    </row>
    <row r="3809" spans="1:4" ht="14.55" customHeight="1" outlineLevel="1" x14ac:dyDescent="0.25">
      <c r="A3809" s="230" t="s">
        <v>325</v>
      </c>
      <c r="B3809" s="231" t="s">
        <v>8475</v>
      </c>
      <c r="C3809" s="230" t="s">
        <v>8476</v>
      </c>
      <c r="D3809" s="252"/>
    </row>
    <row r="3810" spans="1:4" ht="14.55" customHeight="1" outlineLevel="1" x14ac:dyDescent="0.25">
      <c r="A3810" s="230" t="s">
        <v>325</v>
      </c>
      <c r="B3810" s="231" t="s">
        <v>8477</v>
      </c>
      <c r="C3810" s="230" t="s">
        <v>8478</v>
      </c>
      <c r="D3810" s="252"/>
    </row>
    <row r="3811" spans="1:4" ht="14.55" customHeight="1" outlineLevel="1" x14ac:dyDescent="0.25">
      <c r="A3811" s="230" t="s">
        <v>325</v>
      </c>
      <c r="B3811" s="231" t="s">
        <v>8479</v>
      </c>
      <c r="C3811" s="230" t="s">
        <v>8480</v>
      </c>
      <c r="D3811" s="252"/>
    </row>
    <row r="3812" spans="1:4" ht="14.55" customHeight="1" outlineLevel="1" x14ac:dyDescent="0.25">
      <c r="A3812" s="230" t="s">
        <v>325</v>
      </c>
      <c r="B3812" s="231" t="s">
        <v>8481</v>
      </c>
      <c r="C3812" s="230" t="s">
        <v>8482</v>
      </c>
      <c r="D3812" s="252"/>
    </row>
    <row r="3813" spans="1:4" ht="14.55" customHeight="1" outlineLevel="1" x14ac:dyDescent="0.25">
      <c r="A3813" s="230" t="s">
        <v>325</v>
      </c>
      <c r="B3813" s="231" t="s">
        <v>8483</v>
      </c>
      <c r="C3813" s="230" t="s">
        <v>8484</v>
      </c>
      <c r="D3813" s="252"/>
    </row>
    <row r="3814" spans="1:4" ht="14.55" customHeight="1" outlineLevel="1" x14ac:dyDescent="0.25">
      <c r="A3814" s="230" t="s">
        <v>325</v>
      </c>
      <c r="B3814" s="231" t="s">
        <v>8485</v>
      </c>
      <c r="C3814" s="230" t="s">
        <v>8486</v>
      </c>
      <c r="D3814" s="252"/>
    </row>
    <row r="3815" spans="1:4" ht="14.55" customHeight="1" outlineLevel="1" x14ac:dyDescent="0.25">
      <c r="A3815" s="230" t="s">
        <v>325</v>
      </c>
      <c r="B3815" s="231" t="s">
        <v>8487</v>
      </c>
      <c r="C3815" s="230" t="s">
        <v>8488</v>
      </c>
      <c r="D3815" s="252"/>
    </row>
    <row r="3816" spans="1:4" ht="14.55" customHeight="1" outlineLevel="1" x14ac:dyDescent="0.25">
      <c r="A3816" s="230" t="s">
        <v>325</v>
      </c>
      <c r="B3816" s="231" t="s">
        <v>8489</v>
      </c>
      <c r="C3816" s="230" t="s">
        <v>8490</v>
      </c>
    </row>
    <row r="3817" spans="1:4" ht="14.55" customHeight="1" outlineLevel="1" x14ac:dyDescent="0.25">
      <c r="A3817" s="230" t="s">
        <v>325</v>
      </c>
      <c r="B3817" s="231" t="s">
        <v>8491</v>
      </c>
      <c r="C3817" s="230" t="s">
        <v>8492</v>
      </c>
      <c r="D3817" s="252"/>
    </row>
    <row r="3818" spans="1:4" ht="14.55" customHeight="1" outlineLevel="1" x14ac:dyDescent="0.25">
      <c r="A3818" s="230" t="s">
        <v>325</v>
      </c>
      <c r="B3818" s="231" t="s">
        <v>8493</v>
      </c>
      <c r="C3818" s="230" t="s">
        <v>8494</v>
      </c>
      <c r="D3818" s="252"/>
    </row>
    <row r="3819" spans="1:4" ht="14.55" customHeight="1" outlineLevel="1" x14ac:dyDescent="0.25">
      <c r="A3819" s="230" t="s">
        <v>325</v>
      </c>
      <c r="B3819" s="231" t="s">
        <v>8495</v>
      </c>
      <c r="C3819" s="230" t="s">
        <v>8496</v>
      </c>
      <c r="D3819" s="252"/>
    </row>
    <row r="3820" spans="1:4" ht="14.55" customHeight="1" outlineLevel="1" x14ac:dyDescent="0.25">
      <c r="A3820" s="230" t="s">
        <v>325</v>
      </c>
      <c r="B3820" s="231" t="s">
        <v>8497</v>
      </c>
      <c r="C3820" s="230" t="s">
        <v>8498</v>
      </c>
      <c r="D3820" s="252"/>
    </row>
    <row r="3821" spans="1:4" ht="14.55" customHeight="1" outlineLevel="1" x14ac:dyDescent="0.25">
      <c r="A3821" s="230" t="s">
        <v>325</v>
      </c>
      <c r="B3821" s="231" t="s">
        <v>8499</v>
      </c>
      <c r="C3821" s="230" t="s">
        <v>8500</v>
      </c>
      <c r="D3821" s="252"/>
    </row>
    <row r="3822" spans="1:4" ht="14.55" customHeight="1" outlineLevel="1" x14ac:dyDescent="0.25">
      <c r="A3822" s="230" t="s">
        <v>325</v>
      </c>
      <c r="B3822" s="231" t="s">
        <v>8501</v>
      </c>
      <c r="C3822" s="230" t="s">
        <v>8502</v>
      </c>
      <c r="D3822" s="252"/>
    </row>
    <row r="3823" spans="1:4" ht="14.55" customHeight="1" outlineLevel="1" x14ac:dyDescent="0.25">
      <c r="A3823" s="230" t="s">
        <v>325</v>
      </c>
      <c r="B3823" s="231" t="s">
        <v>8503</v>
      </c>
      <c r="C3823" s="230" t="s">
        <v>8504</v>
      </c>
      <c r="D3823" s="252"/>
    </row>
    <row r="3824" spans="1:4" ht="14.55" customHeight="1" outlineLevel="1" x14ac:dyDescent="0.25">
      <c r="A3824" s="230" t="s">
        <v>325</v>
      </c>
      <c r="B3824" s="231" t="s">
        <v>8505</v>
      </c>
      <c r="C3824" s="230" t="s">
        <v>8506</v>
      </c>
      <c r="D3824" s="252"/>
    </row>
    <row r="3825" spans="1:4" ht="14.55" customHeight="1" outlineLevel="1" x14ac:dyDescent="0.25">
      <c r="A3825" s="230" t="s">
        <v>325</v>
      </c>
      <c r="B3825" s="231" t="s">
        <v>8507</v>
      </c>
      <c r="C3825" s="230" t="s">
        <v>8508</v>
      </c>
      <c r="D3825" s="252"/>
    </row>
    <row r="3826" spans="1:4" ht="14.55" customHeight="1" outlineLevel="1" x14ac:dyDescent="0.25">
      <c r="A3826" s="230" t="s">
        <v>325</v>
      </c>
      <c r="B3826" s="231" t="s">
        <v>8509</v>
      </c>
      <c r="C3826" s="230" t="s">
        <v>8510</v>
      </c>
      <c r="D3826" s="252"/>
    </row>
    <row r="3827" spans="1:4" ht="14.55" customHeight="1" outlineLevel="1" x14ac:dyDescent="0.25">
      <c r="A3827" s="230" t="s">
        <v>325</v>
      </c>
      <c r="B3827" s="231" t="s">
        <v>8511</v>
      </c>
      <c r="C3827" s="230" t="s">
        <v>8512</v>
      </c>
      <c r="D3827" s="252"/>
    </row>
    <row r="3828" spans="1:4" ht="14.55" customHeight="1" outlineLevel="1" x14ac:dyDescent="0.25">
      <c r="A3828" s="230" t="s">
        <v>325</v>
      </c>
      <c r="B3828" s="231" t="s">
        <v>8513</v>
      </c>
      <c r="C3828" s="230" t="s">
        <v>8514</v>
      </c>
      <c r="D3828" s="252"/>
    </row>
    <row r="3829" spans="1:4" ht="14.55" customHeight="1" outlineLevel="1" x14ac:dyDescent="0.25">
      <c r="A3829" s="230" t="s">
        <v>325</v>
      </c>
      <c r="B3829" s="231" t="s">
        <v>8515</v>
      </c>
      <c r="C3829" s="230" t="s">
        <v>8516</v>
      </c>
      <c r="D3829" s="252"/>
    </row>
    <row r="3830" spans="1:4" ht="14.55" customHeight="1" outlineLevel="1" x14ac:dyDescent="0.25">
      <c r="A3830" s="230" t="s">
        <v>325</v>
      </c>
      <c r="B3830" s="231" t="s">
        <v>8517</v>
      </c>
      <c r="C3830" s="230" t="s">
        <v>8518</v>
      </c>
      <c r="D3830" s="252"/>
    </row>
    <row r="3831" spans="1:4" ht="14.55" customHeight="1" outlineLevel="1" x14ac:dyDescent="0.25">
      <c r="A3831" s="230" t="s">
        <v>325</v>
      </c>
      <c r="B3831" s="231" t="s">
        <v>8519</v>
      </c>
      <c r="C3831" s="230" t="s">
        <v>8520</v>
      </c>
      <c r="D3831" s="252"/>
    </row>
    <row r="3832" spans="1:4" ht="14.55" customHeight="1" outlineLevel="1" x14ac:dyDescent="0.25">
      <c r="A3832" s="230" t="s">
        <v>325</v>
      </c>
      <c r="B3832" s="231" t="s">
        <v>8521</v>
      </c>
      <c r="C3832" s="230" t="s">
        <v>8522</v>
      </c>
      <c r="D3832" s="252"/>
    </row>
    <row r="3833" spans="1:4" ht="14.55" customHeight="1" outlineLevel="1" x14ac:dyDescent="0.25">
      <c r="A3833" s="230" t="s">
        <v>325</v>
      </c>
      <c r="B3833" s="231" t="s">
        <v>8523</v>
      </c>
      <c r="C3833" s="230" t="s">
        <v>8524</v>
      </c>
      <c r="D3833" s="252"/>
    </row>
    <row r="3834" spans="1:4" ht="14.55" customHeight="1" outlineLevel="1" x14ac:dyDescent="0.25">
      <c r="A3834" s="230" t="s">
        <v>325</v>
      </c>
      <c r="B3834" s="231" t="s">
        <v>8525</v>
      </c>
      <c r="C3834" s="230" t="s">
        <v>8526</v>
      </c>
      <c r="D3834" s="252"/>
    </row>
    <row r="3835" spans="1:4" ht="14.55" customHeight="1" outlineLevel="1" x14ac:dyDescent="0.25">
      <c r="A3835" s="230" t="s">
        <v>325</v>
      </c>
      <c r="B3835" s="231" t="s">
        <v>8527</v>
      </c>
      <c r="C3835" s="230" t="s">
        <v>8528</v>
      </c>
      <c r="D3835" s="252"/>
    </row>
    <row r="3836" spans="1:4" ht="14.55" customHeight="1" outlineLevel="1" x14ac:dyDescent="0.25">
      <c r="A3836" s="230" t="s">
        <v>325</v>
      </c>
      <c r="B3836" s="231" t="s">
        <v>8529</v>
      </c>
      <c r="C3836" s="230" t="s">
        <v>8530</v>
      </c>
      <c r="D3836" s="252"/>
    </row>
    <row r="3837" spans="1:4" ht="14.55" customHeight="1" outlineLevel="1" x14ac:dyDescent="0.25">
      <c r="A3837" s="230" t="s">
        <v>325</v>
      </c>
      <c r="B3837" s="231" t="s">
        <v>8531</v>
      </c>
      <c r="C3837" s="230" t="s">
        <v>8532</v>
      </c>
      <c r="D3837" s="252"/>
    </row>
    <row r="3838" spans="1:4" ht="14.55" customHeight="1" outlineLevel="1" x14ac:dyDescent="0.25">
      <c r="A3838" s="230" t="s">
        <v>325</v>
      </c>
      <c r="B3838" s="231" t="s">
        <v>8533</v>
      </c>
      <c r="C3838" s="230" t="s">
        <v>8534</v>
      </c>
      <c r="D3838" s="252"/>
    </row>
    <row r="3839" spans="1:4" ht="14.55" customHeight="1" outlineLevel="1" x14ac:dyDescent="0.25">
      <c r="A3839" s="230" t="s">
        <v>325</v>
      </c>
      <c r="B3839" s="231" t="s">
        <v>8535</v>
      </c>
      <c r="C3839" s="230" t="s">
        <v>8536</v>
      </c>
      <c r="D3839" s="252"/>
    </row>
    <row r="3840" spans="1:4" ht="14.55" customHeight="1" outlineLevel="1" x14ac:dyDescent="0.25">
      <c r="A3840" s="230" t="s">
        <v>325</v>
      </c>
      <c r="B3840" s="231" t="s">
        <v>8537</v>
      </c>
      <c r="C3840" s="230" t="s">
        <v>8538</v>
      </c>
      <c r="D3840" s="252"/>
    </row>
    <row r="3841" spans="1:4" ht="14.55" customHeight="1" outlineLevel="1" x14ac:dyDescent="0.25">
      <c r="A3841" s="230" t="s">
        <v>325</v>
      </c>
      <c r="B3841" s="231" t="s">
        <v>8539</v>
      </c>
      <c r="C3841" s="230" t="s">
        <v>8540</v>
      </c>
      <c r="D3841" s="252"/>
    </row>
    <row r="3842" spans="1:4" ht="14.55" customHeight="1" outlineLevel="1" x14ac:dyDescent="0.25">
      <c r="A3842" s="230" t="s">
        <v>325</v>
      </c>
      <c r="B3842" s="231" t="s">
        <v>8541</v>
      </c>
      <c r="C3842" s="230" t="s">
        <v>8542</v>
      </c>
      <c r="D3842" s="252"/>
    </row>
    <row r="3843" spans="1:4" ht="14.55" customHeight="1" outlineLevel="1" x14ac:dyDescent="0.25">
      <c r="A3843" s="230" t="s">
        <v>325</v>
      </c>
      <c r="B3843" s="231" t="s">
        <v>8543</v>
      </c>
      <c r="C3843" s="230" t="s">
        <v>8544</v>
      </c>
      <c r="D3843" s="252"/>
    </row>
    <row r="3844" spans="1:4" ht="14.55" customHeight="1" outlineLevel="1" x14ac:dyDescent="0.25">
      <c r="A3844" s="230" t="s">
        <v>325</v>
      </c>
      <c r="B3844" s="231" t="s">
        <v>8545</v>
      </c>
      <c r="C3844" s="230" t="s">
        <v>8546</v>
      </c>
      <c r="D3844" s="252"/>
    </row>
    <row r="3845" spans="1:4" ht="14.55" customHeight="1" outlineLevel="1" x14ac:dyDescent="0.25">
      <c r="A3845" s="230" t="s">
        <v>325</v>
      </c>
      <c r="B3845" s="231" t="s">
        <v>8547</v>
      </c>
      <c r="C3845" s="230" t="s">
        <v>8548</v>
      </c>
      <c r="D3845" s="252"/>
    </row>
    <row r="3846" spans="1:4" ht="14.55" customHeight="1" outlineLevel="1" x14ac:dyDescent="0.25">
      <c r="A3846" s="230" t="s">
        <v>325</v>
      </c>
      <c r="B3846" s="231" t="s">
        <v>8549</v>
      </c>
      <c r="C3846" s="230" t="s">
        <v>8550</v>
      </c>
      <c r="D3846" s="252"/>
    </row>
    <row r="3847" spans="1:4" ht="14.55" customHeight="1" outlineLevel="1" x14ac:dyDescent="0.25">
      <c r="A3847" s="230" t="s">
        <v>325</v>
      </c>
      <c r="B3847" s="231" t="s">
        <v>8551</v>
      </c>
      <c r="C3847" s="230" t="s">
        <v>8552</v>
      </c>
      <c r="D3847" s="252"/>
    </row>
    <row r="3848" spans="1:4" ht="14.55" customHeight="1" outlineLevel="1" x14ac:dyDescent="0.25">
      <c r="A3848" s="230" t="s">
        <v>325</v>
      </c>
      <c r="B3848" s="231" t="s">
        <v>8553</v>
      </c>
      <c r="C3848" s="230" t="s">
        <v>8554</v>
      </c>
      <c r="D3848" s="252"/>
    </row>
    <row r="3849" spans="1:4" ht="14.55" customHeight="1" outlineLevel="1" x14ac:dyDescent="0.25">
      <c r="A3849" s="230" t="s">
        <v>325</v>
      </c>
      <c r="B3849" s="231" t="s">
        <v>8555</v>
      </c>
      <c r="C3849" s="230" t="s">
        <v>8556</v>
      </c>
      <c r="D3849" s="252"/>
    </row>
    <row r="3850" spans="1:4" ht="14.55" customHeight="1" outlineLevel="1" x14ac:dyDescent="0.25">
      <c r="A3850" s="230" t="s">
        <v>325</v>
      </c>
      <c r="B3850" s="231" t="s">
        <v>8557</v>
      </c>
      <c r="C3850" s="230" t="s">
        <v>8558</v>
      </c>
      <c r="D3850" s="252"/>
    </row>
    <row r="3851" spans="1:4" ht="14.55" customHeight="1" outlineLevel="1" x14ac:dyDescent="0.25">
      <c r="A3851" s="230" t="s">
        <v>325</v>
      </c>
      <c r="B3851" s="231" t="s">
        <v>8559</v>
      </c>
      <c r="C3851" s="230" t="s">
        <v>8560</v>
      </c>
      <c r="D3851" s="252"/>
    </row>
    <row r="3852" spans="1:4" ht="14.55" customHeight="1" outlineLevel="1" x14ac:dyDescent="0.25">
      <c r="A3852" s="230" t="s">
        <v>325</v>
      </c>
      <c r="B3852" s="231" t="s">
        <v>8561</v>
      </c>
      <c r="C3852" s="230" t="s">
        <v>8562</v>
      </c>
      <c r="D3852" s="252"/>
    </row>
    <row r="3853" spans="1:4" ht="14.55" customHeight="1" outlineLevel="1" x14ac:dyDescent="0.25">
      <c r="A3853" s="230" t="s">
        <v>325</v>
      </c>
      <c r="B3853" s="231" t="s">
        <v>8563</v>
      </c>
      <c r="C3853" s="230" t="s">
        <v>8564</v>
      </c>
      <c r="D3853" s="252"/>
    </row>
    <row r="3854" spans="1:4" ht="14.55" customHeight="1" outlineLevel="1" x14ac:dyDescent="0.25">
      <c r="A3854" s="230" t="s">
        <v>325</v>
      </c>
      <c r="B3854" s="231" t="s">
        <v>8565</v>
      </c>
      <c r="C3854" s="230" t="s">
        <v>8566</v>
      </c>
      <c r="D3854" s="252"/>
    </row>
    <row r="3855" spans="1:4" ht="14.55" customHeight="1" outlineLevel="1" x14ac:dyDescent="0.25">
      <c r="A3855" s="230" t="s">
        <v>325</v>
      </c>
      <c r="B3855" s="231" t="s">
        <v>8567</v>
      </c>
      <c r="C3855" s="230" t="s">
        <v>8568</v>
      </c>
      <c r="D3855" s="252"/>
    </row>
    <row r="3856" spans="1:4" ht="14.55" customHeight="1" outlineLevel="1" x14ac:dyDescent="0.25">
      <c r="A3856" s="230" t="s">
        <v>325</v>
      </c>
      <c r="B3856" s="231" t="s">
        <v>8569</v>
      </c>
      <c r="C3856" s="230" t="s">
        <v>8570</v>
      </c>
      <c r="D3856" s="252"/>
    </row>
    <row r="3857" spans="1:4" ht="14.55" customHeight="1" outlineLevel="1" x14ac:dyDescent="0.25">
      <c r="A3857" s="230" t="s">
        <v>325</v>
      </c>
      <c r="B3857" s="231" t="s">
        <v>8571</v>
      </c>
      <c r="C3857" s="230" t="s">
        <v>8572</v>
      </c>
      <c r="D3857" s="252"/>
    </row>
    <row r="3858" spans="1:4" ht="14.55" customHeight="1" outlineLevel="1" x14ac:dyDescent="0.25">
      <c r="A3858" s="230" t="s">
        <v>325</v>
      </c>
      <c r="B3858" s="231" t="s">
        <v>8573</v>
      </c>
      <c r="C3858" s="230" t="s">
        <v>8574</v>
      </c>
      <c r="D3858" s="252"/>
    </row>
    <row r="3859" spans="1:4" ht="14.55" customHeight="1" outlineLevel="1" x14ac:dyDescent="0.25">
      <c r="A3859" s="230" t="s">
        <v>325</v>
      </c>
      <c r="B3859" s="231" t="s">
        <v>8575</v>
      </c>
      <c r="C3859" s="230" t="s">
        <v>8576</v>
      </c>
      <c r="D3859" s="252"/>
    </row>
    <row r="3860" spans="1:4" ht="14.55" customHeight="1" outlineLevel="1" x14ac:dyDescent="0.25">
      <c r="A3860" s="230" t="s">
        <v>325</v>
      </c>
      <c r="B3860" s="231" t="s">
        <v>8577</v>
      </c>
      <c r="C3860" s="230" t="s">
        <v>8578</v>
      </c>
      <c r="D3860" s="252"/>
    </row>
    <row r="3861" spans="1:4" ht="14.55" customHeight="1" outlineLevel="1" x14ac:dyDescent="0.25">
      <c r="A3861" s="230" t="s">
        <v>325</v>
      </c>
      <c r="B3861" s="231" t="s">
        <v>8579</v>
      </c>
      <c r="C3861" s="230" t="s">
        <v>8580</v>
      </c>
      <c r="D3861" s="252"/>
    </row>
    <row r="3862" spans="1:4" ht="14.55" customHeight="1" outlineLevel="1" x14ac:dyDescent="0.25">
      <c r="A3862" s="230" t="s">
        <v>325</v>
      </c>
      <c r="B3862" s="231" t="s">
        <v>8581</v>
      </c>
      <c r="C3862" s="230" t="s">
        <v>8582</v>
      </c>
      <c r="D3862" s="252"/>
    </row>
    <row r="3863" spans="1:4" ht="14.55" customHeight="1" outlineLevel="1" x14ac:dyDescent="0.25">
      <c r="A3863" s="230" t="s">
        <v>325</v>
      </c>
      <c r="B3863" s="231" t="s">
        <v>8583</v>
      </c>
      <c r="C3863" s="230" t="s">
        <v>8584</v>
      </c>
      <c r="D3863" s="252"/>
    </row>
    <row r="3864" spans="1:4" ht="14.55" customHeight="1" outlineLevel="1" x14ac:dyDescent="0.25">
      <c r="A3864" s="230" t="s">
        <v>325</v>
      </c>
      <c r="B3864" s="231" t="s">
        <v>8585</v>
      </c>
      <c r="C3864" s="230" t="s">
        <v>8586</v>
      </c>
      <c r="D3864" s="252"/>
    </row>
    <row r="3865" spans="1:4" ht="14.55" customHeight="1" outlineLevel="1" x14ac:dyDescent="0.25">
      <c r="A3865" s="230" t="s">
        <v>325</v>
      </c>
      <c r="B3865" s="231" t="s">
        <v>8587</v>
      </c>
      <c r="C3865" s="230" t="s">
        <v>8588</v>
      </c>
      <c r="D3865" s="252"/>
    </row>
    <row r="3866" spans="1:4" ht="14.55" customHeight="1" outlineLevel="1" x14ac:dyDescent="0.25">
      <c r="A3866" s="230" t="s">
        <v>325</v>
      </c>
      <c r="B3866" s="231" t="s">
        <v>8589</v>
      </c>
      <c r="C3866" s="230" t="s">
        <v>8590</v>
      </c>
      <c r="D3866" s="252"/>
    </row>
    <row r="3867" spans="1:4" ht="14.55" customHeight="1" outlineLevel="1" x14ac:dyDescent="0.25">
      <c r="A3867" s="230" t="s">
        <v>325</v>
      </c>
      <c r="B3867" s="231" t="s">
        <v>8591</v>
      </c>
      <c r="C3867" s="230" t="s">
        <v>8592</v>
      </c>
      <c r="D3867" s="252"/>
    </row>
    <row r="3868" spans="1:4" ht="14.55" customHeight="1" outlineLevel="1" x14ac:dyDescent="0.25">
      <c r="A3868" s="230" t="s">
        <v>325</v>
      </c>
      <c r="B3868" s="231" t="s">
        <v>8593</v>
      </c>
      <c r="C3868" s="230" t="s">
        <v>8594</v>
      </c>
      <c r="D3868" s="252"/>
    </row>
    <row r="3869" spans="1:4" ht="14.55" customHeight="1" outlineLevel="1" x14ac:dyDescent="0.25">
      <c r="A3869" s="230" t="s">
        <v>325</v>
      </c>
      <c r="B3869" s="231" t="s">
        <v>8595</v>
      </c>
      <c r="C3869" s="230" t="s">
        <v>8596</v>
      </c>
      <c r="D3869" s="252"/>
    </row>
    <row r="3870" spans="1:4" ht="14.55" customHeight="1" outlineLevel="1" x14ac:dyDescent="0.25">
      <c r="A3870" s="230" t="s">
        <v>325</v>
      </c>
      <c r="B3870" s="231" t="s">
        <v>8597</v>
      </c>
      <c r="C3870" s="230" t="s">
        <v>8598</v>
      </c>
      <c r="D3870" s="252"/>
    </row>
    <row r="3871" spans="1:4" ht="14.55" customHeight="1" outlineLevel="1" x14ac:dyDescent="0.25">
      <c r="A3871" s="230" t="s">
        <v>325</v>
      </c>
      <c r="B3871" s="231" t="s">
        <v>8599</v>
      </c>
      <c r="C3871" s="230" t="s">
        <v>8600</v>
      </c>
      <c r="D3871" s="252"/>
    </row>
    <row r="3872" spans="1:4" ht="14.55" customHeight="1" outlineLevel="1" x14ac:dyDescent="0.25">
      <c r="A3872" s="230" t="s">
        <v>325</v>
      </c>
      <c r="B3872" s="231" t="s">
        <v>8601</v>
      </c>
      <c r="C3872" s="230" t="s">
        <v>8602</v>
      </c>
      <c r="D3872" s="252"/>
    </row>
    <row r="3873" spans="1:4" ht="14.55" customHeight="1" outlineLevel="1" x14ac:dyDescent="0.25">
      <c r="A3873" s="230" t="s">
        <v>325</v>
      </c>
      <c r="B3873" s="231" t="s">
        <v>8603</v>
      </c>
      <c r="C3873" s="230" t="s">
        <v>8604</v>
      </c>
      <c r="D3873" s="252"/>
    </row>
    <row r="3874" spans="1:4" ht="14.55" customHeight="1" outlineLevel="1" x14ac:dyDescent="0.25">
      <c r="A3874" s="230" t="s">
        <v>325</v>
      </c>
      <c r="B3874" s="231" t="s">
        <v>8605</v>
      </c>
      <c r="C3874" s="230" t="s">
        <v>8606</v>
      </c>
      <c r="D3874" s="252"/>
    </row>
    <row r="3875" spans="1:4" ht="14.55" customHeight="1" outlineLevel="1" x14ac:dyDescent="0.25">
      <c r="A3875" s="230" t="s">
        <v>325</v>
      </c>
      <c r="B3875" s="231" t="s">
        <v>8607</v>
      </c>
      <c r="C3875" s="230" t="s">
        <v>8608</v>
      </c>
      <c r="D3875" s="252"/>
    </row>
    <row r="3876" spans="1:4" ht="14.55" customHeight="1" outlineLevel="1" x14ac:dyDescent="0.25">
      <c r="A3876" s="230" t="s">
        <v>325</v>
      </c>
      <c r="B3876" s="231" t="s">
        <v>8609</v>
      </c>
      <c r="C3876" s="230" t="s">
        <v>8610</v>
      </c>
      <c r="D3876" s="252"/>
    </row>
    <row r="3877" spans="1:4" ht="14.55" customHeight="1" outlineLevel="1" x14ac:dyDescent="0.25">
      <c r="A3877" s="230" t="s">
        <v>325</v>
      </c>
      <c r="B3877" s="231" t="s">
        <v>8611</v>
      </c>
      <c r="C3877" s="230" t="s">
        <v>8612</v>
      </c>
      <c r="D3877" s="252"/>
    </row>
    <row r="3878" spans="1:4" ht="14.55" customHeight="1" outlineLevel="1" x14ac:dyDescent="0.25">
      <c r="A3878" s="230" t="s">
        <v>325</v>
      </c>
      <c r="B3878" s="231" t="s">
        <v>8613</v>
      </c>
      <c r="C3878" s="230" t="s">
        <v>8614</v>
      </c>
      <c r="D3878" s="252"/>
    </row>
    <row r="3879" spans="1:4" ht="14.55" customHeight="1" outlineLevel="1" x14ac:dyDescent="0.25">
      <c r="A3879" s="230" t="s">
        <v>325</v>
      </c>
      <c r="B3879" s="231" t="s">
        <v>8615</v>
      </c>
      <c r="C3879" s="230" t="s">
        <v>8616</v>
      </c>
      <c r="D3879" s="252"/>
    </row>
    <row r="3880" spans="1:4" ht="14.55" customHeight="1" outlineLevel="1" x14ac:dyDescent="0.25">
      <c r="A3880" s="230" t="s">
        <v>325</v>
      </c>
      <c r="B3880" s="231" t="s">
        <v>8617</v>
      </c>
      <c r="C3880" s="230" t="s">
        <v>8618</v>
      </c>
      <c r="D3880" s="252"/>
    </row>
    <row r="3881" spans="1:4" ht="14.55" customHeight="1" outlineLevel="1" x14ac:dyDescent="0.25">
      <c r="A3881" s="230" t="s">
        <v>325</v>
      </c>
      <c r="B3881" s="231" t="s">
        <v>8619</v>
      </c>
      <c r="C3881" s="230" t="s">
        <v>8620</v>
      </c>
      <c r="D3881" s="252"/>
    </row>
    <row r="3882" spans="1:4" ht="14.55" customHeight="1" outlineLevel="1" x14ac:dyDescent="0.25">
      <c r="A3882" s="230" t="s">
        <v>325</v>
      </c>
      <c r="B3882" s="231" t="s">
        <v>8621</v>
      </c>
      <c r="C3882" s="230" t="s">
        <v>8622</v>
      </c>
      <c r="D3882" s="252"/>
    </row>
    <row r="3883" spans="1:4" ht="14.55" customHeight="1" outlineLevel="1" x14ac:dyDescent="0.25">
      <c r="A3883" s="230" t="s">
        <v>325</v>
      </c>
      <c r="B3883" s="231" t="s">
        <v>8623</v>
      </c>
      <c r="C3883" s="230" t="s">
        <v>8624</v>
      </c>
      <c r="D3883" s="252"/>
    </row>
    <row r="3884" spans="1:4" ht="14.55" customHeight="1" outlineLevel="1" x14ac:dyDescent="0.25">
      <c r="A3884" s="230" t="s">
        <v>325</v>
      </c>
      <c r="B3884" s="231" t="s">
        <v>8625</v>
      </c>
      <c r="C3884" s="230" t="s">
        <v>8626</v>
      </c>
      <c r="D3884" s="252"/>
    </row>
    <row r="3885" spans="1:4" ht="14.55" customHeight="1" outlineLevel="1" x14ac:dyDescent="0.25">
      <c r="A3885" s="230" t="s">
        <v>325</v>
      </c>
      <c r="B3885" s="231" t="s">
        <v>8627</v>
      </c>
      <c r="C3885" s="230" t="s">
        <v>8628</v>
      </c>
      <c r="D3885" s="252"/>
    </row>
    <row r="3886" spans="1:4" ht="14.55" customHeight="1" outlineLevel="1" x14ac:dyDescent="0.25">
      <c r="A3886" s="230" t="s">
        <v>325</v>
      </c>
      <c r="B3886" s="231" t="s">
        <v>8629</v>
      </c>
      <c r="C3886" s="230" t="s">
        <v>8630</v>
      </c>
      <c r="D3886" s="252"/>
    </row>
    <row r="3887" spans="1:4" ht="14.55" customHeight="1" outlineLevel="1" x14ac:dyDescent="0.25">
      <c r="A3887" s="230" t="s">
        <v>325</v>
      </c>
      <c r="B3887" s="231" t="s">
        <v>8631</v>
      </c>
      <c r="C3887" s="230" t="s">
        <v>8632</v>
      </c>
      <c r="D3887" s="252"/>
    </row>
    <row r="3888" spans="1:4" ht="14.55" customHeight="1" outlineLevel="1" x14ac:dyDescent="0.25">
      <c r="A3888" s="230" t="s">
        <v>325</v>
      </c>
      <c r="B3888" s="231" t="s">
        <v>8633</v>
      </c>
      <c r="C3888" s="230" t="s">
        <v>8634</v>
      </c>
      <c r="D3888" s="252"/>
    </row>
    <row r="3889" spans="1:4" ht="14.55" customHeight="1" outlineLevel="1" x14ac:dyDescent="0.25">
      <c r="A3889" s="230" t="s">
        <v>325</v>
      </c>
      <c r="B3889" s="231" t="s">
        <v>8635</v>
      </c>
      <c r="C3889" s="230" t="s">
        <v>8636</v>
      </c>
      <c r="D3889" s="252"/>
    </row>
    <row r="3890" spans="1:4" ht="14.55" customHeight="1" outlineLevel="1" x14ac:dyDescent="0.25">
      <c r="A3890" s="230" t="s">
        <v>325</v>
      </c>
      <c r="B3890" s="231" t="s">
        <v>8637</v>
      </c>
      <c r="C3890" s="230" t="s">
        <v>8638</v>
      </c>
      <c r="D3890" s="252"/>
    </row>
    <row r="3891" spans="1:4" ht="14.55" customHeight="1" outlineLevel="1" x14ac:dyDescent="0.25">
      <c r="A3891" s="230" t="s">
        <v>325</v>
      </c>
      <c r="B3891" s="231" t="s">
        <v>8639</v>
      </c>
      <c r="C3891" s="230" t="s">
        <v>8640</v>
      </c>
      <c r="D3891" s="252"/>
    </row>
    <row r="3892" spans="1:4" ht="14.55" customHeight="1" outlineLevel="1" x14ac:dyDescent="0.25">
      <c r="A3892" s="230" t="s">
        <v>325</v>
      </c>
      <c r="B3892" s="231" t="s">
        <v>8641</v>
      </c>
      <c r="C3892" s="230" t="s">
        <v>8642</v>
      </c>
      <c r="D3892" s="252"/>
    </row>
    <row r="3893" spans="1:4" ht="14.55" customHeight="1" outlineLevel="1" x14ac:dyDescent="0.25">
      <c r="A3893" s="230" t="s">
        <v>325</v>
      </c>
      <c r="B3893" s="231" t="s">
        <v>8643</v>
      </c>
      <c r="C3893" s="230" t="s">
        <v>8644</v>
      </c>
      <c r="D3893" s="252"/>
    </row>
    <row r="3894" spans="1:4" ht="14.55" customHeight="1" outlineLevel="1" x14ac:dyDescent="0.25">
      <c r="A3894" s="230" t="s">
        <v>325</v>
      </c>
      <c r="B3894" s="231" t="s">
        <v>8645</v>
      </c>
      <c r="C3894" s="230" t="s">
        <v>8646</v>
      </c>
      <c r="D3894" s="252"/>
    </row>
    <row r="3895" spans="1:4" ht="14.55" customHeight="1" outlineLevel="1" x14ac:dyDescent="0.25">
      <c r="A3895" s="230" t="s">
        <v>325</v>
      </c>
      <c r="B3895" s="231" t="s">
        <v>8647</v>
      </c>
      <c r="C3895" s="230" t="s">
        <v>7048</v>
      </c>
      <c r="D3895" s="252"/>
    </row>
    <row r="3896" spans="1:4" ht="14.55" customHeight="1" outlineLevel="1" x14ac:dyDescent="0.25">
      <c r="A3896" s="230" t="s">
        <v>325</v>
      </c>
      <c r="B3896" s="231" t="s">
        <v>8648</v>
      </c>
      <c r="C3896" s="230" t="s">
        <v>8649</v>
      </c>
      <c r="D3896" s="252"/>
    </row>
    <row r="3897" spans="1:4" ht="14.55" customHeight="1" outlineLevel="1" x14ac:dyDescent="0.25">
      <c r="A3897" s="230" t="s">
        <v>325</v>
      </c>
      <c r="B3897" s="231" t="s">
        <v>8650</v>
      </c>
      <c r="C3897" s="230" t="s">
        <v>8651</v>
      </c>
      <c r="D3897" s="252"/>
    </row>
    <row r="3898" spans="1:4" ht="14.55" customHeight="1" outlineLevel="1" x14ac:dyDescent="0.25">
      <c r="A3898" s="230" t="s">
        <v>325</v>
      </c>
      <c r="B3898" s="231" t="s">
        <v>8652</v>
      </c>
      <c r="C3898" s="230" t="s">
        <v>8653</v>
      </c>
      <c r="D3898" s="252"/>
    </row>
    <row r="3899" spans="1:4" ht="14.55" customHeight="1" outlineLevel="1" x14ac:dyDescent="0.25">
      <c r="A3899" s="230" t="s">
        <v>325</v>
      </c>
      <c r="B3899" s="231" t="s">
        <v>8654</v>
      </c>
      <c r="C3899" s="230" t="s">
        <v>8655</v>
      </c>
      <c r="D3899" s="252"/>
    </row>
    <row r="3900" spans="1:4" ht="14.55" customHeight="1" outlineLevel="1" x14ac:dyDescent="0.25">
      <c r="A3900" s="230" t="s">
        <v>325</v>
      </c>
      <c r="B3900" s="231" t="s">
        <v>8656</v>
      </c>
      <c r="C3900" s="230" t="s">
        <v>8657</v>
      </c>
      <c r="D3900" s="252"/>
    </row>
    <row r="3901" spans="1:4" ht="14.55" customHeight="1" outlineLevel="1" x14ac:dyDescent="0.25">
      <c r="A3901" s="230" t="s">
        <v>325</v>
      </c>
      <c r="B3901" s="231" t="s">
        <v>8658</v>
      </c>
      <c r="C3901" s="230" t="s">
        <v>8659</v>
      </c>
      <c r="D3901" s="252"/>
    </row>
    <row r="3902" spans="1:4" ht="14.55" customHeight="1" outlineLevel="1" x14ac:dyDescent="0.25">
      <c r="A3902" s="230" t="s">
        <v>325</v>
      </c>
      <c r="B3902" s="231" t="s">
        <v>8660</v>
      </c>
      <c r="C3902" s="230" t="s">
        <v>8661</v>
      </c>
      <c r="D3902" s="252"/>
    </row>
    <row r="3903" spans="1:4" ht="14.55" customHeight="1" outlineLevel="1" x14ac:dyDescent="0.25">
      <c r="A3903" s="230" t="s">
        <v>325</v>
      </c>
      <c r="B3903" s="231" t="s">
        <v>8662</v>
      </c>
      <c r="C3903" s="230" t="s">
        <v>8663</v>
      </c>
      <c r="D3903" s="252"/>
    </row>
    <row r="3904" spans="1:4" ht="14.55" customHeight="1" outlineLevel="1" x14ac:dyDescent="0.25">
      <c r="A3904" s="230" t="s">
        <v>325</v>
      </c>
      <c r="B3904" s="231" t="s">
        <v>8664</v>
      </c>
      <c r="C3904" s="230" t="s">
        <v>8665</v>
      </c>
      <c r="D3904" s="252"/>
    </row>
    <row r="3905" spans="1:4" ht="14.55" customHeight="1" outlineLevel="1" x14ac:dyDescent="0.25">
      <c r="A3905" s="230" t="s">
        <v>325</v>
      </c>
      <c r="B3905" s="231" t="s">
        <v>8666</v>
      </c>
      <c r="C3905" s="230" t="s">
        <v>8667</v>
      </c>
      <c r="D3905" s="252"/>
    </row>
    <row r="3906" spans="1:4" ht="14.55" customHeight="1" outlineLevel="1" x14ac:dyDescent="0.25">
      <c r="A3906" s="230" t="s">
        <v>325</v>
      </c>
      <c r="B3906" s="231" t="s">
        <v>8668</v>
      </c>
      <c r="C3906" s="230" t="s">
        <v>8669</v>
      </c>
      <c r="D3906" s="252"/>
    </row>
    <row r="3907" spans="1:4" ht="14.55" customHeight="1" outlineLevel="1" x14ac:dyDescent="0.25">
      <c r="A3907" s="230" t="s">
        <v>325</v>
      </c>
      <c r="B3907" s="231" t="s">
        <v>8670</v>
      </c>
      <c r="C3907" s="230" t="s">
        <v>8671</v>
      </c>
      <c r="D3907" s="252"/>
    </row>
    <row r="3908" spans="1:4" ht="14.55" customHeight="1" outlineLevel="1" x14ac:dyDescent="0.25">
      <c r="A3908" s="230" t="s">
        <v>325</v>
      </c>
      <c r="B3908" s="231" t="s">
        <v>8672</v>
      </c>
      <c r="C3908" s="230" t="s">
        <v>8673</v>
      </c>
      <c r="D3908" s="252"/>
    </row>
    <row r="3909" spans="1:4" ht="14.55" customHeight="1" outlineLevel="1" x14ac:dyDescent="0.25">
      <c r="A3909" s="230" t="s">
        <v>325</v>
      </c>
      <c r="B3909" s="231" t="s">
        <v>8674</v>
      </c>
      <c r="C3909" s="230" t="s">
        <v>8675</v>
      </c>
      <c r="D3909" s="252"/>
    </row>
    <row r="3910" spans="1:4" ht="14.55" customHeight="1" outlineLevel="1" x14ac:dyDescent="0.25">
      <c r="A3910" s="230" t="s">
        <v>325</v>
      </c>
      <c r="B3910" s="231" t="s">
        <v>8676</v>
      </c>
      <c r="C3910" s="230" t="s">
        <v>7064</v>
      </c>
      <c r="D3910" s="252"/>
    </row>
    <row r="3911" spans="1:4" ht="14.55" customHeight="1" outlineLevel="1" x14ac:dyDescent="0.25">
      <c r="A3911" s="230" t="s">
        <v>325</v>
      </c>
      <c r="B3911" s="231" t="s">
        <v>8677</v>
      </c>
      <c r="C3911" s="230" t="s">
        <v>8678</v>
      </c>
      <c r="D3911" s="252"/>
    </row>
    <row r="3912" spans="1:4" ht="14.55" customHeight="1" outlineLevel="1" x14ac:dyDescent="0.25">
      <c r="A3912" s="230" t="s">
        <v>325</v>
      </c>
      <c r="B3912" s="231" t="s">
        <v>8679</v>
      </c>
      <c r="C3912" s="230" t="s">
        <v>8680</v>
      </c>
      <c r="D3912" s="252"/>
    </row>
    <row r="3913" spans="1:4" ht="14.55" customHeight="1" outlineLevel="1" x14ac:dyDescent="0.25">
      <c r="A3913" s="230" t="s">
        <v>325</v>
      </c>
      <c r="B3913" s="231" t="s">
        <v>8681</v>
      </c>
      <c r="C3913" s="230" t="s">
        <v>8682</v>
      </c>
      <c r="D3913" s="252"/>
    </row>
    <row r="3914" spans="1:4" ht="14.55" customHeight="1" outlineLevel="1" x14ac:dyDescent="0.25">
      <c r="A3914" s="230" t="s">
        <v>325</v>
      </c>
      <c r="B3914" s="231" t="s">
        <v>8683</v>
      </c>
      <c r="C3914" s="230" t="s">
        <v>8684</v>
      </c>
      <c r="D3914" s="252"/>
    </row>
    <row r="3915" spans="1:4" ht="14.55" customHeight="1" outlineLevel="1" x14ac:dyDescent="0.25">
      <c r="A3915" s="230" t="s">
        <v>325</v>
      </c>
      <c r="B3915" s="231" t="s">
        <v>8685</v>
      </c>
      <c r="C3915" s="230" t="s">
        <v>8686</v>
      </c>
      <c r="D3915" s="252"/>
    </row>
    <row r="3916" spans="1:4" ht="14.55" customHeight="1" outlineLevel="1" x14ac:dyDescent="0.25">
      <c r="A3916" s="230" t="s">
        <v>325</v>
      </c>
      <c r="B3916" s="231" t="s">
        <v>8687</v>
      </c>
      <c r="C3916" s="230" t="s">
        <v>8688</v>
      </c>
      <c r="D3916" s="252"/>
    </row>
    <row r="3917" spans="1:4" ht="14.55" customHeight="1" outlineLevel="1" x14ac:dyDescent="0.25">
      <c r="A3917" s="230" t="s">
        <v>325</v>
      </c>
      <c r="B3917" s="231" t="s">
        <v>8689</v>
      </c>
      <c r="C3917" s="230" t="s">
        <v>8690</v>
      </c>
      <c r="D3917" s="252"/>
    </row>
    <row r="3918" spans="1:4" ht="14.55" customHeight="1" outlineLevel="1" x14ac:dyDescent="0.25">
      <c r="A3918" s="230" t="s">
        <v>325</v>
      </c>
      <c r="B3918" s="231" t="s">
        <v>8691</v>
      </c>
      <c r="C3918" s="230" t="s">
        <v>8692</v>
      </c>
      <c r="D3918" s="252"/>
    </row>
    <row r="3919" spans="1:4" ht="14.55" customHeight="1" outlineLevel="1" x14ac:dyDescent="0.25">
      <c r="A3919" s="230" t="s">
        <v>325</v>
      </c>
      <c r="B3919" s="231" t="s">
        <v>8693</v>
      </c>
      <c r="C3919" s="230" t="s">
        <v>8694</v>
      </c>
      <c r="D3919" s="252"/>
    </row>
    <row r="3920" spans="1:4" ht="14.55" customHeight="1" outlineLevel="1" x14ac:dyDescent="0.25">
      <c r="A3920" s="230" t="s">
        <v>325</v>
      </c>
      <c r="B3920" s="231" t="s">
        <v>8695</v>
      </c>
      <c r="C3920" s="230" t="s">
        <v>8696</v>
      </c>
      <c r="D3920" s="252"/>
    </row>
    <row r="3921" spans="1:4" ht="14.55" customHeight="1" outlineLevel="1" x14ac:dyDescent="0.25">
      <c r="A3921" s="230" t="s">
        <v>325</v>
      </c>
      <c r="B3921" s="231" t="s">
        <v>8697</v>
      </c>
      <c r="C3921" s="230" t="s">
        <v>8698</v>
      </c>
      <c r="D3921" s="252"/>
    </row>
    <row r="3922" spans="1:4" ht="14.55" customHeight="1" outlineLevel="1" x14ac:dyDescent="0.25">
      <c r="A3922" s="230" t="s">
        <v>325</v>
      </c>
      <c r="B3922" s="231" t="s">
        <v>8699</v>
      </c>
      <c r="C3922" s="230" t="s">
        <v>8700</v>
      </c>
      <c r="D3922" s="252"/>
    </row>
    <row r="3923" spans="1:4" ht="14.55" customHeight="1" outlineLevel="1" x14ac:dyDescent="0.25">
      <c r="A3923" s="230" t="s">
        <v>325</v>
      </c>
      <c r="B3923" s="231" t="s">
        <v>8701</v>
      </c>
      <c r="C3923" s="230" t="s">
        <v>8702</v>
      </c>
      <c r="D3923" s="252"/>
    </row>
    <row r="3924" spans="1:4" ht="14.55" customHeight="1" outlineLevel="1" x14ac:dyDescent="0.25">
      <c r="A3924" s="230" t="s">
        <v>325</v>
      </c>
      <c r="B3924" s="231" t="s">
        <v>8703</v>
      </c>
      <c r="C3924" s="230" t="s">
        <v>8704</v>
      </c>
      <c r="D3924" s="252"/>
    </row>
    <row r="3925" spans="1:4" ht="14.55" customHeight="1" outlineLevel="1" x14ac:dyDescent="0.25">
      <c r="A3925" s="230" t="s">
        <v>325</v>
      </c>
      <c r="B3925" s="231" t="s">
        <v>8705</v>
      </c>
      <c r="C3925" s="230" t="s">
        <v>8706</v>
      </c>
      <c r="D3925" s="252"/>
    </row>
    <row r="3926" spans="1:4" ht="14.55" customHeight="1" outlineLevel="1" x14ac:dyDescent="0.25">
      <c r="A3926" s="230" t="s">
        <v>325</v>
      </c>
      <c r="B3926" s="231" t="s">
        <v>8707</v>
      </c>
      <c r="C3926" s="230" t="s">
        <v>8708</v>
      </c>
      <c r="D3926" s="252"/>
    </row>
    <row r="3927" spans="1:4" ht="14.55" customHeight="1" outlineLevel="1" x14ac:dyDescent="0.25">
      <c r="A3927" s="230" t="s">
        <v>325</v>
      </c>
      <c r="B3927" s="231" t="s">
        <v>8709</v>
      </c>
      <c r="C3927" s="230" t="s">
        <v>8710</v>
      </c>
      <c r="D3927" s="252"/>
    </row>
    <row r="3928" spans="1:4" ht="14.55" customHeight="1" outlineLevel="1" x14ac:dyDescent="0.25">
      <c r="A3928" s="230" t="s">
        <v>325</v>
      </c>
      <c r="B3928" s="231" t="s">
        <v>8711</v>
      </c>
      <c r="C3928" s="230" t="s">
        <v>8712</v>
      </c>
      <c r="D3928" s="252"/>
    </row>
    <row r="3929" spans="1:4" ht="14.55" customHeight="1" outlineLevel="1" x14ac:dyDescent="0.25">
      <c r="A3929" s="230" t="s">
        <v>325</v>
      </c>
      <c r="B3929" s="231" t="s">
        <v>8713</v>
      </c>
      <c r="C3929" s="230" t="s">
        <v>8714</v>
      </c>
      <c r="D3929" s="252"/>
    </row>
    <row r="3930" spans="1:4" ht="14.55" customHeight="1" outlineLevel="1" x14ac:dyDescent="0.25">
      <c r="A3930" s="230" t="s">
        <v>325</v>
      </c>
      <c r="B3930" s="231" t="s">
        <v>8715</v>
      </c>
      <c r="C3930" s="230" t="s">
        <v>8716</v>
      </c>
      <c r="D3930" s="252"/>
    </row>
    <row r="3931" spans="1:4" ht="14.55" customHeight="1" outlineLevel="1" x14ac:dyDescent="0.25">
      <c r="A3931" s="230" t="s">
        <v>325</v>
      </c>
      <c r="B3931" s="231" t="s">
        <v>8717</v>
      </c>
      <c r="C3931" s="230" t="s">
        <v>8718</v>
      </c>
      <c r="D3931" s="252"/>
    </row>
    <row r="3932" spans="1:4" ht="14.55" customHeight="1" outlineLevel="1" x14ac:dyDescent="0.25">
      <c r="A3932" s="230" t="s">
        <v>325</v>
      </c>
      <c r="B3932" s="231" t="s">
        <v>8719</v>
      </c>
      <c r="C3932" s="230" t="s">
        <v>8720</v>
      </c>
      <c r="D3932" s="252"/>
    </row>
    <row r="3933" spans="1:4" ht="14.55" customHeight="1" outlineLevel="1" x14ac:dyDescent="0.25">
      <c r="A3933" s="230" t="s">
        <v>325</v>
      </c>
      <c r="B3933" s="231" t="s">
        <v>8721</v>
      </c>
      <c r="C3933" s="230" t="s">
        <v>8722</v>
      </c>
      <c r="D3933" s="252"/>
    </row>
    <row r="3934" spans="1:4" ht="14.55" customHeight="1" outlineLevel="1" x14ac:dyDescent="0.25">
      <c r="A3934" s="230" t="s">
        <v>325</v>
      </c>
      <c r="B3934" s="231" t="s">
        <v>8723</v>
      </c>
      <c r="C3934" s="230" t="s">
        <v>8724</v>
      </c>
      <c r="D3934" s="252"/>
    </row>
    <row r="3935" spans="1:4" ht="14.55" customHeight="1" outlineLevel="1" x14ac:dyDescent="0.25">
      <c r="A3935" s="230" t="s">
        <v>325</v>
      </c>
      <c r="B3935" s="231" t="s">
        <v>8725</v>
      </c>
      <c r="C3935" s="230" t="s">
        <v>8726</v>
      </c>
      <c r="D3935" s="252"/>
    </row>
    <row r="3936" spans="1:4" ht="14.55" customHeight="1" outlineLevel="1" x14ac:dyDescent="0.25">
      <c r="A3936" s="230" t="s">
        <v>325</v>
      </c>
      <c r="B3936" s="231" t="s">
        <v>8727</v>
      </c>
      <c r="C3936" s="230" t="s">
        <v>8728</v>
      </c>
      <c r="D3936" s="252"/>
    </row>
    <row r="3937" spans="1:5" ht="14.55" customHeight="1" outlineLevel="1" x14ac:dyDescent="0.25">
      <c r="A3937" s="230" t="s">
        <v>325</v>
      </c>
      <c r="B3937" s="231" t="s">
        <v>8729</v>
      </c>
      <c r="C3937" s="230" t="s">
        <v>8730</v>
      </c>
      <c r="D3937" s="252"/>
    </row>
    <row r="3938" spans="1:5" ht="14.55" customHeight="1" outlineLevel="1" x14ac:dyDescent="0.25">
      <c r="A3938" s="230" t="s">
        <v>325</v>
      </c>
      <c r="B3938" s="231" t="s">
        <v>8731</v>
      </c>
      <c r="C3938" s="230" t="s">
        <v>8732</v>
      </c>
      <c r="D3938" s="252"/>
    </row>
    <row r="3939" spans="1:5" ht="14.55" customHeight="1" outlineLevel="1" x14ac:dyDescent="0.25">
      <c r="A3939" s="230" t="s">
        <v>325</v>
      </c>
      <c r="B3939" s="231" t="s">
        <v>8733</v>
      </c>
      <c r="C3939" s="230" t="s">
        <v>8734</v>
      </c>
      <c r="D3939" s="252"/>
    </row>
    <row r="3940" spans="1:5" ht="14.55" customHeight="1" outlineLevel="1" x14ac:dyDescent="0.25">
      <c r="A3940" s="230" t="s">
        <v>325</v>
      </c>
      <c r="B3940" s="231" t="s">
        <v>8735</v>
      </c>
      <c r="C3940" s="230" t="s">
        <v>8736</v>
      </c>
      <c r="D3940" s="252"/>
    </row>
    <row r="3941" spans="1:5" ht="14.55" customHeight="1" outlineLevel="1" x14ac:dyDescent="0.25">
      <c r="A3941" s="230" t="s">
        <v>325</v>
      </c>
      <c r="B3941" s="231" t="s">
        <v>8737</v>
      </c>
      <c r="C3941" s="230" t="s">
        <v>8738</v>
      </c>
      <c r="D3941" s="252"/>
    </row>
    <row r="3942" spans="1:5" ht="14.55" customHeight="1" outlineLevel="1" x14ac:dyDescent="0.25">
      <c r="A3942" s="230" t="s">
        <v>325</v>
      </c>
      <c r="B3942" s="231" t="s">
        <v>8739</v>
      </c>
      <c r="C3942" s="230" t="s">
        <v>8740</v>
      </c>
      <c r="D3942" s="252"/>
    </row>
    <row r="3943" spans="1:5" ht="14.55" customHeight="1" outlineLevel="1" x14ac:dyDescent="0.25">
      <c r="A3943" s="230" t="s">
        <v>325</v>
      </c>
      <c r="B3943" s="231" t="s">
        <v>8741</v>
      </c>
      <c r="C3943" s="230" t="s">
        <v>8742</v>
      </c>
      <c r="D3943" s="252"/>
    </row>
    <row r="3944" spans="1:5" ht="14.55" customHeight="1" outlineLevel="1" x14ac:dyDescent="0.25">
      <c r="A3944" s="230" t="s">
        <v>325</v>
      </c>
      <c r="B3944" s="231" t="s">
        <v>8743</v>
      </c>
      <c r="C3944" s="230" t="s">
        <v>8744</v>
      </c>
      <c r="D3944" s="252"/>
    </row>
    <row r="3945" spans="1:5" ht="14.55" customHeight="1" outlineLevel="1" x14ac:dyDescent="0.25">
      <c r="A3945" s="230" t="s">
        <v>325</v>
      </c>
      <c r="B3945" s="231" t="s">
        <v>8745</v>
      </c>
      <c r="C3945" s="230" t="s">
        <v>8746</v>
      </c>
      <c r="D3945" s="252"/>
    </row>
    <row r="3946" spans="1:5" ht="14.55" customHeight="1" outlineLevel="1" x14ac:dyDescent="0.25">
      <c r="A3946" s="230" t="s">
        <v>325</v>
      </c>
      <c r="B3946" s="231" t="s">
        <v>8747</v>
      </c>
      <c r="C3946" s="230" t="s">
        <v>8748</v>
      </c>
      <c r="D3946" s="252"/>
    </row>
    <row r="3947" spans="1:5" ht="14.55" customHeight="1" outlineLevel="1" x14ac:dyDescent="0.25">
      <c r="A3947" s="230" t="s">
        <v>325</v>
      </c>
      <c r="B3947" s="231" t="s">
        <v>8749</v>
      </c>
      <c r="C3947" s="230" t="s">
        <v>8750</v>
      </c>
      <c r="D3947" s="252"/>
    </row>
    <row r="3948" spans="1:5" ht="14.55" customHeight="1" outlineLevel="1" x14ac:dyDescent="0.25">
      <c r="A3948" s="230" t="s">
        <v>325</v>
      </c>
      <c r="B3948" s="231" t="s">
        <v>8751</v>
      </c>
      <c r="C3948" s="230" t="s">
        <v>8752</v>
      </c>
      <c r="D3948" s="252"/>
    </row>
    <row r="3949" spans="1:5" ht="14.55" customHeight="1" outlineLevel="1" x14ac:dyDescent="0.25">
      <c r="A3949" s="230" t="s">
        <v>325</v>
      </c>
      <c r="B3949" s="231" t="s">
        <v>8753</v>
      </c>
      <c r="C3949" s="230" t="s">
        <v>8754</v>
      </c>
      <c r="D3949" s="252"/>
    </row>
    <row r="3950" spans="1:5" ht="14.55" customHeight="1" x14ac:dyDescent="0.25">
      <c r="A3950" s="240" t="s">
        <v>325</v>
      </c>
      <c r="B3950" s="251" t="s">
        <v>7117</v>
      </c>
      <c r="C3950" s="240" t="s">
        <v>7118</v>
      </c>
      <c r="D3950" s="240" t="s">
        <v>8755</v>
      </c>
      <c r="E3950" s="240"/>
    </row>
    <row r="3951" spans="1:5" ht="14.55" customHeight="1" x14ac:dyDescent="0.25">
      <c r="A3951" s="230" t="s">
        <v>262</v>
      </c>
      <c r="B3951" s="231" t="s">
        <v>1401</v>
      </c>
      <c r="C3951" s="230" t="s">
        <v>8756</v>
      </c>
      <c r="D3951" s="230" t="s">
        <v>8757</v>
      </c>
    </row>
    <row r="3952" spans="1:5" ht="14.55" customHeight="1" x14ac:dyDescent="0.25">
      <c r="A3952" s="230" t="s">
        <v>262</v>
      </c>
      <c r="B3952" s="231" t="s">
        <v>1411</v>
      </c>
      <c r="C3952" s="230" t="s">
        <v>8758</v>
      </c>
      <c r="D3952" s="230" t="s">
        <v>8759</v>
      </c>
    </row>
    <row r="3953" spans="1:5" ht="14.55" customHeight="1" x14ac:dyDescent="0.25">
      <c r="A3953" s="230" t="s">
        <v>262</v>
      </c>
      <c r="B3953" s="231" t="s">
        <v>94</v>
      </c>
      <c r="C3953" s="230" t="s">
        <v>8760</v>
      </c>
      <c r="D3953" s="230" t="s">
        <v>8761</v>
      </c>
    </row>
    <row r="3954" spans="1:5" ht="14.55" customHeight="1" x14ac:dyDescent="0.25">
      <c r="A3954" s="230" t="s">
        <v>262</v>
      </c>
      <c r="B3954" s="231" t="s">
        <v>107</v>
      </c>
      <c r="C3954" s="230" t="s">
        <v>8762</v>
      </c>
      <c r="D3954" s="230" t="s">
        <v>8763</v>
      </c>
    </row>
    <row r="3955" spans="1:5" ht="14.55" customHeight="1" x14ac:dyDescent="0.25">
      <c r="A3955" s="230" t="s">
        <v>1078</v>
      </c>
      <c r="B3955" s="231" t="s">
        <v>74</v>
      </c>
      <c r="C3955" s="230" t="s">
        <v>8764</v>
      </c>
      <c r="D3955" s="230"/>
    </row>
    <row r="3956" spans="1:5" ht="14.55" customHeight="1" x14ac:dyDescent="0.25">
      <c r="A3956" s="230" t="s">
        <v>1078</v>
      </c>
      <c r="B3956" s="231" t="s">
        <v>84</v>
      </c>
      <c r="C3956" s="230" t="s">
        <v>8765</v>
      </c>
      <c r="D3956" s="230"/>
    </row>
    <row r="3957" spans="1:5" ht="14.55" customHeight="1" x14ac:dyDescent="0.25">
      <c r="A3957" s="230" t="s">
        <v>1078</v>
      </c>
      <c r="B3957" s="231" t="s">
        <v>90</v>
      </c>
      <c r="C3957" s="230" t="s">
        <v>8766</v>
      </c>
      <c r="D3957" s="230"/>
    </row>
    <row r="3958" spans="1:5" ht="14.55" customHeight="1" x14ac:dyDescent="0.25">
      <c r="A3958" s="230" t="s">
        <v>1078</v>
      </c>
      <c r="B3958" s="231" t="s">
        <v>96</v>
      </c>
      <c r="C3958" s="230" t="s">
        <v>8767</v>
      </c>
      <c r="D3958" s="230"/>
    </row>
    <row r="3959" spans="1:5" ht="14.55" customHeight="1" x14ac:dyDescent="0.25">
      <c r="A3959" s="230" t="s">
        <v>1078</v>
      </c>
      <c r="B3959" s="231" t="s">
        <v>102</v>
      </c>
      <c r="C3959" s="230" t="s">
        <v>8768</v>
      </c>
      <c r="D3959" s="230"/>
    </row>
    <row r="3960" spans="1:5" ht="14.55" customHeight="1" x14ac:dyDescent="0.25">
      <c r="A3960" s="230" t="s">
        <v>1078</v>
      </c>
      <c r="B3960" s="231" t="s">
        <v>109</v>
      </c>
      <c r="C3960" s="230" t="s">
        <v>8769</v>
      </c>
      <c r="D3960" s="230"/>
    </row>
    <row r="3961" spans="1:5" ht="14.55" customHeight="1" x14ac:dyDescent="0.25">
      <c r="A3961" s="230" t="s">
        <v>1078</v>
      </c>
      <c r="B3961" s="231" t="s">
        <v>114</v>
      </c>
      <c r="C3961" s="230" t="s">
        <v>8770</v>
      </c>
      <c r="D3961" s="230"/>
    </row>
    <row r="3962" spans="1:5" ht="14.55" customHeight="1" x14ac:dyDescent="0.25">
      <c r="A3962" s="230" t="s">
        <v>1078</v>
      </c>
      <c r="B3962" s="231" t="s">
        <v>120</v>
      </c>
      <c r="C3962" s="230" t="s">
        <v>8771</v>
      </c>
      <c r="D3962" s="230"/>
    </row>
    <row r="3963" spans="1:5" ht="14.55" customHeight="1" x14ac:dyDescent="0.25">
      <c r="A3963" s="230" t="s">
        <v>1078</v>
      </c>
      <c r="B3963" s="231" t="s">
        <v>126</v>
      </c>
      <c r="C3963" s="230" t="s">
        <v>8772</v>
      </c>
      <c r="D3963" s="230"/>
    </row>
    <row r="3964" spans="1:5" ht="14.55" customHeight="1" x14ac:dyDescent="0.25">
      <c r="A3964" s="230" t="s">
        <v>1078</v>
      </c>
      <c r="B3964" s="231" t="s">
        <v>130</v>
      </c>
      <c r="C3964" s="230" t="s">
        <v>8773</v>
      </c>
      <c r="D3964" s="230"/>
    </row>
    <row r="3965" spans="1:5" ht="14.55" customHeight="1" x14ac:dyDescent="0.25">
      <c r="A3965" s="230" t="s">
        <v>1078</v>
      </c>
      <c r="B3965" s="231" t="s">
        <v>136</v>
      </c>
      <c r="C3965" s="230" t="s">
        <v>8774</v>
      </c>
      <c r="D3965" s="230"/>
    </row>
    <row r="3966" spans="1:5" ht="14.55" customHeight="1" x14ac:dyDescent="0.25">
      <c r="A3966" s="230" t="s">
        <v>1078</v>
      </c>
      <c r="B3966" s="231" t="s">
        <v>140</v>
      </c>
      <c r="C3966" s="230" t="s">
        <v>7168</v>
      </c>
      <c r="D3966" s="230"/>
    </row>
    <row r="3967" spans="1:5" ht="14.55" customHeight="1" x14ac:dyDescent="0.25">
      <c r="A3967" s="75" t="s">
        <v>1167</v>
      </c>
      <c r="B3967" s="342" t="s">
        <v>913</v>
      </c>
      <c r="C3967" s="254" t="s">
        <v>8775</v>
      </c>
      <c r="D3967" s="254"/>
      <c r="E3967" s="254"/>
    </row>
    <row r="3968" spans="1:5" ht="14.55" customHeight="1" x14ac:dyDescent="0.25">
      <c r="A3968" s="75" t="s">
        <v>1167</v>
      </c>
      <c r="B3968" s="342" t="s">
        <v>8776</v>
      </c>
      <c r="C3968" s="254" t="s">
        <v>8777</v>
      </c>
      <c r="D3968" s="254"/>
      <c r="E3968" s="254"/>
    </row>
    <row r="3969" spans="1:5" ht="14.55" customHeight="1" x14ac:dyDescent="0.25">
      <c r="A3969" s="75" t="s">
        <v>1167</v>
      </c>
      <c r="B3969" s="342" t="s">
        <v>7548</v>
      </c>
      <c r="C3969" s="254" t="s">
        <v>8778</v>
      </c>
      <c r="D3969" s="254"/>
      <c r="E3969" s="254"/>
    </row>
    <row r="3970" spans="1:5" ht="14.55" customHeight="1" x14ac:dyDescent="0.25">
      <c r="A3970" s="75" t="s">
        <v>1167</v>
      </c>
      <c r="B3970" s="342" t="s">
        <v>7552</v>
      </c>
      <c r="C3970" s="254" t="s">
        <v>8779</v>
      </c>
      <c r="D3970" s="254"/>
      <c r="E3970" s="254"/>
    </row>
    <row r="3971" spans="1:5" ht="14.55" customHeight="1" x14ac:dyDescent="0.25">
      <c r="A3971" s="75" t="s">
        <v>1167</v>
      </c>
      <c r="B3971" s="342" t="s">
        <v>7568</v>
      </c>
      <c r="C3971" s="254" t="s">
        <v>8780</v>
      </c>
      <c r="D3971" s="254"/>
      <c r="E3971" s="254"/>
    </row>
    <row r="3972" spans="1:5" ht="14.55" customHeight="1" x14ac:dyDescent="0.25">
      <c r="A3972" s="75" t="s">
        <v>1167</v>
      </c>
      <c r="B3972" s="342" t="s">
        <v>7572</v>
      </c>
      <c r="C3972" s="254" t="s">
        <v>8781</v>
      </c>
      <c r="D3972" s="254"/>
      <c r="E3972" s="254"/>
    </row>
    <row r="3973" spans="1:5" ht="14.55" customHeight="1" x14ac:dyDescent="0.25">
      <c r="A3973" s="75" t="s">
        <v>1167</v>
      </c>
      <c r="B3973" s="342" t="s">
        <v>7576</v>
      </c>
      <c r="C3973" s="254" t="s">
        <v>8782</v>
      </c>
      <c r="D3973" s="254"/>
      <c r="E3973" s="254"/>
    </row>
    <row r="3974" spans="1:5" ht="14.55" customHeight="1" x14ac:dyDescent="0.25">
      <c r="A3974" s="75" t="s">
        <v>1167</v>
      </c>
      <c r="B3974" s="342" t="s">
        <v>8783</v>
      </c>
      <c r="C3974" s="254" t="s">
        <v>8784</v>
      </c>
      <c r="D3974" s="254"/>
      <c r="E3974" s="254"/>
    </row>
    <row r="3975" spans="1:5" ht="14.55" customHeight="1" x14ac:dyDescent="0.25">
      <c r="A3975" s="230" t="s">
        <v>612</v>
      </c>
      <c r="B3975" s="231" t="s">
        <v>1411</v>
      </c>
      <c r="C3975" s="230" t="s">
        <v>8785</v>
      </c>
      <c r="D3975" s="230"/>
    </row>
    <row r="3976" spans="1:5" ht="14.55" customHeight="1" x14ac:dyDescent="0.25">
      <c r="A3976" s="230" t="s">
        <v>612</v>
      </c>
      <c r="B3976" s="231" t="s">
        <v>7203</v>
      </c>
      <c r="C3976" s="230" t="s">
        <v>8786</v>
      </c>
      <c r="D3976" s="230"/>
    </row>
    <row r="3977" spans="1:5" ht="14.55" customHeight="1" x14ac:dyDescent="0.25">
      <c r="A3977" s="230" t="s">
        <v>612</v>
      </c>
      <c r="B3977" s="231" t="s">
        <v>107</v>
      </c>
      <c r="C3977" s="230" t="s">
        <v>8787</v>
      </c>
      <c r="D3977" s="230"/>
    </row>
    <row r="3978" spans="1:5" ht="14.55" customHeight="1" x14ac:dyDescent="0.25">
      <c r="A3978" s="230" t="s">
        <v>734</v>
      </c>
      <c r="B3978" s="231" t="s">
        <v>7179</v>
      </c>
      <c r="C3978" s="230" t="s">
        <v>8788</v>
      </c>
      <c r="D3978" s="230"/>
    </row>
    <row r="3979" spans="1:5" ht="14.55" customHeight="1" x14ac:dyDescent="0.25">
      <c r="A3979" s="230" t="s">
        <v>734</v>
      </c>
      <c r="B3979" s="231" t="s">
        <v>7371</v>
      </c>
      <c r="C3979" s="230" t="s">
        <v>8789</v>
      </c>
      <c r="D3979" s="230"/>
    </row>
    <row r="3980" spans="1:5" ht="14.55" customHeight="1" x14ac:dyDescent="0.25">
      <c r="A3980" s="230" t="s">
        <v>734</v>
      </c>
      <c r="B3980" s="231" t="s">
        <v>94</v>
      </c>
      <c r="C3980" s="230" t="s">
        <v>8790</v>
      </c>
      <c r="D3980" s="230"/>
    </row>
    <row r="3981" spans="1:5" ht="14.55" customHeight="1" x14ac:dyDescent="0.25">
      <c r="A3981" s="230" t="s">
        <v>1124</v>
      </c>
      <c r="B3981" s="231" t="s">
        <v>1401</v>
      </c>
      <c r="C3981" s="230" t="s">
        <v>8791</v>
      </c>
      <c r="D3981" s="230"/>
    </row>
    <row r="3982" spans="1:5" ht="14.55" customHeight="1" x14ac:dyDescent="0.25">
      <c r="A3982" s="230" t="s">
        <v>1124</v>
      </c>
      <c r="B3982" s="231" t="s">
        <v>6597</v>
      </c>
      <c r="C3982" s="230" t="s">
        <v>8792</v>
      </c>
      <c r="D3982" s="230"/>
    </row>
    <row r="3983" spans="1:5" ht="14.55" customHeight="1" x14ac:dyDescent="0.25">
      <c r="A3983" s="230" t="s">
        <v>1124</v>
      </c>
      <c r="B3983" s="231" t="s">
        <v>7179</v>
      </c>
      <c r="C3983" s="230" t="s">
        <v>8793</v>
      </c>
      <c r="D3983" s="230"/>
    </row>
    <row r="3984" spans="1:5" ht="14.55" customHeight="1" x14ac:dyDescent="0.25">
      <c r="A3984" s="230" t="s">
        <v>1124</v>
      </c>
      <c r="B3984" s="231" t="s">
        <v>8794</v>
      </c>
      <c r="C3984" s="230" t="s">
        <v>8795</v>
      </c>
      <c r="D3984" s="230"/>
    </row>
    <row r="3985" spans="1:5" ht="14.55" customHeight="1" x14ac:dyDescent="0.25">
      <c r="A3985" s="230" t="s">
        <v>1124</v>
      </c>
      <c r="B3985" s="231" t="s">
        <v>7163</v>
      </c>
      <c r="C3985" s="230" t="s">
        <v>8796</v>
      </c>
      <c r="D3985" s="230"/>
    </row>
    <row r="3986" spans="1:5" ht="14.55" customHeight="1" x14ac:dyDescent="0.25">
      <c r="A3986" s="230" t="s">
        <v>224</v>
      </c>
      <c r="B3986" s="231" t="s">
        <v>8794</v>
      </c>
      <c r="C3986" s="230" t="s">
        <v>8797</v>
      </c>
      <c r="D3986" s="230" t="s">
        <v>8798</v>
      </c>
    </row>
    <row r="3987" spans="1:5" ht="14.55" customHeight="1" x14ac:dyDescent="0.25">
      <c r="A3987" s="230" t="s">
        <v>224</v>
      </c>
      <c r="B3987" s="231" t="s">
        <v>7169</v>
      </c>
      <c r="C3987" s="230" t="s">
        <v>8799</v>
      </c>
      <c r="D3987" s="230" t="s">
        <v>8800</v>
      </c>
    </row>
    <row r="3988" spans="1:5" ht="14.55" customHeight="1" x14ac:dyDescent="0.25">
      <c r="A3988" s="230" t="s">
        <v>224</v>
      </c>
      <c r="B3988" s="231" t="s">
        <v>94</v>
      </c>
      <c r="C3988" s="230" t="s">
        <v>8801</v>
      </c>
      <c r="D3988" s="230" t="s">
        <v>8802</v>
      </c>
    </row>
    <row r="3989" spans="1:5" ht="14.55" customHeight="1" x14ac:dyDescent="0.25">
      <c r="A3989" s="230" t="s">
        <v>1096</v>
      </c>
      <c r="B3989" s="231" t="s">
        <v>8803</v>
      </c>
      <c r="C3989" s="230" t="s">
        <v>8804</v>
      </c>
      <c r="D3989" s="230" t="s">
        <v>8805</v>
      </c>
      <c r="E3989" s="230" t="str">
        <f>"The person responsible for receiving "&amp; D3989 &amp; " communication"</f>
        <v>The person responsible for receiving 21st Century Community Learning Program communication</v>
      </c>
    </row>
    <row r="3990" spans="1:5" ht="14.55" customHeight="1" x14ac:dyDescent="0.25">
      <c r="A3990" s="230" t="s">
        <v>1096</v>
      </c>
      <c r="B3990" s="231" t="s">
        <v>8806</v>
      </c>
      <c r="C3990" s="230" t="s">
        <v>8807</v>
      </c>
      <c r="D3990" s="230" t="s">
        <v>8808</v>
      </c>
      <c r="E3990" s="230" t="str">
        <f t="shared" ref="E3990:E4040" si="0">"The person responsible for receiving "&amp; D3990 &amp; " communication"</f>
        <v>The person responsible for receiving Advanced Opportunity Program communication</v>
      </c>
    </row>
    <row r="3991" spans="1:5" ht="14.55" customHeight="1" x14ac:dyDescent="0.25">
      <c r="A3991" s="230" t="s">
        <v>1096</v>
      </c>
      <c r="B3991" s="231" t="s">
        <v>8809</v>
      </c>
      <c r="C3991" s="230" t="s">
        <v>8810</v>
      </c>
      <c r="D3991" s="230" t="s">
        <v>8811</v>
      </c>
      <c r="E3991" s="230" t="str">
        <f t="shared" si="0"/>
        <v>The person responsible for receiving Advanced Placement (AP) Program communication</v>
      </c>
    </row>
    <row r="3992" spans="1:5" ht="14.55" customHeight="1" x14ac:dyDescent="0.25">
      <c r="A3992" s="230" t="s">
        <v>1096</v>
      </c>
      <c r="B3992" s="231" t="s">
        <v>8812</v>
      </c>
      <c r="C3992" s="230" t="s">
        <v>8813</v>
      </c>
      <c r="D3992" s="230" t="s">
        <v>8813</v>
      </c>
      <c r="E3992" s="230" t="str">
        <f t="shared" si="0"/>
        <v>The person responsible for receiving Assistant Principal communication</v>
      </c>
    </row>
    <row r="3993" spans="1:5" ht="14.55" customHeight="1" x14ac:dyDescent="0.25">
      <c r="A3993" s="230" t="s">
        <v>1096</v>
      </c>
      <c r="B3993" s="231" t="s">
        <v>8814</v>
      </c>
      <c r="C3993" s="230" t="s">
        <v>8815</v>
      </c>
      <c r="D3993" s="230" t="s">
        <v>8815</v>
      </c>
      <c r="E3993" s="230" t="str">
        <f t="shared" si="0"/>
        <v>The person responsible for receiving Business Manager communication</v>
      </c>
    </row>
    <row r="3994" spans="1:5" ht="14.55" customHeight="1" x14ac:dyDescent="0.25">
      <c r="A3994" s="230" t="s">
        <v>1096</v>
      </c>
      <c r="B3994" s="231" t="s">
        <v>8816</v>
      </c>
      <c r="C3994" s="230" t="s">
        <v>8817</v>
      </c>
      <c r="D3994" s="230" t="s">
        <v>8818</v>
      </c>
      <c r="E3994" s="230" t="str">
        <f t="shared" si="0"/>
        <v>The person responsible for receiving Career and Technical Education  communication</v>
      </c>
    </row>
    <row r="3995" spans="1:5" ht="14.55" customHeight="1" x14ac:dyDescent="0.25">
      <c r="A3995" s="230" t="s">
        <v>1096</v>
      </c>
      <c r="B3995" s="231" t="s">
        <v>8819</v>
      </c>
      <c r="C3995" s="230" t="s">
        <v>8820</v>
      </c>
      <c r="D3995" s="230" t="s">
        <v>8820</v>
      </c>
      <c r="E3995" s="230" t="str">
        <f t="shared" si="0"/>
        <v>The person responsible for receiving Charter School Administrator communication</v>
      </c>
    </row>
    <row r="3996" spans="1:5" ht="14.55" customHeight="1" x14ac:dyDescent="0.25">
      <c r="A3996" s="230" t="s">
        <v>1096</v>
      </c>
      <c r="B3996" s="231" t="s">
        <v>8821</v>
      </c>
      <c r="C3996" s="230" t="s">
        <v>8822</v>
      </c>
      <c r="D3996" s="230" t="s">
        <v>8822</v>
      </c>
      <c r="E3996" s="230" t="str">
        <f t="shared" si="0"/>
        <v>The person responsible for receiving Clerk of the Board communication</v>
      </c>
    </row>
    <row r="3997" spans="1:5" ht="14.55" customHeight="1" x14ac:dyDescent="0.25">
      <c r="A3997" s="230" t="s">
        <v>1096</v>
      </c>
      <c r="B3997" s="231" t="s">
        <v>8823</v>
      </c>
      <c r="C3997" s="230" t="s">
        <v>8824</v>
      </c>
      <c r="D3997" s="230" t="s">
        <v>8825</v>
      </c>
      <c r="E3997" s="230" t="str">
        <f t="shared" si="0"/>
        <v>The person responsible for receiving College Entrance Exam communication</v>
      </c>
    </row>
    <row r="3998" spans="1:5" ht="14.55" customHeight="1" x14ac:dyDescent="0.25">
      <c r="A3998" s="230" t="s">
        <v>1096</v>
      </c>
      <c r="B3998" s="231" t="s">
        <v>8826</v>
      </c>
      <c r="C3998" s="230" t="s">
        <v>8827</v>
      </c>
      <c r="D3998" s="230" t="s">
        <v>8828</v>
      </c>
      <c r="E3998" s="230" t="str">
        <f t="shared" si="0"/>
        <v>The person responsible for receiving Computer Technology communication</v>
      </c>
    </row>
    <row r="3999" spans="1:5" ht="14.55" customHeight="1" x14ac:dyDescent="0.25">
      <c r="A3999" s="230" t="s">
        <v>1096</v>
      </c>
      <c r="B3999" s="231" t="s">
        <v>8829</v>
      </c>
      <c r="C3999" s="230" t="s">
        <v>8830</v>
      </c>
      <c r="D3999" s="230" t="s">
        <v>8831</v>
      </c>
      <c r="E3999" s="230" t="str">
        <f t="shared" si="0"/>
        <v>The person responsible for receiving Consolidated Grants communication</v>
      </c>
    </row>
    <row r="4000" spans="1:5" ht="14.55" customHeight="1" x14ac:dyDescent="0.25">
      <c r="A4000" s="230" t="s">
        <v>1096</v>
      </c>
      <c r="B4000" s="231" t="s">
        <v>8832</v>
      </c>
      <c r="C4000" s="230" t="s">
        <v>8833</v>
      </c>
      <c r="D4000" s="230" t="s">
        <v>8834</v>
      </c>
      <c r="E4000" s="230" t="str">
        <f t="shared" si="0"/>
        <v>The person responsible for receiving Curriculum/Instruction  communication</v>
      </c>
    </row>
    <row r="4001" spans="1:5" ht="14.55" customHeight="1" x14ac:dyDescent="0.25">
      <c r="A4001" s="230" t="s">
        <v>1096</v>
      </c>
      <c r="B4001" s="231" t="s">
        <v>8835</v>
      </c>
      <c r="C4001" s="230" t="s">
        <v>8836</v>
      </c>
      <c r="D4001" s="230" t="s">
        <v>8837</v>
      </c>
      <c r="E4001" s="230" t="str">
        <f t="shared" si="0"/>
        <v>The person responsible for receiving District Testing communication</v>
      </c>
    </row>
    <row r="4002" spans="1:5" ht="14.55" customHeight="1" x14ac:dyDescent="0.25">
      <c r="A4002" s="230" t="s">
        <v>1096</v>
      </c>
      <c r="B4002" s="231" t="s">
        <v>8838</v>
      </c>
      <c r="C4002" s="230" t="s">
        <v>8839</v>
      </c>
      <c r="D4002" s="230" t="s">
        <v>8840</v>
      </c>
      <c r="E4002" s="230" t="str">
        <f t="shared" si="0"/>
        <v>The person responsible for receiving Drivers Education communication</v>
      </c>
    </row>
    <row r="4003" spans="1:5" ht="14.55" customHeight="1" x14ac:dyDescent="0.25">
      <c r="A4003" s="230" t="s">
        <v>1096</v>
      </c>
      <c r="B4003" s="231" t="s">
        <v>8841</v>
      </c>
      <c r="C4003" s="230" t="s">
        <v>8842</v>
      </c>
      <c r="D4003" s="230" t="s">
        <v>8843</v>
      </c>
      <c r="E4003" s="230" t="str">
        <f t="shared" si="0"/>
        <v>The person responsible for receiving English Language Proficiency Assessment communication</v>
      </c>
    </row>
    <row r="4004" spans="1:5" ht="14.55" customHeight="1" x14ac:dyDescent="0.25">
      <c r="A4004" s="230" t="s">
        <v>1096</v>
      </c>
      <c r="B4004" s="231" t="s">
        <v>8844</v>
      </c>
      <c r="C4004" s="230" t="s">
        <v>8845</v>
      </c>
      <c r="D4004" s="230" t="s">
        <v>8845</v>
      </c>
      <c r="E4004" s="230" t="str">
        <f t="shared" si="0"/>
        <v>The person responsible for receiving Food Service Director communication</v>
      </c>
    </row>
    <row r="4005" spans="1:5" ht="14.55" customHeight="1" x14ac:dyDescent="0.25">
      <c r="A4005" s="230" t="s">
        <v>1096</v>
      </c>
      <c r="B4005" s="231" t="s">
        <v>8846</v>
      </c>
      <c r="C4005" s="230" t="s">
        <v>8847</v>
      </c>
      <c r="D4005" s="230" t="s">
        <v>8847</v>
      </c>
      <c r="E4005" s="230" t="str">
        <f t="shared" si="0"/>
        <v>The person responsible for receiving GEARUP Coordinator communication</v>
      </c>
    </row>
    <row r="4006" spans="1:5" ht="14.55" customHeight="1" x14ac:dyDescent="0.25">
      <c r="A4006" s="230" t="s">
        <v>1096</v>
      </c>
      <c r="B4006" s="231" t="s">
        <v>8848</v>
      </c>
      <c r="C4006" s="230" t="s">
        <v>8849</v>
      </c>
      <c r="D4006" s="230" t="s">
        <v>8850</v>
      </c>
      <c r="E4006" s="230" t="str">
        <f t="shared" si="0"/>
        <v>The person responsible for receiving Gifted and Talented communication</v>
      </c>
    </row>
    <row r="4007" spans="1:5" ht="14.55" customHeight="1" x14ac:dyDescent="0.25">
      <c r="A4007" s="230" t="s">
        <v>1096</v>
      </c>
      <c r="B4007" s="231" t="s">
        <v>6808</v>
      </c>
      <c r="C4007" s="230" t="s">
        <v>8851</v>
      </c>
      <c r="D4007" s="230" t="s">
        <v>8851</v>
      </c>
      <c r="E4007" s="230" t="str">
        <f t="shared" si="0"/>
        <v>The person responsible for receiving Human Resources/Personnel communication</v>
      </c>
    </row>
    <row r="4008" spans="1:5" ht="14.55" customHeight="1" x14ac:dyDescent="0.25">
      <c r="A4008" s="230" t="s">
        <v>1096</v>
      </c>
      <c r="B4008" s="231" t="s">
        <v>8852</v>
      </c>
      <c r="C4008" s="230" t="s">
        <v>8853</v>
      </c>
      <c r="D4008" s="230" t="s">
        <v>8853</v>
      </c>
      <c r="E4008" s="230" t="str">
        <f t="shared" si="0"/>
        <v>The person responsible for receiving Idaho Reading Indicator communication</v>
      </c>
    </row>
    <row r="4009" spans="1:5" ht="14.55" customHeight="1" x14ac:dyDescent="0.25">
      <c r="A4009" s="230" t="s">
        <v>1096</v>
      </c>
      <c r="B4009" s="231" t="s">
        <v>8854</v>
      </c>
      <c r="C4009" s="230" t="s">
        <v>8855</v>
      </c>
      <c r="D4009" s="230" t="s">
        <v>8855</v>
      </c>
      <c r="E4009" s="230" t="str">
        <f t="shared" si="0"/>
        <v>The person responsible for receiving Idaho Standards Achievement Test communication</v>
      </c>
    </row>
    <row r="4010" spans="1:5" ht="14.55" customHeight="1" x14ac:dyDescent="0.25">
      <c r="A4010" s="230" t="s">
        <v>1096</v>
      </c>
      <c r="B4010" s="231" t="s">
        <v>8856</v>
      </c>
      <c r="C4010" s="230" t="s">
        <v>8857</v>
      </c>
      <c r="D4010" s="230" t="s">
        <v>8858</v>
      </c>
      <c r="E4010" s="230" t="str">
        <f t="shared" si="0"/>
        <v>The person responsible for receiving ISEE Data Reporting communication</v>
      </c>
    </row>
    <row r="4011" spans="1:5" ht="14.55" customHeight="1" x14ac:dyDescent="0.25">
      <c r="A4011" s="230" t="s">
        <v>1096</v>
      </c>
      <c r="B4011" s="231" t="s">
        <v>8859</v>
      </c>
      <c r="C4011" s="230" t="s">
        <v>8860</v>
      </c>
      <c r="D4011" s="230" t="s">
        <v>8860</v>
      </c>
      <c r="E4011" s="230" t="str">
        <f t="shared" si="0"/>
        <v>The person responsible for receiving Mathematics Coordinator communication</v>
      </c>
    </row>
    <row r="4012" spans="1:5" ht="14.55" customHeight="1" x14ac:dyDescent="0.25">
      <c r="A4012" s="230" t="s">
        <v>1096</v>
      </c>
      <c r="B4012" s="231" t="s">
        <v>8861</v>
      </c>
      <c r="C4012" s="230" t="s">
        <v>8862</v>
      </c>
      <c r="D4012" s="230" t="s">
        <v>8863</v>
      </c>
      <c r="E4012" s="230" t="str">
        <f t="shared" si="0"/>
        <v>The person responsible for receiving National Assessment of Educational Progress communication</v>
      </c>
    </row>
    <row r="4013" spans="1:5" ht="14.55" customHeight="1" x14ac:dyDescent="0.25">
      <c r="A4013" s="230" t="s">
        <v>1096</v>
      </c>
      <c r="B4013" s="231" t="s">
        <v>6953</v>
      </c>
      <c r="C4013" s="230" t="s">
        <v>8864</v>
      </c>
      <c r="D4013" s="230" t="s">
        <v>8865</v>
      </c>
      <c r="E4013" s="230" t="str">
        <f t="shared" si="0"/>
        <v>The person responsible for receiving Operations and Maintenance communication</v>
      </c>
    </row>
    <row r="4014" spans="1:5" ht="14.55" customHeight="1" x14ac:dyDescent="0.25">
      <c r="A4014" s="230" t="s">
        <v>1096</v>
      </c>
      <c r="B4014" s="231" t="s">
        <v>8866</v>
      </c>
      <c r="C4014" s="230" t="s">
        <v>7168</v>
      </c>
      <c r="D4014" s="230" t="s">
        <v>7168</v>
      </c>
      <c r="E4014" s="230" t="str">
        <f t="shared" si="0"/>
        <v>The person responsible for receiving Other communication</v>
      </c>
    </row>
    <row r="4015" spans="1:5" ht="14.55" customHeight="1" x14ac:dyDescent="0.25">
      <c r="A4015" s="230" t="s">
        <v>1096</v>
      </c>
      <c r="B4015" s="231" t="s">
        <v>8867</v>
      </c>
      <c r="C4015" s="230" t="s">
        <v>8868</v>
      </c>
      <c r="D4015" s="230" t="s">
        <v>8868</v>
      </c>
      <c r="E4015" s="230" t="str">
        <f t="shared" si="0"/>
        <v>The person responsible for receiving Principal communication</v>
      </c>
    </row>
    <row r="4016" spans="1:5" ht="14.55" customHeight="1" x14ac:dyDescent="0.25">
      <c r="A4016" s="230" t="s">
        <v>1096</v>
      </c>
      <c r="B4016" s="231" t="s">
        <v>8869</v>
      </c>
      <c r="C4016" s="230" t="s">
        <v>8870</v>
      </c>
      <c r="D4016" s="230" t="s">
        <v>8871</v>
      </c>
      <c r="E4016" s="230" t="str">
        <f t="shared" si="0"/>
        <v>The person responsible for receiving Public Information/Community Relations communication</v>
      </c>
    </row>
    <row r="4017" spans="1:5" ht="14.55" customHeight="1" x14ac:dyDescent="0.25">
      <c r="A4017" s="230" t="s">
        <v>1096</v>
      </c>
      <c r="B4017" s="231" t="s">
        <v>8872</v>
      </c>
      <c r="C4017" s="230" t="s">
        <v>8873</v>
      </c>
      <c r="D4017" s="230" t="s">
        <v>8874</v>
      </c>
      <c r="E4017" s="230" t="str">
        <f t="shared" si="0"/>
        <v>The person responsible for receiving Response to Intervention communication</v>
      </c>
    </row>
    <row r="4018" spans="1:5" ht="14.55" customHeight="1" x14ac:dyDescent="0.25">
      <c r="A4018" s="230" t="s">
        <v>1096</v>
      </c>
      <c r="B4018" s="231" t="s">
        <v>8875</v>
      </c>
      <c r="C4018" s="230" t="s">
        <v>8876</v>
      </c>
      <c r="D4018" s="230" t="s">
        <v>8877</v>
      </c>
      <c r="E4018" s="230" t="str">
        <f t="shared" si="0"/>
        <v>The person responsible for receiving Safe &amp; Drug Free Schools communication</v>
      </c>
    </row>
    <row r="4019" spans="1:5" ht="14.55" customHeight="1" x14ac:dyDescent="0.25">
      <c r="A4019" s="230" t="s">
        <v>1096</v>
      </c>
      <c r="B4019" s="231" t="s">
        <v>8878</v>
      </c>
      <c r="C4019" s="230" t="s">
        <v>8879</v>
      </c>
      <c r="D4019" s="230" t="s">
        <v>8880</v>
      </c>
      <c r="E4019" s="230" t="str">
        <f t="shared" si="0"/>
        <v>The person responsible for receiving Scholarships communication</v>
      </c>
    </row>
    <row r="4020" spans="1:5" ht="14.55" customHeight="1" x14ac:dyDescent="0.25">
      <c r="A4020" s="230" t="s">
        <v>1096</v>
      </c>
      <c r="B4020" s="231" t="s">
        <v>8881</v>
      </c>
      <c r="C4020" s="230" t="s">
        <v>8882</v>
      </c>
      <c r="D4020" s="230" t="s">
        <v>8882</v>
      </c>
      <c r="E4020" s="230" t="str">
        <f t="shared" si="0"/>
        <v>The person responsible for receiving School Counselor communication</v>
      </c>
    </row>
    <row r="4021" spans="1:5" ht="14.55" customHeight="1" x14ac:dyDescent="0.25">
      <c r="A4021" s="230" t="s">
        <v>1096</v>
      </c>
      <c r="B4021" s="231" t="s">
        <v>8883</v>
      </c>
      <c r="C4021" s="230" t="s">
        <v>8884</v>
      </c>
      <c r="D4021" s="230" t="s">
        <v>8884</v>
      </c>
      <c r="E4021" s="230" t="str">
        <f t="shared" si="0"/>
        <v>The person responsible for receiving School Nurse communication</v>
      </c>
    </row>
    <row r="4022" spans="1:5" ht="14.55" customHeight="1" x14ac:dyDescent="0.25">
      <c r="A4022" s="230" t="s">
        <v>1096</v>
      </c>
      <c r="B4022" s="231" t="s">
        <v>8885</v>
      </c>
      <c r="C4022" s="230" t="s">
        <v>8886</v>
      </c>
      <c r="D4022" s="230" t="s">
        <v>8887</v>
      </c>
      <c r="E4022" s="230" t="str">
        <f t="shared" si="0"/>
        <v>The person responsible for receiving Special Education  communication</v>
      </c>
    </row>
    <row r="4023" spans="1:5" ht="14.55" customHeight="1" x14ac:dyDescent="0.25">
      <c r="A4023" s="230" t="s">
        <v>1096</v>
      </c>
      <c r="B4023" s="231" t="s">
        <v>8888</v>
      </c>
      <c r="C4023" s="230" t="s">
        <v>8889</v>
      </c>
      <c r="D4023" s="230" t="s">
        <v>8890</v>
      </c>
      <c r="E4023" s="230" t="str">
        <f t="shared" si="0"/>
        <v>The person responsible for receiving Staff Professional Development communication</v>
      </c>
    </row>
    <row r="4024" spans="1:5" ht="14.55" customHeight="1" x14ac:dyDescent="0.25">
      <c r="A4024" s="230" t="s">
        <v>1096</v>
      </c>
      <c r="B4024" s="231" t="s">
        <v>8891</v>
      </c>
      <c r="C4024" s="230" t="s">
        <v>8892</v>
      </c>
      <c r="D4024" s="230" t="s">
        <v>8892</v>
      </c>
      <c r="E4024" s="230" t="str">
        <f t="shared" si="0"/>
        <v>The person responsible for receiving Superintendent communication</v>
      </c>
    </row>
    <row r="4025" spans="1:5" ht="14.55" customHeight="1" x14ac:dyDescent="0.25">
      <c r="A4025" s="230" t="s">
        <v>1096</v>
      </c>
      <c r="B4025" s="231" t="s">
        <v>8893</v>
      </c>
      <c r="C4025" s="230" t="s">
        <v>8894</v>
      </c>
      <c r="D4025" s="230" t="s">
        <v>8894</v>
      </c>
      <c r="E4025" s="230" t="str">
        <f t="shared" si="0"/>
        <v>The person responsible for receiving Superintendent Deputy (Assistant) communication</v>
      </c>
    </row>
    <row r="4026" spans="1:5" ht="14.55" customHeight="1" x14ac:dyDescent="0.25">
      <c r="A4026" s="230" t="s">
        <v>1096</v>
      </c>
      <c r="B4026" s="231" t="s">
        <v>8895</v>
      </c>
      <c r="C4026" s="230" t="s">
        <v>8896</v>
      </c>
      <c r="D4026" s="230" t="s">
        <v>8897</v>
      </c>
      <c r="E4026" s="230" t="str">
        <f t="shared" si="0"/>
        <v>The person responsible for receiving Technology communication</v>
      </c>
    </row>
    <row r="4027" spans="1:5" ht="14.55" customHeight="1" x14ac:dyDescent="0.25">
      <c r="A4027" s="230" t="s">
        <v>1096</v>
      </c>
      <c r="B4027" s="231" t="s">
        <v>8898</v>
      </c>
      <c r="C4027" s="230" t="s">
        <v>8899</v>
      </c>
      <c r="D4027" s="230" t="s">
        <v>8900</v>
      </c>
      <c r="E4027" s="230" t="str">
        <f t="shared" si="0"/>
        <v>The person responsible for receiving Title I-A Improving Basic Programs communication</v>
      </c>
    </row>
    <row r="4028" spans="1:5" ht="14.55" customHeight="1" x14ac:dyDescent="0.25">
      <c r="A4028" s="230" t="s">
        <v>1096</v>
      </c>
      <c r="B4028" s="231" t="s">
        <v>8901</v>
      </c>
      <c r="C4028" s="230" t="s">
        <v>8902</v>
      </c>
      <c r="D4028" s="230" t="s">
        <v>8903</v>
      </c>
      <c r="E4028" s="230" t="str">
        <f t="shared" si="0"/>
        <v>The person responsible for receiving Title I-C Migrant Education communication</v>
      </c>
    </row>
    <row r="4029" spans="1:5" ht="14.55" customHeight="1" x14ac:dyDescent="0.25">
      <c r="A4029" s="230" t="s">
        <v>1096</v>
      </c>
      <c r="B4029" s="231" t="s">
        <v>8904</v>
      </c>
      <c r="C4029" s="230" t="s">
        <v>8905</v>
      </c>
      <c r="D4029" s="230" t="s">
        <v>8905</v>
      </c>
      <c r="E4029" s="230" t="str">
        <f t="shared" si="0"/>
        <v>The person responsible for receiving Title I-C Migrant Education Family Liaison/Recruiter communication</v>
      </c>
    </row>
    <row r="4030" spans="1:5" ht="14.55" customHeight="1" x14ac:dyDescent="0.25">
      <c r="A4030" s="230" t="s">
        <v>1096</v>
      </c>
      <c r="B4030" s="231" t="s">
        <v>8906</v>
      </c>
      <c r="C4030" s="230" t="s">
        <v>8907</v>
      </c>
      <c r="D4030" s="230" t="s">
        <v>8908</v>
      </c>
      <c r="E4030" s="230" t="str">
        <f t="shared" si="0"/>
        <v>The person responsible for receiving Title I-C Migrant Education Graduation communication</v>
      </c>
    </row>
    <row r="4031" spans="1:5" ht="14.55" customHeight="1" x14ac:dyDescent="0.25">
      <c r="A4031" s="230" t="s">
        <v>1096</v>
      </c>
      <c r="B4031" s="231" t="s">
        <v>8909</v>
      </c>
      <c r="C4031" s="230" t="s">
        <v>8910</v>
      </c>
      <c r="D4031" s="230" t="s">
        <v>8911</v>
      </c>
      <c r="E4031" s="230" t="str">
        <f t="shared" si="0"/>
        <v>The person responsible for receiving Title I-D Neglected/Delinquent Education communication</v>
      </c>
    </row>
    <row r="4032" spans="1:5" ht="14.55" customHeight="1" x14ac:dyDescent="0.25">
      <c r="A4032" s="230" t="s">
        <v>1096</v>
      </c>
      <c r="B4032" s="231" t="s">
        <v>8912</v>
      </c>
      <c r="C4032" s="230" t="s">
        <v>8913</v>
      </c>
      <c r="D4032" s="230" t="s">
        <v>8914</v>
      </c>
      <c r="E4032" s="230" t="str">
        <f t="shared" si="0"/>
        <v>The person responsible for receiving Title II-A Supporting Effective Instruction communication</v>
      </c>
    </row>
    <row r="4033" spans="1:5" ht="14.55" customHeight="1" x14ac:dyDescent="0.25">
      <c r="A4033" s="230" t="s">
        <v>1096</v>
      </c>
      <c r="B4033" s="231" t="s">
        <v>8915</v>
      </c>
      <c r="C4033" s="230" t="s">
        <v>8916</v>
      </c>
      <c r="D4033" s="230" t="s">
        <v>8916</v>
      </c>
      <c r="E4033" s="230" t="str">
        <f t="shared" si="0"/>
        <v>The person responsible for receiving State EL &amp; Title III Language Instruction for English Learners communication</v>
      </c>
    </row>
    <row r="4034" spans="1:5" ht="14.55" customHeight="1" x14ac:dyDescent="0.25">
      <c r="A4034" s="230" t="s">
        <v>1096</v>
      </c>
      <c r="B4034" s="231" t="s">
        <v>8917</v>
      </c>
      <c r="C4034" s="230" t="s">
        <v>8918</v>
      </c>
      <c r="D4034" s="230" t="s">
        <v>8919</v>
      </c>
      <c r="E4034" s="230" t="str">
        <f t="shared" si="0"/>
        <v>The person responsible for receiving Title IV-A Student Support and Academic Enrichment communication</v>
      </c>
    </row>
    <row r="4035" spans="1:5" ht="14.55" customHeight="1" x14ac:dyDescent="0.25">
      <c r="A4035" s="230" t="s">
        <v>1096</v>
      </c>
      <c r="B4035" s="231" t="s">
        <v>8920</v>
      </c>
      <c r="C4035" s="230" t="s">
        <v>8921</v>
      </c>
      <c r="D4035" s="230" t="s">
        <v>8922</v>
      </c>
      <c r="E4035" s="230" t="str">
        <f t="shared" si="0"/>
        <v>The person responsible for receiving Title V-B Rural Education Program communication</v>
      </c>
    </row>
    <row r="4036" spans="1:5" ht="14.55" customHeight="1" x14ac:dyDescent="0.25">
      <c r="A4036" s="230" t="s">
        <v>1096</v>
      </c>
      <c r="B4036" s="231">
        <v>504</v>
      </c>
      <c r="C4036" s="230" t="s">
        <v>8923</v>
      </c>
      <c r="D4036" s="230" t="s">
        <v>8924</v>
      </c>
      <c r="E4036" s="230" t="str">
        <f t="shared" si="0"/>
        <v>The person responsible for receiving Title IX - 504 communication</v>
      </c>
    </row>
    <row r="4037" spans="1:5" ht="14.55" customHeight="1" x14ac:dyDescent="0.25">
      <c r="A4037" s="230" t="s">
        <v>1096</v>
      </c>
      <c r="B4037" s="231" t="s">
        <v>8925</v>
      </c>
      <c r="C4037" s="230" t="s">
        <v>8926</v>
      </c>
      <c r="D4037" s="230" t="s">
        <v>8927</v>
      </c>
      <c r="E4037" s="230" t="str">
        <f t="shared" si="0"/>
        <v>The person responsible for receiving Title IX communication</v>
      </c>
    </row>
    <row r="4038" spans="1:5" ht="14.55" customHeight="1" x14ac:dyDescent="0.25">
      <c r="A4038" s="230" t="s">
        <v>1096</v>
      </c>
      <c r="B4038" s="231" t="s">
        <v>8928</v>
      </c>
      <c r="C4038" s="230" t="s">
        <v>13451</v>
      </c>
      <c r="D4038" s="230" t="s">
        <v>13452</v>
      </c>
      <c r="E4038" s="230" t="str">
        <f t="shared" si="0"/>
        <v>The person responsible for receiving Title IX-A  McKinney-Vento Homeless Education communication</v>
      </c>
    </row>
    <row r="4039" spans="1:5" ht="14.55" customHeight="1" x14ac:dyDescent="0.25">
      <c r="A4039" s="230" t="s">
        <v>1096</v>
      </c>
      <c r="B4039" s="231" t="s">
        <v>8929</v>
      </c>
      <c r="C4039" s="230" t="s">
        <v>13453</v>
      </c>
      <c r="D4039" s="230" t="s">
        <v>13454</v>
      </c>
      <c r="E4039" s="230" t="str">
        <f t="shared" si="0"/>
        <v>The person responsible for receiving Title IX-A  McKinney-Vento communication</v>
      </c>
    </row>
    <row r="4040" spans="1:5" ht="14.55" customHeight="1" x14ac:dyDescent="0.25">
      <c r="A4040" s="230" t="s">
        <v>1096</v>
      </c>
      <c r="B4040" s="231" t="s">
        <v>8930</v>
      </c>
      <c r="C4040" s="230" t="s">
        <v>8931</v>
      </c>
      <c r="D4040" s="230" t="s">
        <v>307</v>
      </c>
      <c r="E4040" s="230" t="str">
        <f t="shared" si="0"/>
        <v>The person responsible for receiving Transportation communication</v>
      </c>
    </row>
    <row r="4041" spans="1:5" ht="14.55" customHeight="1" x14ac:dyDescent="0.25">
      <c r="A4041" s="230" t="s">
        <v>545</v>
      </c>
      <c r="B4041" s="231" t="s">
        <v>7247</v>
      </c>
      <c r="C4041" s="230" t="s">
        <v>7325</v>
      </c>
      <c r="D4041" s="230" t="s">
        <v>8932</v>
      </c>
      <c r="E4041" s="230" t="s">
        <v>8933</v>
      </c>
    </row>
    <row r="4042" spans="1:5" ht="14.55" customHeight="1" x14ac:dyDescent="0.25">
      <c r="A4042" s="230" t="s">
        <v>545</v>
      </c>
      <c r="B4042" s="231" t="s">
        <v>7251</v>
      </c>
      <c r="C4042" s="230" t="s">
        <v>7329</v>
      </c>
      <c r="D4042" s="230" t="s">
        <v>8934</v>
      </c>
      <c r="E4042" s="230" t="s">
        <v>8935</v>
      </c>
    </row>
    <row r="4043" spans="1:5" ht="14.55" customHeight="1" x14ac:dyDescent="0.25">
      <c r="A4043" s="230" t="s">
        <v>545</v>
      </c>
      <c r="B4043" s="231" t="s">
        <v>7254</v>
      </c>
      <c r="C4043" s="230" t="s">
        <v>7310</v>
      </c>
      <c r="D4043" s="230" t="s">
        <v>8936</v>
      </c>
      <c r="E4043" s="230" t="s">
        <v>8937</v>
      </c>
    </row>
    <row r="4044" spans="1:5" ht="14.55" customHeight="1" x14ac:dyDescent="0.25">
      <c r="A4044" s="230" t="s">
        <v>545</v>
      </c>
      <c r="B4044" s="231" t="s">
        <v>7257</v>
      </c>
      <c r="C4044" s="230" t="s">
        <v>7641</v>
      </c>
      <c r="D4044" s="230" t="s">
        <v>8938</v>
      </c>
      <c r="E4044" s="230" t="s">
        <v>8939</v>
      </c>
    </row>
    <row r="4045" spans="1:5" ht="14.55" customHeight="1" x14ac:dyDescent="0.25">
      <c r="A4045" s="230" t="s">
        <v>545</v>
      </c>
      <c r="B4045" s="231" t="s">
        <v>7260</v>
      </c>
      <c r="C4045" s="230" t="s">
        <v>7643</v>
      </c>
      <c r="D4045" s="230" t="s">
        <v>8940</v>
      </c>
      <c r="E4045" s="230" t="s">
        <v>8941</v>
      </c>
    </row>
    <row r="4046" spans="1:5" ht="14.55" customHeight="1" x14ac:dyDescent="0.25">
      <c r="A4046" s="230" t="s">
        <v>545</v>
      </c>
      <c r="B4046" s="231" t="s">
        <v>7263</v>
      </c>
      <c r="C4046" s="230" t="s">
        <v>8942</v>
      </c>
      <c r="D4046" s="230" t="s">
        <v>8943</v>
      </c>
      <c r="E4046" s="230" t="s">
        <v>8944</v>
      </c>
    </row>
    <row r="4047" spans="1:5" ht="14.55" customHeight="1" x14ac:dyDescent="0.25">
      <c r="A4047" s="230" t="s">
        <v>545</v>
      </c>
      <c r="B4047" s="231" t="s">
        <v>7266</v>
      </c>
      <c r="C4047" s="230" t="s">
        <v>7359</v>
      </c>
      <c r="D4047" s="230" t="s">
        <v>8945</v>
      </c>
      <c r="E4047" s="230" t="s">
        <v>8946</v>
      </c>
    </row>
    <row r="4048" spans="1:5" ht="14.55" customHeight="1" x14ac:dyDescent="0.25">
      <c r="A4048" s="230" t="s">
        <v>545</v>
      </c>
      <c r="B4048" s="231" t="s">
        <v>7615</v>
      </c>
      <c r="C4048" s="230" t="s">
        <v>8947</v>
      </c>
      <c r="D4048" s="230" t="s">
        <v>8948</v>
      </c>
      <c r="E4048" s="230" t="s">
        <v>8949</v>
      </c>
    </row>
    <row r="4049" spans="1:5" ht="14.55" customHeight="1" x14ac:dyDescent="0.25">
      <c r="A4049" s="230" t="s">
        <v>545</v>
      </c>
      <c r="B4049" s="231" t="s">
        <v>130</v>
      </c>
      <c r="C4049" s="230" t="s">
        <v>8950</v>
      </c>
      <c r="D4049" s="230" t="s">
        <v>8951</v>
      </c>
      <c r="E4049" s="230" t="s">
        <v>8952</v>
      </c>
    </row>
    <row r="4050" spans="1:5" ht="14.55" customHeight="1" x14ac:dyDescent="0.25">
      <c r="A4050" s="230" t="s">
        <v>545</v>
      </c>
      <c r="B4050" s="231" t="s">
        <v>140</v>
      </c>
      <c r="C4050" s="230" t="s">
        <v>7648</v>
      </c>
      <c r="D4050" s="230" t="s">
        <v>8953</v>
      </c>
      <c r="E4050" s="230" t="s">
        <v>8954</v>
      </c>
    </row>
    <row r="4051" spans="1:5" ht="14.55" customHeight="1" x14ac:dyDescent="0.25">
      <c r="A4051" s="253" t="s">
        <v>539</v>
      </c>
      <c r="B4051" s="231" t="s">
        <v>1401</v>
      </c>
      <c r="C4051" s="230" t="s">
        <v>7199</v>
      </c>
      <c r="D4051" s="253" t="s">
        <v>13370</v>
      </c>
      <c r="E4051" s="253" t="s">
        <v>13372</v>
      </c>
    </row>
    <row r="4052" spans="1:5" ht="14.55" customHeight="1" x14ac:dyDescent="0.25">
      <c r="A4052" s="253" t="s">
        <v>539</v>
      </c>
      <c r="B4052" s="231" t="s">
        <v>1393</v>
      </c>
      <c r="C4052" s="230" t="s">
        <v>7201</v>
      </c>
      <c r="D4052" s="253" t="s">
        <v>13371</v>
      </c>
      <c r="E4052" s="253" t="s">
        <v>13373</v>
      </c>
    </row>
    <row r="4053" spans="1:5" ht="14.55" customHeight="1" x14ac:dyDescent="0.25">
      <c r="A4053" s="260" t="s">
        <v>539</v>
      </c>
      <c r="B4053" s="231" t="s">
        <v>7203</v>
      </c>
      <c r="C4053" s="230" t="s">
        <v>8955</v>
      </c>
      <c r="D4053" s="230" t="s">
        <v>8956</v>
      </c>
      <c r="E4053" s="230" t="s">
        <v>13374</v>
      </c>
    </row>
    <row r="4054" spans="1:5" ht="14.55" customHeight="1" x14ac:dyDescent="0.25">
      <c r="A4054" s="240" t="s">
        <v>1206</v>
      </c>
      <c r="B4054" s="251"/>
      <c r="C4054" s="240" t="s">
        <v>8957</v>
      </c>
      <c r="D4054" s="240" t="s">
        <v>8957</v>
      </c>
      <c r="E4054" s="240"/>
    </row>
    <row r="4055" spans="1:5" ht="14.55" customHeight="1" x14ac:dyDescent="0.25">
      <c r="A4055" s="230" t="s">
        <v>1150</v>
      </c>
      <c r="B4055" s="231" t="s">
        <v>13441</v>
      </c>
      <c r="C4055" s="230" t="s">
        <v>8958</v>
      </c>
      <c r="D4055" s="230"/>
    </row>
    <row r="4056" spans="1:5" ht="14.55" customHeight="1" x14ac:dyDescent="0.25">
      <c r="A4056" s="230" t="s">
        <v>1150</v>
      </c>
      <c r="B4056" s="231" t="s">
        <v>7145</v>
      </c>
      <c r="C4056" s="230" t="s">
        <v>8959</v>
      </c>
      <c r="D4056" s="230"/>
    </row>
    <row r="4057" spans="1:5" ht="14.55" customHeight="1" x14ac:dyDescent="0.25">
      <c r="A4057" s="230" t="s">
        <v>1150</v>
      </c>
      <c r="B4057" s="231" t="s">
        <v>13442</v>
      </c>
      <c r="C4057" s="230" t="s">
        <v>8960</v>
      </c>
      <c r="D4057" s="230"/>
    </row>
    <row r="4058" spans="1:5" ht="14.55" customHeight="1" x14ac:dyDescent="0.25">
      <c r="A4058" s="230" t="s">
        <v>527</v>
      </c>
      <c r="B4058" s="231" t="s">
        <v>1196</v>
      </c>
      <c r="C4058" s="230" t="s">
        <v>8961</v>
      </c>
      <c r="D4058" s="230" t="s">
        <v>13375</v>
      </c>
      <c r="E4058" s="230" t="s">
        <v>8962</v>
      </c>
    </row>
    <row r="4059" spans="1:5" ht="14.55" customHeight="1" x14ac:dyDescent="0.25">
      <c r="A4059" s="230" t="s">
        <v>527</v>
      </c>
      <c r="B4059" s="231" t="s">
        <v>8963</v>
      </c>
      <c r="C4059" s="230" t="s">
        <v>8964</v>
      </c>
      <c r="D4059" s="230" t="s">
        <v>8965</v>
      </c>
    </row>
    <row r="4060" spans="1:5" ht="14.55" customHeight="1" x14ac:dyDescent="0.25">
      <c r="A4060" s="230" t="s">
        <v>527</v>
      </c>
      <c r="B4060" s="231" t="s">
        <v>6998</v>
      </c>
      <c r="C4060" s="230" t="s">
        <v>8966</v>
      </c>
      <c r="D4060" s="230" t="s">
        <v>8967</v>
      </c>
      <c r="E4060" s="230" t="s">
        <v>8968</v>
      </c>
    </row>
    <row r="4061" spans="1:5" ht="14.55" customHeight="1" x14ac:dyDescent="0.25">
      <c r="A4061" s="230" t="s">
        <v>527</v>
      </c>
      <c r="B4061" s="231" t="s">
        <v>7000</v>
      </c>
      <c r="C4061" s="230" t="s">
        <v>530</v>
      </c>
      <c r="D4061" s="230" t="s">
        <v>8969</v>
      </c>
      <c r="E4061" s="230" t="s">
        <v>8970</v>
      </c>
    </row>
    <row r="4062" spans="1:5" ht="14.55" customHeight="1" x14ac:dyDescent="0.25">
      <c r="A4062" s="230" t="s">
        <v>527</v>
      </c>
      <c r="B4062" s="231" t="s">
        <v>7014</v>
      </c>
      <c r="C4062" s="230" t="s">
        <v>8971</v>
      </c>
      <c r="D4062" s="230" t="s">
        <v>8972</v>
      </c>
    </row>
    <row r="4063" spans="1:5" ht="14.55" customHeight="1" x14ac:dyDescent="0.25">
      <c r="A4063" s="230" t="s">
        <v>527</v>
      </c>
      <c r="B4063" s="231" t="s">
        <v>7023</v>
      </c>
      <c r="C4063" s="230" t="s">
        <v>8973</v>
      </c>
      <c r="D4063" s="230" t="s">
        <v>8974</v>
      </c>
      <c r="E4063" s="230" t="s">
        <v>8968</v>
      </c>
    </row>
    <row r="4064" spans="1:5" ht="14.55" customHeight="1" x14ac:dyDescent="0.25">
      <c r="A4064" s="230" t="s">
        <v>527</v>
      </c>
      <c r="B4064" s="231" t="s">
        <v>6984</v>
      </c>
      <c r="C4064" s="230" t="s">
        <v>8975</v>
      </c>
      <c r="D4064" s="230" t="s">
        <v>8976</v>
      </c>
      <c r="E4064" s="230" t="s">
        <v>8962</v>
      </c>
    </row>
    <row r="4065" spans="1:5" ht="14.55" customHeight="1" x14ac:dyDescent="0.25">
      <c r="A4065" s="230" t="s">
        <v>527</v>
      </c>
      <c r="B4065" s="231" t="s">
        <v>8977</v>
      </c>
      <c r="C4065" s="230" t="s">
        <v>8978</v>
      </c>
      <c r="D4065" s="230" t="s">
        <v>8979</v>
      </c>
      <c r="E4065" s="230" t="s">
        <v>8980</v>
      </c>
    </row>
    <row r="4066" spans="1:5" ht="14.55" customHeight="1" x14ac:dyDescent="0.25">
      <c r="A4066" s="230" t="s">
        <v>1207</v>
      </c>
      <c r="B4066" s="231" t="s">
        <v>107</v>
      </c>
      <c r="C4066" s="230" t="s">
        <v>7177</v>
      </c>
      <c r="D4066" s="230" t="s">
        <v>8981</v>
      </c>
      <c r="E4066" s="230" t="s">
        <v>8982</v>
      </c>
    </row>
    <row r="4067" spans="1:5" ht="14.55" customHeight="1" x14ac:dyDescent="0.25">
      <c r="A4067" s="253" t="s">
        <v>1207</v>
      </c>
      <c r="B4067" s="231" t="s">
        <v>8983</v>
      </c>
      <c r="C4067" s="260" t="s">
        <v>8984</v>
      </c>
      <c r="D4067" s="253" t="s">
        <v>13376</v>
      </c>
      <c r="E4067" s="230" t="s">
        <v>13450</v>
      </c>
    </row>
    <row r="4068" spans="1:5" ht="14.55" customHeight="1" x14ac:dyDescent="0.25">
      <c r="A4068" s="230" t="s">
        <v>1207</v>
      </c>
      <c r="B4068" s="231" t="s">
        <v>7368</v>
      </c>
      <c r="C4068" s="230" t="s">
        <v>8985</v>
      </c>
      <c r="D4068" s="230" t="s">
        <v>8986</v>
      </c>
      <c r="E4068" s="230" t="s">
        <v>13449</v>
      </c>
    </row>
    <row r="4069" spans="1:5" ht="14.55" customHeight="1" x14ac:dyDescent="0.25">
      <c r="A4069" s="230" t="s">
        <v>488</v>
      </c>
      <c r="B4069" s="231" t="s">
        <v>7247</v>
      </c>
      <c r="C4069" s="230" t="s">
        <v>8987</v>
      </c>
      <c r="D4069" s="230" t="s">
        <v>8988</v>
      </c>
      <c r="E4069" s="253" t="s">
        <v>13395</v>
      </c>
    </row>
    <row r="4070" spans="1:5" ht="14.55" customHeight="1" x14ac:dyDescent="0.25">
      <c r="A4070" s="230" t="s">
        <v>488</v>
      </c>
      <c r="B4070" s="231" t="s">
        <v>7251</v>
      </c>
      <c r="C4070" s="230" t="s">
        <v>8989</v>
      </c>
      <c r="D4070" s="230" t="s">
        <v>8990</v>
      </c>
      <c r="E4070" s="253" t="s">
        <v>13395</v>
      </c>
    </row>
    <row r="4071" spans="1:5" ht="14.55" customHeight="1" x14ac:dyDescent="0.25">
      <c r="A4071" s="230" t="s">
        <v>488</v>
      </c>
      <c r="B4071" s="231" t="s">
        <v>7607</v>
      </c>
      <c r="C4071" s="230" t="s">
        <v>8991</v>
      </c>
      <c r="D4071" s="230" t="s">
        <v>8992</v>
      </c>
      <c r="E4071" s="253" t="s">
        <v>13395</v>
      </c>
    </row>
    <row r="4072" spans="1:5" ht="14.55" customHeight="1" x14ac:dyDescent="0.25">
      <c r="A4072" s="230" t="s">
        <v>488</v>
      </c>
      <c r="B4072" s="231" t="s">
        <v>136</v>
      </c>
      <c r="C4072" s="230" t="s">
        <v>8993</v>
      </c>
      <c r="D4072" s="230" t="s">
        <v>8994</v>
      </c>
      <c r="E4072" s="253" t="s">
        <v>13395</v>
      </c>
    </row>
    <row r="4073" spans="1:5" ht="14.55" customHeight="1" x14ac:dyDescent="0.25">
      <c r="A4073" s="230" t="s">
        <v>488</v>
      </c>
      <c r="B4073" s="231" t="s">
        <v>140</v>
      </c>
      <c r="C4073" s="230" t="s">
        <v>8995</v>
      </c>
      <c r="D4073" s="230" t="s">
        <v>8996</v>
      </c>
      <c r="E4073" s="253" t="s">
        <v>13395</v>
      </c>
    </row>
    <row r="4074" spans="1:5" ht="14.55" customHeight="1" x14ac:dyDescent="0.25">
      <c r="A4074" s="230" t="s">
        <v>488</v>
      </c>
      <c r="B4074" s="231" t="s">
        <v>146</v>
      </c>
      <c r="C4074" s="230" t="s">
        <v>8997</v>
      </c>
      <c r="D4074" s="230" t="s">
        <v>8998</v>
      </c>
      <c r="E4074" s="253" t="s">
        <v>13395</v>
      </c>
    </row>
    <row r="4075" spans="1:5" ht="14.55" customHeight="1" x14ac:dyDescent="0.25">
      <c r="A4075" s="230" t="s">
        <v>488</v>
      </c>
      <c r="B4075" s="231" t="s">
        <v>150</v>
      </c>
      <c r="C4075" s="230" t="s">
        <v>8999</v>
      </c>
      <c r="D4075" s="230" t="s">
        <v>9000</v>
      </c>
      <c r="E4075" s="253" t="s">
        <v>13395</v>
      </c>
    </row>
    <row r="4076" spans="1:5" ht="14.55" customHeight="1" x14ac:dyDescent="0.25">
      <c r="A4076" s="230" t="s">
        <v>488</v>
      </c>
      <c r="B4076" s="231" t="s">
        <v>154</v>
      </c>
      <c r="C4076" s="230" t="s">
        <v>9001</v>
      </c>
      <c r="D4076" s="230" t="s">
        <v>9002</v>
      </c>
      <c r="E4076" s="253" t="s">
        <v>13395</v>
      </c>
    </row>
    <row r="4077" spans="1:5" ht="14.55" customHeight="1" x14ac:dyDescent="0.25">
      <c r="A4077" s="230" t="s">
        <v>488</v>
      </c>
      <c r="B4077" s="231" t="s">
        <v>214</v>
      </c>
      <c r="C4077" s="230" t="s">
        <v>9003</v>
      </c>
      <c r="D4077" s="230" t="s">
        <v>9004</v>
      </c>
      <c r="E4077" s="253" t="s">
        <v>13395</v>
      </c>
    </row>
    <row r="4078" spans="1:5" ht="14.55" customHeight="1" x14ac:dyDescent="0.25">
      <c r="A4078" s="253" t="s">
        <v>488</v>
      </c>
      <c r="B4078" s="231" t="s">
        <v>246</v>
      </c>
      <c r="C4078" s="230" t="s">
        <v>9005</v>
      </c>
      <c r="D4078" s="253" t="s">
        <v>13359</v>
      </c>
      <c r="E4078" s="253" t="s">
        <v>13395</v>
      </c>
    </row>
    <row r="4079" spans="1:5" ht="14.55" customHeight="1" x14ac:dyDescent="0.25">
      <c r="A4079" s="230" t="s">
        <v>488</v>
      </c>
      <c r="B4079" s="231" t="s">
        <v>352</v>
      </c>
      <c r="C4079" s="230" t="s">
        <v>9006</v>
      </c>
      <c r="D4079" s="230" t="s">
        <v>9007</v>
      </c>
      <c r="E4079" s="253" t="s">
        <v>13395</v>
      </c>
    </row>
    <row r="4080" spans="1:5" ht="14.55" customHeight="1" x14ac:dyDescent="0.25">
      <c r="A4080" s="230" t="s">
        <v>488</v>
      </c>
      <c r="B4080" s="231" t="s">
        <v>357</v>
      </c>
      <c r="C4080" s="230" t="s">
        <v>9008</v>
      </c>
      <c r="D4080" s="230" t="s">
        <v>9009</v>
      </c>
      <c r="E4080" s="253" t="s">
        <v>13395</v>
      </c>
    </row>
    <row r="4081" spans="1:5" ht="14.55" customHeight="1" x14ac:dyDescent="0.25">
      <c r="A4081" s="230" t="s">
        <v>488</v>
      </c>
      <c r="B4081" s="231" t="s">
        <v>362</v>
      </c>
      <c r="C4081" s="230" t="s">
        <v>9010</v>
      </c>
      <c r="D4081" s="230" t="s">
        <v>9011</v>
      </c>
      <c r="E4081" s="253" t="s">
        <v>13395</v>
      </c>
    </row>
    <row r="4082" spans="1:5" ht="14.55" customHeight="1" x14ac:dyDescent="0.25">
      <c r="A4082" s="230" t="s">
        <v>488</v>
      </c>
      <c r="B4082" s="231" t="s">
        <v>366</v>
      </c>
      <c r="C4082" s="230" t="s">
        <v>9012</v>
      </c>
      <c r="D4082" s="230" t="s">
        <v>9013</v>
      </c>
      <c r="E4082" s="230" t="s">
        <v>9014</v>
      </c>
    </row>
    <row r="4083" spans="1:5" ht="14.55" customHeight="1" x14ac:dyDescent="0.25">
      <c r="A4083" s="260" t="s">
        <v>488</v>
      </c>
      <c r="B4083" s="231" t="s">
        <v>370</v>
      </c>
      <c r="C4083" s="230" t="s">
        <v>8795</v>
      </c>
      <c r="D4083" s="260" t="s">
        <v>13361</v>
      </c>
      <c r="E4083" s="230" t="s">
        <v>9015</v>
      </c>
    </row>
    <row r="4084" spans="1:5" ht="14.55" customHeight="1" x14ac:dyDescent="0.25">
      <c r="A4084" s="230" t="s">
        <v>488</v>
      </c>
      <c r="B4084" s="231" t="s">
        <v>374</v>
      </c>
      <c r="C4084" s="230" t="s">
        <v>9016</v>
      </c>
      <c r="D4084" s="230" t="s">
        <v>9017</v>
      </c>
      <c r="E4084" s="253" t="s">
        <v>13396</v>
      </c>
    </row>
    <row r="4085" spans="1:5" ht="14.55" customHeight="1" x14ac:dyDescent="0.25">
      <c r="A4085" s="230" t="s">
        <v>488</v>
      </c>
      <c r="B4085" s="231" t="s">
        <v>379</v>
      </c>
      <c r="C4085" s="230" t="s">
        <v>9018</v>
      </c>
      <c r="D4085" s="230" t="s">
        <v>9019</v>
      </c>
      <c r="E4085" s="253" t="s">
        <v>13396</v>
      </c>
    </row>
    <row r="4086" spans="1:5" ht="14.55" customHeight="1" x14ac:dyDescent="0.25">
      <c r="A4086" s="230" t="s">
        <v>488</v>
      </c>
      <c r="B4086" s="231" t="s">
        <v>383</v>
      </c>
      <c r="C4086" s="230" t="s">
        <v>9020</v>
      </c>
      <c r="D4086" s="230" t="s">
        <v>9021</v>
      </c>
      <c r="E4086" s="253" t="s">
        <v>13396</v>
      </c>
    </row>
    <row r="4087" spans="1:5" ht="14.55" customHeight="1" x14ac:dyDescent="0.25">
      <c r="A4087" s="230" t="s">
        <v>488</v>
      </c>
      <c r="B4087" s="231" t="s">
        <v>722</v>
      </c>
      <c r="C4087" s="230" t="s">
        <v>13360</v>
      </c>
      <c r="D4087" s="230" t="s">
        <v>9022</v>
      </c>
      <c r="E4087" s="253" t="s">
        <v>13396</v>
      </c>
    </row>
    <row r="4088" spans="1:5" ht="14.55" customHeight="1" x14ac:dyDescent="0.25">
      <c r="A4088" s="240" t="s">
        <v>1010</v>
      </c>
      <c r="B4088" s="251"/>
      <c r="C4088" s="240" t="s">
        <v>7120</v>
      </c>
      <c r="D4088" s="240" t="s">
        <v>7121</v>
      </c>
      <c r="E4088" s="240"/>
    </row>
    <row r="4089" spans="1:5" ht="14.55" customHeight="1" x14ac:dyDescent="0.25">
      <c r="A4089" s="230" t="s">
        <v>1001</v>
      </c>
      <c r="B4089" s="231" t="s">
        <v>7247</v>
      </c>
      <c r="C4089" s="230" t="s">
        <v>9023</v>
      </c>
    </row>
    <row r="4090" spans="1:5" ht="14.55" customHeight="1" x14ac:dyDescent="0.25">
      <c r="A4090" s="230" t="s">
        <v>1001</v>
      </c>
      <c r="B4090" s="231" t="s">
        <v>7251</v>
      </c>
      <c r="C4090" s="230" t="s">
        <v>9024</v>
      </c>
    </row>
    <row r="4091" spans="1:5" ht="14.55" customHeight="1" x14ac:dyDescent="0.25">
      <c r="A4091" s="230" t="s">
        <v>1001</v>
      </c>
      <c r="B4091" s="231" t="s">
        <v>7607</v>
      </c>
      <c r="C4091" s="230" t="s">
        <v>9025</v>
      </c>
      <c r="D4091" s="230"/>
    </row>
    <row r="4092" spans="1:5" ht="14.55" customHeight="1" x14ac:dyDescent="0.25">
      <c r="A4092" s="230" t="s">
        <v>1001</v>
      </c>
      <c r="B4092" s="231" t="s">
        <v>7254</v>
      </c>
      <c r="C4092" s="230" t="s">
        <v>9026</v>
      </c>
      <c r="D4092" s="230"/>
    </row>
    <row r="4093" spans="1:5" ht="14.55" customHeight="1" x14ac:dyDescent="0.25">
      <c r="A4093" s="230" t="s">
        <v>1001</v>
      </c>
      <c r="B4093" s="231" t="s">
        <v>7257</v>
      </c>
      <c r="C4093" s="230" t="s">
        <v>9027</v>
      </c>
    </row>
    <row r="4094" spans="1:5" ht="14.55" customHeight="1" x14ac:dyDescent="0.25">
      <c r="A4094" s="230" t="s">
        <v>1001</v>
      </c>
      <c r="B4094" s="231" t="s">
        <v>7260</v>
      </c>
      <c r="C4094" s="230" t="s">
        <v>9028</v>
      </c>
      <c r="D4094" s="230"/>
    </row>
    <row r="4095" spans="1:5" ht="14.55" customHeight="1" x14ac:dyDescent="0.25">
      <c r="A4095" s="230" t="s">
        <v>1001</v>
      </c>
      <c r="B4095" s="231" t="s">
        <v>7263</v>
      </c>
      <c r="C4095" s="230" t="s">
        <v>9029</v>
      </c>
      <c r="D4095" s="230"/>
    </row>
    <row r="4096" spans="1:5" ht="14.55" customHeight="1" x14ac:dyDescent="0.25">
      <c r="A4096" s="230" t="s">
        <v>1001</v>
      </c>
      <c r="B4096" s="231" t="s">
        <v>7266</v>
      </c>
      <c r="C4096" s="230" t="s">
        <v>9030</v>
      </c>
      <c r="D4096" s="230"/>
    </row>
    <row r="4097" spans="1:5" ht="14.55" customHeight="1" x14ac:dyDescent="0.25">
      <c r="A4097" s="230" t="s">
        <v>1001</v>
      </c>
      <c r="B4097" s="231" t="s">
        <v>7615</v>
      </c>
      <c r="C4097" s="230" t="s">
        <v>9031</v>
      </c>
      <c r="D4097" s="230"/>
    </row>
    <row r="4098" spans="1:5" ht="14.55" customHeight="1" x14ac:dyDescent="0.25">
      <c r="A4098" s="230" t="s">
        <v>1001</v>
      </c>
      <c r="B4098" s="231" t="s">
        <v>130</v>
      </c>
      <c r="C4098" s="230" t="s">
        <v>9032</v>
      </c>
      <c r="D4098" s="230"/>
    </row>
    <row r="4099" spans="1:5" ht="14.55" customHeight="1" x14ac:dyDescent="0.25">
      <c r="A4099" s="230" t="s">
        <v>1001</v>
      </c>
      <c r="B4099" s="231" t="s">
        <v>136</v>
      </c>
      <c r="C4099" s="230" t="s">
        <v>9033</v>
      </c>
      <c r="D4099" s="230"/>
    </row>
    <row r="4100" spans="1:5" ht="14.55" customHeight="1" x14ac:dyDescent="0.25">
      <c r="A4100" s="230" t="s">
        <v>1001</v>
      </c>
      <c r="B4100" s="231" t="s">
        <v>140</v>
      </c>
      <c r="C4100" s="230" t="s">
        <v>9034</v>
      </c>
      <c r="D4100" s="230"/>
    </row>
    <row r="4101" spans="1:5" ht="14.55" customHeight="1" x14ac:dyDescent="0.25">
      <c r="A4101" s="230" t="s">
        <v>1001</v>
      </c>
      <c r="B4101" s="231" t="s">
        <v>146</v>
      </c>
      <c r="C4101" s="230" t="s">
        <v>9035</v>
      </c>
      <c r="D4101" s="230"/>
    </row>
    <row r="4102" spans="1:5" ht="14.55" customHeight="1" x14ac:dyDescent="0.25">
      <c r="A4102" s="230" t="s">
        <v>1001</v>
      </c>
      <c r="B4102" s="231" t="s">
        <v>150</v>
      </c>
      <c r="C4102" s="230" t="s">
        <v>9036</v>
      </c>
      <c r="D4102" s="230"/>
    </row>
    <row r="4103" spans="1:5" ht="14.55" customHeight="1" x14ac:dyDescent="0.25">
      <c r="A4103" s="230" t="s">
        <v>1001</v>
      </c>
      <c r="B4103" s="231" t="s">
        <v>154</v>
      </c>
      <c r="C4103" s="230" t="s">
        <v>9037</v>
      </c>
      <c r="D4103" s="230"/>
    </row>
    <row r="4104" spans="1:5" ht="14.55" customHeight="1" x14ac:dyDescent="0.25">
      <c r="A4104" s="230" t="s">
        <v>1001</v>
      </c>
      <c r="B4104" s="231" t="s">
        <v>214</v>
      </c>
      <c r="C4104" s="230" t="s">
        <v>9038</v>
      </c>
      <c r="D4104" s="230"/>
    </row>
    <row r="4105" spans="1:5" ht="14.55" customHeight="1" x14ac:dyDescent="0.25">
      <c r="A4105" s="230" t="s">
        <v>1001</v>
      </c>
      <c r="B4105" s="231" t="s">
        <v>220</v>
      </c>
      <c r="C4105" s="230" t="s">
        <v>9039</v>
      </c>
      <c r="D4105" s="230" t="s">
        <v>9040</v>
      </c>
    </row>
    <row r="4106" spans="1:5" ht="14.55" customHeight="1" x14ac:dyDescent="0.25">
      <c r="A4106" s="230" t="s">
        <v>1001</v>
      </c>
      <c r="B4106" s="231" t="s">
        <v>226</v>
      </c>
      <c r="C4106" s="230" t="s">
        <v>9041</v>
      </c>
      <c r="D4106" s="230" t="s">
        <v>9042</v>
      </c>
    </row>
    <row r="4107" spans="1:5" ht="14.55" customHeight="1" x14ac:dyDescent="0.25">
      <c r="A4107" s="253" t="s">
        <v>530</v>
      </c>
      <c r="B4107" s="231" t="s">
        <v>6625</v>
      </c>
      <c r="C4107" s="230" t="s">
        <v>9043</v>
      </c>
      <c r="D4107" s="253" t="s">
        <v>13389</v>
      </c>
      <c r="E4107" s="253" t="s">
        <v>13390</v>
      </c>
    </row>
    <row r="4108" spans="1:5" ht="14.55" customHeight="1" x14ac:dyDescent="0.25">
      <c r="A4108" s="253" t="s">
        <v>530</v>
      </c>
      <c r="B4108" s="231" t="s">
        <v>9044</v>
      </c>
      <c r="C4108" s="230" t="s">
        <v>9045</v>
      </c>
      <c r="D4108" s="230" t="s">
        <v>9046</v>
      </c>
      <c r="E4108" s="253" t="s">
        <v>13391</v>
      </c>
    </row>
    <row r="4109" spans="1:5" ht="14.55" customHeight="1" x14ac:dyDescent="0.25">
      <c r="A4109" s="253" t="s">
        <v>530</v>
      </c>
      <c r="B4109" s="231" t="s">
        <v>9047</v>
      </c>
      <c r="C4109" s="230" t="s">
        <v>9048</v>
      </c>
      <c r="D4109" s="230" t="s">
        <v>9049</v>
      </c>
      <c r="E4109" s="253" t="s">
        <v>13392</v>
      </c>
    </row>
    <row r="4110" spans="1:5" ht="14.55" customHeight="1" x14ac:dyDescent="0.25">
      <c r="A4110" s="253" t="s">
        <v>530</v>
      </c>
      <c r="B4110" s="231" t="s">
        <v>6994</v>
      </c>
      <c r="C4110" s="230" t="s">
        <v>9050</v>
      </c>
      <c r="D4110" s="230" t="s">
        <v>9051</v>
      </c>
      <c r="E4110" s="253" t="s">
        <v>13393</v>
      </c>
    </row>
    <row r="4111" spans="1:5" ht="14.55" customHeight="1" x14ac:dyDescent="0.25">
      <c r="A4111" s="253" t="s">
        <v>530</v>
      </c>
      <c r="B4111" s="231" t="s">
        <v>7014</v>
      </c>
      <c r="C4111" s="230" t="s">
        <v>7648</v>
      </c>
      <c r="D4111" s="230" t="s">
        <v>9052</v>
      </c>
      <c r="E4111" s="253" t="s">
        <v>13394</v>
      </c>
    </row>
    <row r="4112" spans="1:5" ht="14.55" customHeight="1" x14ac:dyDescent="0.25">
      <c r="A4112" s="230" t="s">
        <v>619</v>
      </c>
      <c r="B4112" s="231" t="s">
        <v>9053</v>
      </c>
      <c r="C4112" s="230" t="s">
        <v>9054</v>
      </c>
      <c r="D4112" s="230"/>
    </row>
    <row r="4113" spans="1:4" ht="14.55" customHeight="1" x14ac:dyDescent="0.25">
      <c r="A4113" s="230" t="s">
        <v>619</v>
      </c>
      <c r="B4113" s="231" t="s">
        <v>9055</v>
      </c>
      <c r="C4113" s="230" t="s">
        <v>9056</v>
      </c>
      <c r="D4113" s="230"/>
    </row>
    <row r="4114" spans="1:4" ht="14.55" customHeight="1" x14ac:dyDescent="0.25">
      <c r="A4114" s="230" t="s">
        <v>619</v>
      </c>
      <c r="B4114" s="231" t="s">
        <v>6621</v>
      </c>
      <c r="C4114" s="230" t="s">
        <v>9057</v>
      </c>
      <c r="D4114" s="230"/>
    </row>
    <row r="4115" spans="1:4" ht="14.55" customHeight="1" x14ac:dyDescent="0.25">
      <c r="A4115" s="230" t="s">
        <v>619</v>
      </c>
      <c r="B4115" s="231" t="s">
        <v>6591</v>
      </c>
      <c r="C4115" s="230" t="s">
        <v>9058</v>
      </c>
      <c r="D4115" s="230"/>
    </row>
    <row r="4116" spans="1:4" ht="14.55" customHeight="1" x14ac:dyDescent="0.25">
      <c r="A4116" s="230" t="s">
        <v>619</v>
      </c>
      <c r="B4116" s="231" t="s">
        <v>6641</v>
      </c>
      <c r="C4116" s="230" t="s">
        <v>9059</v>
      </c>
      <c r="D4116" s="230"/>
    </row>
    <row r="4117" spans="1:4" ht="14.55" customHeight="1" x14ac:dyDescent="0.25">
      <c r="A4117" s="230" t="s">
        <v>619</v>
      </c>
      <c r="B4117" s="231" t="s">
        <v>9060</v>
      </c>
      <c r="C4117" s="230" t="s">
        <v>9061</v>
      </c>
      <c r="D4117" s="230"/>
    </row>
    <row r="4118" spans="1:4" ht="14.55" customHeight="1" x14ac:dyDescent="0.25">
      <c r="A4118" s="230" t="s">
        <v>619</v>
      </c>
      <c r="B4118" s="231" t="s">
        <v>6685</v>
      </c>
      <c r="C4118" s="230" t="s">
        <v>9062</v>
      </c>
      <c r="D4118" s="230"/>
    </row>
    <row r="4119" spans="1:4" ht="14.55" customHeight="1" x14ac:dyDescent="0.25">
      <c r="A4119" s="230" t="s">
        <v>619</v>
      </c>
      <c r="B4119" s="231" t="s">
        <v>6706</v>
      </c>
      <c r="C4119" s="230" t="s">
        <v>9063</v>
      </c>
      <c r="D4119" s="230"/>
    </row>
    <row r="4120" spans="1:4" ht="14.55" customHeight="1" x14ac:dyDescent="0.25">
      <c r="A4120" s="230" t="s">
        <v>619</v>
      </c>
      <c r="B4120" s="231" t="s">
        <v>7755</v>
      </c>
      <c r="C4120" s="230" t="s">
        <v>9064</v>
      </c>
      <c r="D4120" s="230"/>
    </row>
    <row r="4121" spans="1:4" ht="14.55" customHeight="1" x14ac:dyDescent="0.25">
      <c r="A4121" s="230" t="s">
        <v>619</v>
      </c>
      <c r="B4121" s="231" t="s">
        <v>9065</v>
      </c>
      <c r="C4121" s="230" t="s">
        <v>9066</v>
      </c>
      <c r="D4121" s="230"/>
    </row>
    <row r="4122" spans="1:4" ht="14.55" customHeight="1" x14ac:dyDescent="0.25">
      <c r="A4122" s="230" t="s">
        <v>619</v>
      </c>
      <c r="B4122" s="231" t="s">
        <v>6724</v>
      </c>
      <c r="C4122" s="230" t="s">
        <v>7998</v>
      </c>
      <c r="D4122" s="230"/>
    </row>
    <row r="4123" spans="1:4" ht="14.55" customHeight="1" x14ac:dyDescent="0.25">
      <c r="A4123" s="230" t="s">
        <v>619</v>
      </c>
      <c r="B4123" s="231" t="s">
        <v>9067</v>
      </c>
      <c r="C4123" s="230" t="s">
        <v>9068</v>
      </c>
      <c r="D4123" s="230"/>
    </row>
    <row r="4124" spans="1:4" ht="14.55" customHeight="1" x14ac:dyDescent="0.25">
      <c r="A4124" s="230" t="s">
        <v>619</v>
      </c>
      <c r="B4124" s="231" t="s">
        <v>6764</v>
      </c>
      <c r="C4124" s="230" t="s">
        <v>6771</v>
      </c>
      <c r="D4124" s="230"/>
    </row>
    <row r="4125" spans="1:4" ht="14.55" customHeight="1" x14ac:dyDescent="0.25">
      <c r="A4125" s="230" t="s">
        <v>619</v>
      </c>
      <c r="B4125" s="231" t="s">
        <v>9069</v>
      </c>
      <c r="C4125" s="230" t="s">
        <v>9070</v>
      </c>
      <c r="D4125" s="230"/>
    </row>
    <row r="4126" spans="1:4" ht="14.55" customHeight="1" x14ac:dyDescent="0.25">
      <c r="A4126" s="230" t="s">
        <v>619</v>
      </c>
      <c r="B4126" s="231" t="s">
        <v>9071</v>
      </c>
      <c r="C4126" s="230" t="s">
        <v>9072</v>
      </c>
      <c r="D4126" s="230"/>
    </row>
    <row r="4127" spans="1:4" ht="14.55" customHeight="1" x14ac:dyDescent="0.25">
      <c r="A4127" s="230" t="s">
        <v>619</v>
      </c>
      <c r="B4127" s="231" t="s">
        <v>6814</v>
      </c>
      <c r="C4127" s="230" t="s">
        <v>7723</v>
      </c>
      <c r="D4127" s="230"/>
    </row>
    <row r="4128" spans="1:4" ht="14.55" customHeight="1" x14ac:dyDescent="0.25">
      <c r="A4128" s="230" t="s">
        <v>619</v>
      </c>
      <c r="B4128" s="231" t="s">
        <v>6818</v>
      </c>
      <c r="C4128" s="230" t="s">
        <v>9073</v>
      </c>
      <c r="D4128" s="230"/>
    </row>
    <row r="4129" spans="1:4" ht="14.55" customHeight="1" x14ac:dyDescent="0.25">
      <c r="A4129" s="230" t="s">
        <v>619</v>
      </c>
      <c r="B4129" s="231" t="s">
        <v>6822</v>
      </c>
      <c r="C4129" s="230" t="s">
        <v>9074</v>
      </c>
      <c r="D4129" s="230"/>
    </row>
    <row r="4130" spans="1:4" ht="14.55" customHeight="1" x14ac:dyDescent="0.25">
      <c r="A4130" s="230" t="s">
        <v>619</v>
      </c>
      <c r="B4130" s="231" t="s">
        <v>9075</v>
      </c>
      <c r="C4130" s="230" t="s">
        <v>9076</v>
      </c>
      <c r="D4130" s="230"/>
    </row>
    <row r="4131" spans="1:4" ht="14.55" customHeight="1" x14ac:dyDescent="0.25">
      <c r="A4131" s="230" t="s">
        <v>619</v>
      </c>
      <c r="B4131" s="231" t="s">
        <v>6859</v>
      </c>
      <c r="C4131" s="230" t="s">
        <v>9077</v>
      </c>
      <c r="D4131" s="230"/>
    </row>
    <row r="4132" spans="1:4" ht="14.55" customHeight="1" x14ac:dyDescent="0.25">
      <c r="A4132" s="230" t="s">
        <v>619</v>
      </c>
      <c r="B4132" s="231" t="s">
        <v>6863</v>
      </c>
      <c r="C4132" s="230" t="s">
        <v>9078</v>
      </c>
      <c r="D4132" s="230"/>
    </row>
    <row r="4133" spans="1:4" ht="14.55" customHeight="1" x14ac:dyDescent="0.25">
      <c r="A4133" s="230" t="s">
        <v>619</v>
      </c>
      <c r="B4133" s="231" t="s">
        <v>6885</v>
      </c>
      <c r="C4133" s="230" t="s">
        <v>9079</v>
      </c>
      <c r="D4133" s="230"/>
    </row>
    <row r="4134" spans="1:4" ht="14.55" customHeight="1" x14ac:dyDescent="0.25">
      <c r="A4134" s="230" t="s">
        <v>619</v>
      </c>
      <c r="B4134" s="231" t="s">
        <v>9080</v>
      </c>
      <c r="C4134" s="230" t="s">
        <v>9081</v>
      </c>
      <c r="D4134" s="230"/>
    </row>
    <row r="4135" spans="1:4" ht="14.55" customHeight="1" x14ac:dyDescent="0.25">
      <c r="A4135" s="230" t="s">
        <v>619</v>
      </c>
      <c r="B4135" s="231" t="s">
        <v>6889</v>
      </c>
      <c r="C4135" s="230" t="s">
        <v>9082</v>
      </c>
      <c r="D4135" s="230"/>
    </row>
    <row r="4136" spans="1:4" ht="14.55" customHeight="1" x14ac:dyDescent="0.25">
      <c r="A4136" s="230" t="s">
        <v>619</v>
      </c>
      <c r="B4136" s="231" t="s">
        <v>6891</v>
      </c>
      <c r="C4136" s="230" t="s">
        <v>9083</v>
      </c>
      <c r="D4136" s="230"/>
    </row>
    <row r="4137" spans="1:4" ht="14.55" customHeight="1" x14ac:dyDescent="0.25">
      <c r="A4137" s="230" t="s">
        <v>619</v>
      </c>
      <c r="B4137" s="231" t="s">
        <v>9084</v>
      </c>
      <c r="C4137" s="230" t="s">
        <v>9085</v>
      </c>
      <c r="D4137" s="230"/>
    </row>
    <row r="4138" spans="1:4" ht="14.55" customHeight="1" x14ac:dyDescent="0.25">
      <c r="A4138" s="230" t="s">
        <v>619</v>
      </c>
      <c r="B4138" s="231" t="s">
        <v>6905</v>
      </c>
      <c r="C4138" s="230" t="s">
        <v>9086</v>
      </c>
      <c r="D4138" s="230"/>
    </row>
    <row r="4139" spans="1:4" ht="14.55" customHeight="1" x14ac:dyDescent="0.25">
      <c r="A4139" s="230" t="s">
        <v>619</v>
      </c>
      <c r="B4139" s="231" t="s">
        <v>6907</v>
      </c>
      <c r="C4139" s="230" t="s">
        <v>9087</v>
      </c>
      <c r="D4139" s="230"/>
    </row>
    <row r="4140" spans="1:4" ht="14.55" customHeight="1" x14ac:dyDescent="0.25">
      <c r="A4140" s="230" t="s">
        <v>619</v>
      </c>
      <c r="B4140" s="231" t="s">
        <v>6915</v>
      </c>
      <c r="C4140" s="230" t="s">
        <v>9088</v>
      </c>
      <c r="D4140" s="230"/>
    </row>
    <row r="4141" spans="1:4" ht="14.55" customHeight="1" x14ac:dyDescent="0.25">
      <c r="A4141" s="230" t="s">
        <v>619</v>
      </c>
      <c r="B4141" s="231" t="s">
        <v>6917</v>
      </c>
      <c r="C4141" s="230" t="s">
        <v>9089</v>
      </c>
      <c r="D4141" s="230"/>
    </row>
    <row r="4142" spans="1:4" ht="14.55" customHeight="1" x14ac:dyDescent="0.25">
      <c r="A4142" s="230" t="s">
        <v>619</v>
      </c>
      <c r="B4142" s="231" t="s">
        <v>9090</v>
      </c>
      <c r="C4142" s="230" t="s">
        <v>9091</v>
      </c>
      <c r="D4142" s="230"/>
    </row>
    <row r="4143" spans="1:4" ht="14.55" customHeight="1" x14ac:dyDescent="0.25">
      <c r="A4143" s="230" t="s">
        <v>619</v>
      </c>
      <c r="B4143" s="231" t="s">
        <v>6932</v>
      </c>
      <c r="C4143" s="230" t="s">
        <v>9092</v>
      </c>
      <c r="D4143" s="230"/>
    </row>
    <row r="4144" spans="1:4" ht="14.55" customHeight="1" x14ac:dyDescent="0.25">
      <c r="A4144" s="230" t="s">
        <v>619</v>
      </c>
      <c r="B4144" s="231" t="s">
        <v>9093</v>
      </c>
      <c r="C4144" s="230" t="s">
        <v>9094</v>
      </c>
      <c r="D4144" s="230"/>
    </row>
    <row r="4145" spans="1:4" ht="14.55" customHeight="1" x14ac:dyDescent="0.25">
      <c r="A4145" s="230" t="s">
        <v>619</v>
      </c>
      <c r="B4145" s="231" t="s">
        <v>6608</v>
      </c>
      <c r="C4145" s="230" t="s">
        <v>9095</v>
      </c>
      <c r="D4145" s="230"/>
    </row>
    <row r="4146" spans="1:4" ht="14.55" customHeight="1" x14ac:dyDescent="0.25">
      <c r="A4146" s="230" t="s">
        <v>619</v>
      </c>
      <c r="B4146" s="231" t="s">
        <v>9096</v>
      </c>
      <c r="C4146" s="230" t="s">
        <v>9097</v>
      </c>
      <c r="D4146" s="230"/>
    </row>
    <row r="4147" spans="1:4" ht="14.55" customHeight="1" x14ac:dyDescent="0.25">
      <c r="A4147" s="230" t="s">
        <v>619</v>
      </c>
      <c r="B4147" s="231" t="s">
        <v>9098</v>
      </c>
      <c r="C4147" s="230" t="s">
        <v>9099</v>
      </c>
      <c r="D4147" s="230"/>
    </row>
    <row r="4148" spans="1:4" ht="14.55" customHeight="1" x14ac:dyDescent="0.25">
      <c r="A4148" s="230" t="s">
        <v>619</v>
      </c>
      <c r="B4148" s="231" t="s">
        <v>6941</v>
      </c>
      <c r="C4148" s="230" t="s">
        <v>9100</v>
      </c>
      <c r="D4148" s="230"/>
    </row>
    <row r="4149" spans="1:4" ht="14.55" customHeight="1" x14ac:dyDescent="0.25">
      <c r="A4149" s="230" t="s">
        <v>619</v>
      </c>
      <c r="B4149" s="231" t="s">
        <v>9101</v>
      </c>
      <c r="C4149" s="230" t="s">
        <v>9102</v>
      </c>
      <c r="D4149" s="230"/>
    </row>
    <row r="4150" spans="1:4" ht="14.55" customHeight="1" x14ac:dyDescent="0.25">
      <c r="A4150" s="230" t="s">
        <v>619</v>
      </c>
      <c r="B4150" s="231" t="s">
        <v>9103</v>
      </c>
      <c r="C4150" s="230" t="s">
        <v>9104</v>
      </c>
      <c r="D4150" s="230"/>
    </row>
    <row r="4151" spans="1:4" ht="14.55" customHeight="1" x14ac:dyDescent="0.25">
      <c r="A4151" s="230" t="s">
        <v>619</v>
      </c>
      <c r="B4151" s="231" t="s">
        <v>9105</v>
      </c>
      <c r="C4151" s="230" t="s">
        <v>9106</v>
      </c>
      <c r="D4151" s="230"/>
    </row>
    <row r="4152" spans="1:4" ht="14.55" customHeight="1" x14ac:dyDescent="0.25">
      <c r="A4152" s="230" t="s">
        <v>619</v>
      </c>
      <c r="B4152" s="231" t="s">
        <v>9107</v>
      </c>
      <c r="C4152" s="230" t="s">
        <v>9108</v>
      </c>
      <c r="D4152" s="230"/>
    </row>
    <row r="4153" spans="1:4" ht="14.55" customHeight="1" x14ac:dyDescent="0.25">
      <c r="A4153" s="230" t="s">
        <v>619</v>
      </c>
      <c r="B4153" s="231" t="s">
        <v>9109</v>
      </c>
      <c r="C4153" s="230" t="s">
        <v>9110</v>
      </c>
      <c r="D4153" s="230"/>
    </row>
    <row r="4154" spans="1:4" ht="14.55" customHeight="1" x14ac:dyDescent="0.25">
      <c r="A4154" s="230" t="s">
        <v>619</v>
      </c>
      <c r="B4154" s="231" t="s">
        <v>9111</v>
      </c>
      <c r="C4154" s="230" t="s">
        <v>9112</v>
      </c>
      <c r="D4154" s="230"/>
    </row>
    <row r="4155" spans="1:4" ht="14.55" customHeight="1" x14ac:dyDescent="0.25">
      <c r="A4155" s="230" t="s">
        <v>619</v>
      </c>
      <c r="B4155" s="231" t="s">
        <v>9113</v>
      </c>
      <c r="C4155" s="230" t="s">
        <v>9114</v>
      </c>
      <c r="D4155" s="230"/>
    </row>
    <row r="4156" spans="1:4" ht="14.55" customHeight="1" x14ac:dyDescent="0.25">
      <c r="A4156" s="230" t="s">
        <v>619</v>
      </c>
      <c r="B4156" s="231" t="s">
        <v>9115</v>
      </c>
      <c r="C4156" s="230" t="s">
        <v>9116</v>
      </c>
      <c r="D4156" s="230"/>
    </row>
    <row r="4157" spans="1:4" ht="14.55" customHeight="1" x14ac:dyDescent="0.25">
      <c r="A4157" s="230" t="s">
        <v>619</v>
      </c>
      <c r="B4157" s="231" t="s">
        <v>9117</v>
      </c>
      <c r="C4157" s="230" t="s">
        <v>7168</v>
      </c>
      <c r="D4157" s="230"/>
    </row>
    <row r="4158" spans="1:4" ht="14.55" customHeight="1" x14ac:dyDescent="0.25">
      <c r="A4158" s="230" t="s">
        <v>619</v>
      </c>
      <c r="B4158" s="231" t="s">
        <v>6955</v>
      </c>
      <c r="C4158" s="230" t="s">
        <v>9118</v>
      </c>
      <c r="D4158" s="230"/>
    </row>
    <row r="4159" spans="1:4" ht="14.55" customHeight="1" x14ac:dyDescent="0.25">
      <c r="A4159" s="230" t="s">
        <v>619</v>
      </c>
      <c r="B4159" s="231" t="s">
        <v>6957</v>
      </c>
      <c r="C4159" s="230" t="s">
        <v>9119</v>
      </c>
      <c r="D4159" s="230"/>
    </row>
    <row r="4160" spans="1:4" ht="14.55" customHeight="1" x14ac:dyDescent="0.25">
      <c r="A4160" s="230" t="s">
        <v>619</v>
      </c>
      <c r="B4160" s="231" t="s">
        <v>9120</v>
      </c>
      <c r="C4160" s="230" t="s">
        <v>9121</v>
      </c>
      <c r="D4160" s="230"/>
    </row>
    <row r="4161" spans="1:5" ht="14.55" customHeight="1" x14ac:dyDescent="0.25">
      <c r="A4161" s="230" t="s">
        <v>619</v>
      </c>
      <c r="B4161" s="231" t="s">
        <v>6972</v>
      </c>
      <c r="C4161" s="230" t="s">
        <v>6973</v>
      </c>
      <c r="D4161" s="230"/>
    </row>
    <row r="4162" spans="1:5" ht="14.55" customHeight="1" x14ac:dyDescent="0.25">
      <c r="A4162" s="230" t="s">
        <v>619</v>
      </c>
      <c r="B4162" s="231" t="s">
        <v>9122</v>
      </c>
      <c r="C4162" s="230" t="s">
        <v>9123</v>
      </c>
      <c r="D4162" s="230"/>
    </row>
    <row r="4163" spans="1:5" ht="14.55" customHeight="1" x14ac:dyDescent="0.25">
      <c r="A4163" s="230" t="s">
        <v>619</v>
      </c>
      <c r="B4163" s="231" t="s">
        <v>6996</v>
      </c>
      <c r="C4163" s="230" t="s">
        <v>9124</v>
      </c>
      <c r="D4163" s="230"/>
    </row>
    <row r="4164" spans="1:5" ht="14.55" customHeight="1" x14ac:dyDescent="0.25">
      <c r="A4164" s="230" t="s">
        <v>619</v>
      </c>
      <c r="B4164" s="231" t="s">
        <v>6998</v>
      </c>
      <c r="C4164" s="230" t="s">
        <v>9125</v>
      </c>
      <c r="D4164" s="230"/>
    </row>
    <row r="4165" spans="1:5" ht="14.55" customHeight="1" x14ac:dyDescent="0.25">
      <c r="A4165" s="230" t="s">
        <v>619</v>
      </c>
      <c r="B4165" s="231" t="s">
        <v>7010</v>
      </c>
      <c r="C4165" s="230" t="s">
        <v>9126</v>
      </c>
      <c r="D4165" s="230"/>
    </row>
    <row r="4166" spans="1:5" ht="14.55" customHeight="1" x14ac:dyDescent="0.25">
      <c r="A4166" s="230" t="s">
        <v>619</v>
      </c>
      <c r="B4166" s="231" t="s">
        <v>7053</v>
      </c>
      <c r="C4166" s="230" t="s">
        <v>9127</v>
      </c>
      <c r="D4166" s="230"/>
    </row>
    <row r="4167" spans="1:5" ht="14.55" customHeight="1" x14ac:dyDescent="0.25">
      <c r="A4167" s="230" t="s">
        <v>619</v>
      </c>
      <c r="B4167" s="231" t="s">
        <v>9128</v>
      </c>
      <c r="C4167" s="230" t="s">
        <v>9129</v>
      </c>
      <c r="D4167" s="230"/>
    </row>
    <row r="4168" spans="1:5" ht="14.55" customHeight="1" x14ac:dyDescent="0.25">
      <c r="A4168" s="230" t="s">
        <v>619</v>
      </c>
      <c r="B4168" s="231" t="s">
        <v>9130</v>
      </c>
      <c r="C4168" s="230" t="s">
        <v>9131</v>
      </c>
      <c r="D4168" s="230"/>
    </row>
    <row r="4169" spans="1:5" ht="14.55" customHeight="1" x14ac:dyDescent="0.25">
      <c r="A4169" s="230" t="s">
        <v>619</v>
      </c>
      <c r="B4169" s="231" t="s">
        <v>7083</v>
      </c>
      <c r="C4169" s="230" t="s">
        <v>9132</v>
      </c>
      <c r="D4169" s="230"/>
    </row>
    <row r="4170" spans="1:5" ht="14.55" customHeight="1" x14ac:dyDescent="0.25">
      <c r="A4170" s="230" t="s">
        <v>619</v>
      </c>
      <c r="B4170" s="231" t="s">
        <v>7091</v>
      </c>
      <c r="C4170" s="230" t="s">
        <v>9133</v>
      </c>
      <c r="D4170" s="230"/>
    </row>
    <row r="4171" spans="1:5" ht="14.55" customHeight="1" x14ac:dyDescent="0.25">
      <c r="A4171" s="230" t="s">
        <v>619</v>
      </c>
      <c r="B4171" s="231" t="s">
        <v>9134</v>
      </c>
      <c r="C4171" s="230" t="s">
        <v>9135</v>
      </c>
      <c r="D4171" s="230"/>
    </row>
    <row r="4172" spans="1:5" ht="14.55" customHeight="1" x14ac:dyDescent="0.25">
      <c r="A4172" s="230" t="s">
        <v>619</v>
      </c>
      <c r="B4172" s="231" t="s">
        <v>9136</v>
      </c>
      <c r="C4172" s="230" t="s">
        <v>7742</v>
      </c>
      <c r="D4172" s="230"/>
    </row>
    <row r="4173" spans="1:5" ht="14.55" customHeight="1" x14ac:dyDescent="0.25">
      <c r="A4173" s="230" t="s">
        <v>619</v>
      </c>
      <c r="B4173" s="231" t="s">
        <v>9137</v>
      </c>
      <c r="C4173" s="230" t="s">
        <v>9138</v>
      </c>
      <c r="D4173" s="230"/>
    </row>
    <row r="4174" spans="1:5" ht="14.55" customHeight="1" x14ac:dyDescent="0.25">
      <c r="A4174" s="230" t="s">
        <v>619</v>
      </c>
      <c r="B4174" s="231" t="s">
        <v>9139</v>
      </c>
      <c r="C4174" s="230" t="s">
        <v>9140</v>
      </c>
      <c r="D4174" s="230"/>
    </row>
    <row r="4175" spans="1:5" ht="14.55" customHeight="1" x14ac:dyDescent="0.25">
      <c r="A4175" s="230" t="s">
        <v>619</v>
      </c>
      <c r="B4175" s="231" t="s">
        <v>9141</v>
      </c>
      <c r="C4175" s="230" t="s">
        <v>9142</v>
      </c>
      <c r="D4175" s="230"/>
    </row>
    <row r="4176" spans="1:5" ht="14.55" customHeight="1" x14ac:dyDescent="0.25">
      <c r="A4176" s="230" t="s">
        <v>1011</v>
      </c>
      <c r="B4176" s="231" t="s">
        <v>74</v>
      </c>
      <c r="C4176" s="230" t="s">
        <v>9143</v>
      </c>
      <c r="D4176" s="230" t="s">
        <v>9144</v>
      </c>
      <c r="E4176" s="230" t="s">
        <v>9145</v>
      </c>
    </row>
    <row r="4177" spans="1:5" ht="14.55" customHeight="1" x14ac:dyDescent="0.25">
      <c r="A4177" s="230" t="s">
        <v>1011</v>
      </c>
      <c r="B4177" s="231" t="s">
        <v>84</v>
      </c>
      <c r="C4177" s="230" t="s">
        <v>9146</v>
      </c>
      <c r="D4177" s="230" t="s">
        <v>13422</v>
      </c>
    </row>
    <row r="4178" spans="1:5" ht="14.55" customHeight="1" x14ac:dyDescent="0.25">
      <c r="A4178" s="230" t="s">
        <v>1011</v>
      </c>
      <c r="B4178" s="231" t="s">
        <v>6597</v>
      </c>
      <c r="C4178" s="230" t="s">
        <v>9147</v>
      </c>
      <c r="D4178" s="230" t="s">
        <v>9148</v>
      </c>
      <c r="E4178" s="230" t="s">
        <v>9149</v>
      </c>
    </row>
    <row r="4179" spans="1:5" ht="14.55" customHeight="1" x14ac:dyDescent="0.25">
      <c r="A4179" s="230" t="s">
        <v>1011</v>
      </c>
      <c r="B4179" s="231" t="s">
        <v>7373</v>
      </c>
      <c r="C4179" s="230" t="s">
        <v>9150</v>
      </c>
      <c r="D4179" s="230" t="s">
        <v>9151</v>
      </c>
      <c r="E4179" s="230" t="s">
        <v>9152</v>
      </c>
    </row>
    <row r="4180" spans="1:5" ht="14.55" customHeight="1" x14ac:dyDescent="0.25">
      <c r="A4180" s="230" t="s">
        <v>1011</v>
      </c>
      <c r="B4180" s="231" t="s">
        <v>7169</v>
      </c>
      <c r="C4180" s="230" t="s">
        <v>9153</v>
      </c>
      <c r="D4180" s="230" t="s">
        <v>9154</v>
      </c>
      <c r="E4180" s="230" t="s">
        <v>9155</v>
      </c>
    </row>
    <row r="4181" spans="1:5" ht="14.55" customHeight="1" x14ac:dyDescent="0.25">
      <c r="A4181" s="230" t="s">
        <v>1011</v>
      </c>
      <c r="B4181" s="231" t="s">
        <v>7203</v>
      </c>
      <c r="C4181" s="230" t="s">
        <v>9156</v>
      </c>
      <c r="D4181" s="230" t="s">
        <v>9157</v>
      </c>
      <c r="E4181" s="230" t="s">
        <v>9158</v>
      </c>
    </row>
    <row r="4182" spans="1:5" ht="14.55" customHeight="1" x14ac:dyDescent="0.25">
      <c r="A4182" s="230" t="s">
        <v>1011</v>
      </c>
      <c r="B4182" s="231" t="s">
        <v>94</v>
      </c>
      <c r="C4182" s="230" t="s">
        <v>9159</v>
      </c>
      <c r="D4182" s="230" t="s">
        <v>9160</v>
      </c>
      <c r="E4182" s="230" t="s">
        <v>9161</v>
      </c>
    </row>
    <row r="4183" spans="1:5" ht="14.55" customHeight="1" x14ac:dyDescent="0.25">
      <c r="A4183" s="230" t="s">
        <v>534</v>
      </c>
      <c r="B4183" s="231" t="s">
        <v>6907</v>
      </c>
      <c r="C4183" s="230" t="s">
        <v>9162</v>
      </c>
      <c r="D4183" s="230" t="s">
        <v>9163</v>
      </c>
    </row>
    <row r="4184" spans="1:5" ht="14.55" customHeight="1" x14ac:dyDescent="0.25">
      <c r="A4184" s="230" t="s">
        <v>534</v>
      </c>
      <c r="B4184" s="231" t="s">
        <v>6998</v>
      </c>
      <c r="C4184" s="230" t="s">
        <v>9164</v>
      </c>
      <c r="D4184" s="230" t="s">
        <v>9165</v>
      </c>
    </row>
    <row r="4185" spans="1:5" ht="14.55" customHeight="1" x14ac:dyDescent="0.25">
      <c r="A4185" s="230" t="s">
        <v>534</v>
      </c>
      <c r="B4185" s="231" t="s">
        <v>6932</v>
      </c>
      <c r="C4185" s="230" t="s">
        <v>9166</v>
      </c>
      <c r="D4185" s="230" t="s">
        <v>9167</v>
      </c>
      <c r="E4185" s="230" t="s">
        <v>9168</v>
      </c>
    </row>
    <row r="4186" spans="1:5" ht="14.55" customHeight="1" x14ac:dyDescent="0.25">
      <c r="A4186" s="230" t="s">
        <v>534</v>
      </c>
      <c r="B4186" s="231" t="s">
        <v>9169</v>
      </c>
      <c r="C4186" s="230" t="s">
        <v>9170</v>
      </c>
      <c r="D4186" s="230" t="s">
        <v>9171</v>
      </c>
      <c r="E4186" s="75"/>
    </row>
    <row r="4187" spans="1:5" ht="14.55" customHeight="1" x14ac:dyDescent="0.25">
      <c r="A4187" s="371" t="s">
        <v>534</v>
      </c>
      <c r="B4187" s="337" t="s">
        <v>6947</v>
      </c>
      <c r="C4187" s="339" t="s">
        <v>13497</v>
      </c>
      <c r="D4187" s="339" t="s">
        <v>8976</v>
      </c>
      <c r="E4187" s="370"/>
    </row>
    <row r="4188" spans="1:5" ht="14.55" customHeight="1" x14ac:dyDescent="0.25">
      <c r="A4188" s="230" t="s">
        <v>1069</v>
      </c>
      <c r="B4188" s="231" t="s">
        <v>9172</v>
      </c>
      <c r="C4188" s="230" t="s">
        <v>9173</v>
      </c>
      <c r="D4188" s="230" t="s">
        <v>9174</v>
      </c>
    </row>
    <row r="4189" spans="1:5" ht="14.55" customHeight="1" x14ac:dyDescent="0.25">
      <c r="A4189" s="230" t="s">
        <v>1069</v>
      </c>
      <c r="B4189" s="231" t="s">
        <v>9122</v>
      </c>
      <c r="C4189" s="230" t="s">
        <v>9175</v>
      </c>
      <c r="D4189" s="230" t="s">
        <v>9176</v>
      </c>
      <c r="E4189" s="230" t="s">
        <v>9177</v>
      </c>
    </row>
    <row r="4190" spans="1:5" ht="14.55" customHeight="1" x14ac:dyDescent="0.25">
      <c r="A4190" s="230" t="s">
        <v>1069</v>
      </c>
      <c r="B4190" s="231" t="s">
        <v>6893</v>
      </c>
      <c r="C4190" s="230" t="s">
        <v>9178</v>
      </c>
      <c r="D4190" s="230" t="s">
        <v>9179</v>
      </c>
    </row>
    <row r="4191" spans="1:5" ht="14.55" customHeight="1" x14ac:dyDescent="0.25">
      <c r="A4191" s="230" t="s">
        <v>1069</v>
      </c>
      <c r="B4191" s="231" t="s">
        <v>9180</v>
      </c>
      <c r="C4191" s="230" t="s">
        <v>9181</v>
      </c>
      <c r="D4191" s="230" t="s">
        <v>9182</v>
      </c>
    </row>
    <row r="4192" spans="1:5" ht="14.55" customHeight="1" x14ac:dyDescent="0.25">
      <c r="A4192" s="230" t="s">
        <v>1069</v>
      </c>
      <c r="B4192" s="231" t="s">
        <v>9183</v>
      </c>
      <c r="C4192" s="230" t="s">
        <v>9184</v>
      </c>
      <c r="D4192" s="230" t="s">
        <v>9185</v>
      </c>
      <c r="E4192" s="230" t="s">
        <v>9186</v>
      </c>
    </row>
    <row r="4193" spans="1:4" ht="14.55" customHeight="1" x14ac:dyDescent="0.25">
      <c r="A4193" s="230" t="s">
        <v>1069</v>
      </c>
      <c r="B4193" s="231" t="s">
        <v>9075</v>
      </c>
      <c r="C4193" s="230" t="s">
        <v>9187</v>
      </c>
      <c r="D4193" s="230"/>
    </row>
    <row r="4194" spans="1:4" ht="14.55" customHeight="1" x14ac:dyDescent="0.25">
      <c r="A4194" s="230" t="s">
        <v>1069</v>
      </c>
      <c r="B4194" s="231" t="s">
        <v>6851</v>
      </c>
      <c r="C4194" s="230" t="s">
        <v>9188</v>
      </c>
      <c r="D4194" s="230"/>
    </row>
    <row r="4195" spans="1:4" ht="14.55" customHeight="1" x14ac:dyDescent="0.25">
      <c r="A4195" s="230" t="s">
        <v>1069</v>
      </c>
      <c r="B4195" s="231" t="s">
        <v>7018</v>
      </c>
      <c r="C4195" s="230" t="s">
        <v>9189</v>
      </c>
      <c r="D4195" s="230"/>
    </row>
    <row r="4196" spans="1:4" ht="14.55" customHeight="1" x14ac:dyDescent="0.25">
      <c r="A4196" s="230" t="s">
        <v>1069</v>
      </c>
      <c r="B4196" s="231" t="s">
        <v>9190</v>
      </c>
      <c r="C4196" s="230" t="s">
        <v>9191</v>
      </c>
      <c r="D4196" s="230"/>
    </row>
    <row r="4197" spans="1:4" ht="14.55" customHeight="1" x14ac:dyDescent="0.25">
      <c r="A4197" s="230" t="s">
        <v>1069</v>
      </c>
      <c r="B4197" s="231" t="s">
        <v>9192</v>
      </c>
      <c r="C4197" s="230" t="s">
        <v>9193</v>
      </c>
      <c r="D4197" s="230"/>
    </row>
    <row r="4198" spans="1:4" ht="14.55" customHeight="1" x14ac:dyDescent="0.25">
      <c r="A4198" s="230" t="s">
        <v>1069</v>
      </c>
      <c r="B4198" s="231" t="s">
        <v>9194</v>
      </c>
      <c r="C4198" s="230" t="s">
        <v>9195</v>
      </c>
      <c r="D4198" s="230"/>
    </row>
    <row r="4199" spans="1:4" ht="14.55" customHeight="1" x14ac:dyDescent="0.25">
      <c r="A4199" s="230" t="s">
        <v>1069</v>
      </c>
      <c r="B4199" s="231" t="s">
        <v>6943</v>
      </c>
      <c r="C4199" s="230" t="s">
        <v>9196</v>
      </c>
      <c r="D4199" s="230"/>
    </row>
    <row r="4200" spans="1:4" ht="14.55" customHeight="1" x14ac:dyDescent="0.25">
      <c r="A4200" s="230" t="s">
        <v>1069</v>
      </c>
      <c r="B4200" s="231" t="s">
        <v>9117</v>
      </c>
      <c r="C4200" s="230" t="s">
        <v>7168</v>
      </c>
      <c r="D4200" s="230"/>
    </row>
    <row r="4201" spans="1:4" ht="14.55" customHeight="1" x14ac:dyDescent="0.25">
      <c r="A4201" s="230" t="s">
        <v>188</v>
      </c>
      <c r="B4201" s="231" t="s">
        <v>107</v>
      </c>
      <c r="C4201" s="230" t="s">
        <v>9197</v>
      </c>
      <c r="D4201" s="230"/>
    </row>
    <row r="4202" spans="1:4" ht="14.55" customHeight="1" x14ac:dyDescent="0.25">
      <c r="A4202" s="230" t="s">
        <v>188</v>
      </c>
      <c r="B4202" s="231" t="s">
        <v>82</v>
      </c>
      <c r="C4202" s="230" t="s">
        <v>9198</v>
      </c>
      <c r="D4202" s="230"/>
    </row>
    <row r="4203" spans="1:4" ht="14.55" customHeight="1" x14ac:dyDescent="0.25">
      <c r="A4203" s="230" t="s">
        <v>279</v>
      </c>
      <c r="B4203" s="231" t="s">
        <v>107</v>
      </c>
      <c r="C4203" s="230" t="s">
        <v>9197</v>
      </c>
      <c r="D4203" s="230"/>
    </row>
    <row r="4204" spans="1:4" ht="14.55" customHeight="1" x14ac:dyDescent="0.25">
      <c r="A4204" s="230" t="s">
        <v>279</v>
      </c>
      <c r="B4204" s="231" t="s">
        <v>94</v>
      </c>
      <c r="C4204" s="230" t="s">
        <v>9199</v>
      </c>
      <c r="D4204" s="230"/>
    </row>
    <row r="4205" spans="1:4" ht="14.55" customHeight="1" x14ac:dyDescent="0.25">
      <c r="A4205" s="230" t="s">
        <v>279</v>
      </c>
      <c r="B4205" s="231" t="s">
        <v>82</v>
      </c>
      <c r="C4205" s="230" t="s">
        <v>9198</v>
      </c>
      <c r="D4205" s="230"/>
    </row>
    <row r="4206" spans="1:4" ht="14.55" customHeight="1" x14ac:dyDescent="0.25">
      <c r="B4206" s="261"/>
    </row>
  </sheetData>
  <autoFilter ref="A1:E4205" xr:uid="{FE076B7F-BD23-49D5-ABD6-DAE606590A31}"/>
  <phoneticPr fontId="73" type="noConversion"/>
  <hyperlinks>
    <hyperlink ref="D3093" location="'Assignment-Course Codes'!Course_Code" display="Assignment-Course Codes" xr:uid="{00000000-0004-0000-0400-000000000000}"/>
    <hyperlink ref="D4088" location="'Assignment-Course Codes'!Course_Code" display="Assignment-Course Codes" xr:uid="{00000000-0004-0000-0400-000002000000}"/>
    <hyperlink ref="C4088" location="'Assignment-Course Codes'!Course_Code" display="See Assignment-Course Codes tab" xr:uid="{00000000-0004-0000-0400-000003000000}"/>
    <hyperlink ref="C3093" location="'Assignment-Course Codes'!Course_Code" display="See Assignment-Course Codes tab" xr:uid="{00000000-0004-0000-0400-000004000000}"/>
    <hyperlink ref="C4054" location="'Districts and Schools'!A1" display="See Districts and Schools Tab" xr:uid="{6D9AF431-54A5-4E1A-B4BE-FB77FC49D2F4}"/>
    <hyperlink ref="D4054" location="'Districts and Schools'!A1" display="See Districts and Schools Tab" xr:uid="{CB6B872A-30F9-40FA-8E45-B639477A3A0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56"/>
  <sheetViews>
    <sheetView zoomScaleNormal="100" workbookViewId="0"/>
  </sheetViews>
  <sheetFormatPr defaultColWidth="9.21875" defaultRowHeight="14.1" customHeight="1" x14ac:dyDescent="0.25"/>
  <cols>
    <col min="1" max="1" width="129" style="263" bestFit="1" customWidth="1"/>
    <col min="2" max="2" width="6.44140625" style="75" customWidth="1"/>
    <col min="3" max="3" width="9.21875" style="75"/>
    <col min="4" max="4" width="6.44140625" style="75" customWidth="1"/>
    <col min="5" max="16384" width="9.21875" style="75"/>
  </cols>
  <sheetData>
    <row r="1" spans="1:1" ht="15" customHeight="1" thickBot="1" x14ac:dyDescent="0.3">
      <c r="A1" s="28" t="s">
        <v>9200</v>
      </c>
    </row>
    <row r="2" spans="1:1" ht="14.1" customHeight="1" x14ac:dyDescent="0.25">
      <c r="A2" s="263" t="s">
        <v>9201</v>
      </c>
    </row>
    <row r="3" spans="1:1" ht="14.1" customHeight="1" x14ac:dyDescent="0.25">
      <c r="A3" s="263" t="s">
        <v>9202</v>
      </c>
    </row>
    <row r="4" spans="1:1" ht="14.1" customHeight="1" x14ac:dyDescent="0.25">
      <c r="A4" s="263" t="s">
        <v>9203</v>
      </c>
    </row>
    <row r="5" spans="1:1" ht="14.1" customHeight="1" x14ac:dyDescent="0.25">
      <c r="A5" s="263" t="s">
        <v>9204</v>
      </c>
    </row>
    <row r="6" spans="1:1" ht="14.1" customHeight="1" x14ac:dyDescent="0.25">
      <c r="A6" s="263" t="s">
        <v>9205</v>
      </c>
    </row>
    <row r="7" spans="1:1" ht="14.1" customHeight="1" x14ac:dyDescent="0.25">
      <c r="A7" s="263" t="s">
        <v>9206</v>
      </c>
    </row>
    <row r="8" spans="1:1" ht="14.1" customHeight="1" x14ac:dyDescent="0.25">
      <c r="A8" s="263" t="s">
        <v>9207</v>
      </c>
    </row>
    <row r="9" spans="1:1" ht="14.1" customHeight="1" x14ac:dyDescent="0.25">
      <c r="A9" s="263" t="s">
        <v>9208</v>
      </c>
    </row>
    <row r="10" spans="1:1" ht="14.1" customHeight="1" x14ac:dyDescent="0.25">
      <c r="A10" s="263" t="s">
        <v>9209</v>
      </c>
    </row>
    <row r="11" spans="1:1" ht="14.1" customHeight="1" x14ac:dyDescent="0.25">
      <c r="A11" s="263" t="s">
        <v>9210</v>
      </c>
    </row>
    <row r="12" spans="1:1" ht="14.1" customHeight="1" x14ac:dyDescent="0.25">
      <c r="A12" s="263" t="s">
        <v>9211</v>
      </c>
    </row>
    <row r="13" spans="1:1" ht="14.1" customHeight="1" x14ac:dyDescent="0.25">
      <c r="A13" s="263" t="s">
        <v>9212</v>
      </c>
    </row>
    <row r="14" spans="1:1" ht="14.1" customHeight="1" x14ac:dyDescent="0.25">
      <c r="A14" s="263" t="s">
        <v>9213</v>
      </c>
    </row>
    <row r="15" spans="1:1" ht="14.1" customHeight="1" x14ac:dyDescent="0.25">
      <c r="A15" s="127" t="s">
        <v>9214</v>
      </c>
    </row>
    <row r="16" spans="1:1" ht="14.1" customHeight="1" x14ac:dyDescent="0.25">
      <c r="A16" s="263" t="s">
        <v>9215</v>
      </c>
    </row>
    <row r="17" spans="1:1" ht="14.1" customHeight="1" x14ac:dyDescent="0.25">
      <c r="A17" s="263" t="s">
        <v>9216</v>
      </c>
    </row>
    <row r="18" spans="1:1" ht="14.1" customHeight="1" x14ac:dyDescent="0.25">
      <c r="A18" s="263" t="s">
        <v>9217</v>
      </c>
    </row>
    <row r="19" spans="1:1" ht="14.1" customHeight="1" x14ac:dyDescent="0.25">
      <c r="A19" s="263" t="s">
        <v>9218</v>
      </c>
    </row>
    <row r="20" spans="1:1" ht="14.1" customHeight="1" x14ac:dyDescent="0.25">
      <c r="A20" s="263" t="s">
        <v>9219</v>
      </c>
    </row>
    <row r="21" spans="1:1" ht="14.1" customHeight="1" x14ac:dyDescent="0.25">
      <c r="A21" s="263" t="s">
        <v>9220</v>
      </c>
    </row>
    <row r="22" spans="1:1" ht="14.1" customHeight="1" x14ac:dyDescent="0.25">
      <c r="A22" s="263" t="s">
        <v>9221</v>
      </c>
    </row>
    <row r="23" spans="1:1" ht="14.1" customHeight="1" x14ac:dyDescent="0.25">
      <c r="A23" s="263" t="s">
        <v>9222</v>
      </c>
    </row>
    <row r="24" spans="1:1" ht="14.1" customHeight="1" x14ac:dyDescent="0.25">
      <c r="A24" s="263" t="s">
        <v>9223</v>
      </c>
    </row>
    <row r="25" spans="1:1" ht="14.1" customHeight="1" x14ac:dyDescent="0.25">
      <c r="A25" s="263" t="s">
        <v>9224</v>
      </c>
    </row>
    <row r="26" spans="1:1" ht="14.1" customHeight="1" x14ac:dyDescent="0.25">
      <c r="A26" s="263" t="s">
        <v>9225</v>
      </c>
    </row>
    <row r="27" spans="1:1" ht="14.1" customHeight="1" x14ac:dyDescent="0.25">
      <c r="A27" s="263" t="s">
        <v>9226</v>
      </c>
    </row>
    <row r="28" spans="1:1" ht="14.1" customHeight="1" x14ac:dyDescent="0.25">
      <c r="A28" s="263" t="s">
        <v>9227</v>
      </c>
    </row>
    <row r="29" spans="1:1" ht="14.1" customHeight="1" x14ac:dyDescent="0.25">
      <c r="A29" s="263" t="s">
        <v>9228</v>
      </c>
    </row>
    <row r="30" spans="1:1" ht="14.1" customHeight="1" x14ac:dyDescent="0.25">
      <c r="A30" s="263" t="s">
        <v>9229</v>
      </c>
    </row>
    <row r="31" spans="1:1" ht="14.1" customHeight="1" x14ac:dyDescent="0.25">
      <c r="A31" s="263" t="s">
        <v>9230</v>
      </c>
    </row>
    <row r="32" spans="1:1" ht="14.1" customHeight="1" x14ac:dyDescent="0.25">
      <c r="A32" s="263" t="s">
        <v>9231</v>
      </c>
    </row>
    <row r="33" spans="1:1" ht="14.1" customHeight="1" x14ac:dyDescent="0.25">
      <c r="A33" s="263" t="s">
        <v>9232</v>
      </c>
    </row>
    <row r="34" spans="1:1" ht="14.1" customHeight="1" x14ac:dyDescent="0.25">
      <c r="A34" s="263" t="s">
        <v>9233</v>
      </c>
    </row>
    <row r="35" spans="1:1" ht="14.1" customHeight="1" x14ac:dyDescent="0.25">
      <c r="A35" s="263" t="s">
        <v>9234</v>
      </c>
    </row>
    <row r="36" spans="1:1" ht="14.1" customHeight="1" x14ac:dyDescent="0.25">
      <c r="A36" s="263" t="s">
        <v>9235</v>
      </c>
    </row>
    <row r="37" spans="1:1" ht="14.1" customHeight="1" x14ac:dyDescent="0.25">
      <c r="A37" s="263" t="s">
        <v>9236</v>
      </c>
    </row>
    <row r="38" spans="1:1" ht="14.1" customHeight="1" x14ac:dyDescent="0.25">
      <c r="A38" s="263" t="s">
        <v>9237</v>
      </c>
    </row>
    <row r="39" spans="1:1" ht="14.1" customHeight="1" x14ac:dyDescent="0.25">
      <c r="A39" s="263" t="s">
        <v>9238</v>
      </c>
    </row>
    <row r="40" spans="1:1" ht="14.1" customHeight="1" x14ac:dyDescent="0.25">
      <c r="A40" s="263" t="s">
        <v>9239</v>
      </c>
    </row>
    <row r="41" spans="1:1" ht="14.1" customHeight="1" x14ac:dyDescent="0.25">
      <c r="A41" s="263" t="s">
        <v>9240</v>
      </c>
    </row>
    <row r="42" spans="1:1" ht="14.1" customHeight="1" x14ac:dyDescent="0.25">
      <c r="A42" s="263" t="s">
        <v>9241</v>
      </c>
    </row>
    <row r="43" spans="1:1" ht="14.1" customHeight="1" x14ac:dyDescent="0.25">
      <c r="A43" s="263" t="s">
        <v>9242</v>
      </c>
    </row>
    <row r="44" spans="1:1" ht="14.1" customHeight="1" x14ac:dyDescent="0.25">
      <c r="A44" s="263" t="s">
        <v>9243</v>
      </c>
    </row>
    <row r="45" spans="1:1" ht="14.1" customHeight="1" x14ac:dyDescent="0.25">
      <c r="A45" s="263" t="s">
        <v>9244</v>
      </c>
    </row>
    <row r="46" spans="1:1" ht="14.1" customHeight="1" x14ac:dyDescent="0.25">
      <c r="A46" s="263" t="s">
        <v>9245</v>
      </c>
    </row>
    <row r="47" spans="1:1" ht="14.1" customHeight="1" x14ac:dyDescent="0.25">
      <c r="A47" s="263" t="s">
        <v>9246</v>
      </c>
    </row>
    <row r="48" spans="1:1" ht="14.1" customHeight="1" x14ac:dyDescent="0.25">
      <c r="A48" s="263" t="s">
        <v>9247</v>
      </c>
    </row>
    <row r="49" spans="1:1" ht="14.1" customHeight="1" x14ac:dyDescent="0.25">
      <c r="A49" s="263" t="s">
        <v>9248</v>
      </c>
    </row>
    <row r="50" spans="1:1" ht="14.1" customHeight="1" x14ac:dyDescent="0.25">
      <c r="A50" s="263" t="s">
        <v>9249</v>
      </c>
    </row>
    <row r="51" spans="1:1" ht="14.1" customHeight="1" x14ac:dyDescent="0.25">
      <c r="A51" s="263" t="s">
        <v>9250</v>
      </c>
    </row>
    <row r="52" spans="1:1" ht="14.1" customHeight="1" x14ac:dyDescent="0.25">
      <c r="A52" s="263" t="s">
        <v>9251</v>
      </c>
    </row>
    <row r="53" spans="1:1" ht="14.1" customHeight="1" x14ac:dyDescent="0.25">
      <c r="A53" s="263" t="s">
        <v>9252</v>
      </c>
    </row>
    <row r="54" spans="1:1" ht="14.1" customHeight="1" x14ac:dyDescent="0.25">
      <c r="A54" s="263" t="s">
        <v>9253</v>
      </c>
    </row>
    <row r="55" spans="1:1" ht="14.1" customHeight="1" x14ac:dyDescent="0.25">
      <c r="A55" s="263" t="s">
        <v>9254</v>
      </c>
    </row>
    <row r="56" spans="1:1" ht="14.1" customHeight="1" x14ac:dyDescent="0.25">
      <c r="A56" s="263" t="s">
        <v>9255</v>
      </c>
    </row>
    <row r="57" spans="1:1" ht="14.1" customHeight="1" x14ac:dyDescent="0.25">
      <c r="A57" s="263" t="s">
        <v>9256</v>
      </c>
    </row>
    <row r="58" spans="1:1" ht="14.1" customHeight="1" x14ac:dyDescent="0.25">
      <c r="A58" s="263" t="s">
        <v>9257</v>
      </c>
    </row>
    <row r="59" spans="1:1" ht="14.1" customHeight="1" x14ac:dyDescent="0.25">
      <c r="A59" s="263" t="s">
        <v>9258</v>
      </c>
    </row>
    <row r="60" spans="1:1" ht="14.1" customHeight="1" x14ac:dyDescent="0.25">
      <c r="A60" s="263" t="s">
        <v>9259</v>
      </c>
    </row>
    <row r="61" spans="1:1" ht="14.1" customHeight="1" x14ac:dyDescent="0.25">
      <c r="A61" s="263" t="s">
        <v>9260</v>
      </c>
    </row>
    <row r="62" spans="1:1" ht="14.1" customHeight="1" x14ac:dyDescent="0.25">
      <c r="A62" s="263" t="s">
        <v>9261</v>
      </c>
    </row>
    <row r="63" spans="1:1" ht="14.1" customHeight="1" x14ac:dyDescent="0.25">
      <c r="A63" s="263" t="s">
        <v>9262</v>
      </c>
    </row>
    <row r="64" spans="1:1" ht="14.1" customHeight="1" x14ac:dyDescent="0.25">
      <c r="A64" s="263" t="s">
        <v>9263</v>
      </c>
    </row>
    <row r="65" spans="1:1" ht="14.1" customHeight="1" x14ac:dyDescent="0.25">
      <c r="A65" s="263" t="s">
        <v>9264</v>
      </c>
    </row>
    <row r="66" spans="1:1" ht="14.1" customHeight="1" x14ac:dyDescent="0.25">
      <c r="A66" s="263" t="s">
        <v>9265</v>
      </c>
    </row>
    <row r="67" spans="1:1" ht="14.1" customHeight="1" x14ac:dyDescent="0.25">
      <c r="A67" s="263" t="s">
        <v>9266</v>
      </c>
    </row>
    <row r="68" spans="1:1" ht="14.1" customHeight="1" x14ac:dyDescent="0.25">
      <c r="A68" s="263" t="s">
        <v>9267</v>
      </c>
    </row>
    <row r="69" spans="1:1" ht="14.1" customHeight="1" x14ac:dyDescent="0.25">
      <c r="A69" s="263" t="s">
        <v>9268</v>
      </c>
    </row>
    <row r="70" spans="1:1" ht="14.1" customHeight="1" x14ac:dyDescent="0.25">
      <c r="A70" s="263" t="s">
        <v>9269</v>
      </c>
    </row>
    <row r="71" spans="1:1" ht="14.1" customHeight="1" x14ac:dyDescent="0.25">
      <c r="A71" s="263" t="s">
        <v>9270</v>
      </c>
    </row>
    <row r="72" spans="1:1" ht="14.1" customHeight="1" x14ac:dyDescent="0.25">
      <c r="A72" s="263" t="s">
        <v>9271</v>
      </c>
    </row>
    <row r="73" spans="1:1" ht="14.1" customHeight="1" x14ac:dyDescent="0.25">
      <c r="A73" s="263" t="s">
        <v>9272</v>
      </c>
    </row>
    <row r="74" spans="1:1" ht="14.1" customHeight="1" x14ac:dyDescent="0.25">
      <c r="A74" s="263" t="s">
        <v>9273</v>
      </c>
    </row>
    <row r="75" spans="1:1" ht="14.1" customHeight="1" x14ac:dyDescent="0.25">
      <c r="A75" s="263" t="s">
        <v>9274</v>
      </c>
    </row>
    <row r="76" spans="1:1" ht="14.1" customHeight="1" x14ac:dyDescent="0.25">
      <c r="A76" s="263" t="s">
        <v>9275</v>
      </c>
    </row>
    <row r="77" spans="1:1" ht="14.1" customHeight="1" x14ac:dyDescent="0.25">
      <c r="A77" s="263" t="s">
        <v>9276</v>
      </c>
    </row>
    <row r="78" spans="1:1" ht="14.1" customHeight="1" x14ac:dyDescent="0.25">
      <c r="A78" s="263" t="s">
        <v>9277</v>
      </c>
    </row>
    <row r="79" spans="1:1" ht="14.1" customHeight="1" x14ac:dyDescent="0.25">
      <c r="A79" s="263" t="s">
        <v>9278</v>
      </c>
    </row>
    <row r="80" spans="1:1" ht="14.1" customHeight="1" x14ac:dyDescent="0.25">
      <c r="A80" s="263" t="s">
        <v>9279</v>
      </c>
    </row>
    <row r="81" spans="1:1" ht="14.1" customHeight="1" x14ac:dyDescent="0.25">
      <c r="A81" s="263" t="s">
        <v>9280</v>
      </c>
    </row>
    <row r="82" spans="1:1" ht="14.1" customHeight="1" x14ac:dyDescent="0.25">
      <c r="A82" s="263" t="s">
        <v>9281</v>
      </c>
    </row>
    <row r="83" spans="1:1" ht="14.1" customHeight="1" x14ac:dyDescent="0.25">
      <c r="A83" s="263" t="s">
        <v>9282</v>
      </c>
    </row>
    <row r="84" spans="1:1" ht="14.1" customHeight="1" x14ac:dyDescent="0.25">
      <c r="A84" s="263" t="s">
        <v>9283</v>
      </c>
    </row>
    <row r="85" spans="1:1" ht="14.1" customHeight="1" x14ac:dyDescent="0.25">
      <c r="A85" s="263" t="s">
        <v>9284</v>
      </c>
    </row>
    <row r="86" spans="1:1" ht="14.1" customHeight="1" x14ac:dyDescent="0.25">
      <c r="A86" s="263" t="s">
        <v>9285</v>
      </c>
    </row>
    <row r="87" spans="1:1" ht="14.1" customHeight="1" x14ac:dyDescent="0.25">
      <c r="A87" s="263" t="s">
        <v>9286</v>
      </c>
    </row>
    <row r="88" spans="1:1" ht="14.1" customHeight="1" x14ac:dyDescent="0.25">
      <c r="A88" s="263" t="s">
        <v>9287</v>
      </c>
    </row>
    <row r="89" spans="1:1" ht="14.1" customHeight="1" x14ac:dyDescent="0.25">
      <c r="A89" s="263" t="s">
        <v>9288</v>
      </c>
    </row>
    <row r="90" spans="1:1" ht="14.1" customHeight="1" x14ac:dyDescent="0.25">
      <c r="A90" s="263" t="s">
        <v>9289</v>
      </c>
    </row>
    <row r="91" spans="1:1" ht="14.1" customHeight="1" x14ac:dyDescent="0.25">
      <c r="A91" s="263" t="s">
        <v>9290</v>
      </c>
    </row>
    <row r="92" spans="1:1" ht="14.1" customHeight="1" x14ac:dyDescent="0.25">
      <c r="A92" s="263" t="s">
        <v>9291</v>
      </c>
    </row>
    <row r="93" spans="1:1" ht="14.1" customHeight="1" x14ac:dyDescent="0.25">
      <c r="A93" s="263" t="s">
        <v>9292</v>
      </c>
    </row>
    <row r="94" spans="1:1" ht="14.1" customHeight="1" x14ac:dyDescent="0.25">
      <c r="A94" s="263" t="s">
        <v>9293</v>
      </c>
    </row>
    <row r="95" spans="1:1" ht="14.1" customHeight="1" x14ac:dyDescent="0.25">
      <c r="A95" s="263" t="s">
        <v>9294</v>
      </c>
    </row>
    <row r="96" spans="1:1" ht="14.1" customHeight="1" x14ac:dyDescent="0.25">
      <c r="A96" s="263" t="s">
        <v>9295</v>
      </c>
    </row>
    <row r="97" spans="1:1" ht="14.1" customHeight="1" x14ac:dyDescent="0.25">
      <c r="A97" s="263" t="s">
        <v>9296</v>
      </c>
    </row>
    <row r="98" spans="1:1" ht="14.1" customHeight="1" x14ac:dyDescent="0.25">
      <c r="A98" s="263" t="s">
        <v>9297</v>
      </c>
    </row>
    <row r="99" spans="1:1" ht="14.1" customHeight="1" x14ac:dyDescent="0.25">
      <c r="A99" s="263" t="s">
        <v>9298</v>
      </c>
    </row>
    <row r="100" spans="1:1" ht="14.1" customHeight="1" x14ac:dyDescent="0.25">
      <c r="A100" s="263" t="s">
        <v>9299</v>
      </c>
    </row>
    <row r="101" spans="1:1" ht="14.1" customHeight="1" x14ac:dyDescent="0.25">
      <c r="A101" s="263" t="s">
        <v>9300</v>
      </c>
    </row>
    <row r="102" spans="1:1" ht="14.1" customHeight="1" x14ac:dyDescent="0.25">
      <c r="A102" s="263" t="s">
        <v>9301</v>
      </c>
    </row>
    <row r="103" spans="1:1" ht="14.1" customHeight="1" x14ac:dyDescent="0.25">
      <c r="A103" s="263" t="s">
        <v>9302</v>
      </c>
    </row>
    <row r="104" spans="1:1" ht="14.1" customHeight="1" x14ac:dyDescent="0.25">
      <c r="A104" s="263" t="s">
        <v>9303</v>
      </c>
    </row>
    <row r="105" spans="1:1" ht="14.1" customHeight="1" x14ac:dyDescent="0.25">
      <c r="A105" s="263" t="s">
        <v>9304</v>
      </c>
    </row>
    <row r="106" spans="1:1" ht="14.1" customHeight="1" x14ac:dyDescent="0.25">
      <c r="A106" s="263" t="s">
        <v>9305</v>
      </c>
    </row>
    <row r="107" spans="1:1" ht="14.1" customHeight="1" x14ac:dyDescent="0.25">
      <c r="A107" s="263" t="s">
        <v>9306</v>
      </c>
    </row>
    <row r="108" spans="1:1" ht="14.1" customHeight="1" x14ac:dyDescent="0.25">
      <c r="A108" s="263" t="s">
        <v>9307</v>
      </c>
    </row>
    <row r="109" spans="1:1" ht="14.1" customHeight="1" x14ac:dyDescent="0.25">
      <c r="A109" s="263" t="s">
        <v>9308</v>
      </c>
    </row>
    <row r="110" spans="1:1" ht="14.1" customHeight="1" x14ac:dyDescent="0.25">
      <c r="A110" s="263" t="s">
        <v>9309</v>
      </c>
    </row>
    <row r="111" spans="1:1" ht="14.1" customHeight="1" x14ac:dyDescent="0.25">
      <c r="A111" s="263" t="s">
        <v>9310</v>
      </c>
    </row>
    <row r="112" spans="1:1" ht="14.1" customHeight="1" x14ac:dyDescent="0.25">
      <c r="A112" s="263" t="s">
        <v>9311</v>
      </c>
    </row>
    <row r="113" spans="1:1" ht="14.1" customHeight="1" x14ac:dyDescent="0.25">
      <c r="A113" s="263" t="s">
        <v>9312</v>
      </c>
    </row>
    <row r="114" spans="1:1" ht="14.1" customHeight="1" x14ac:dyDescent="0.25">
      <c r="A114" s="263" t="s">
        <v>9313</v>
      </c>
    </row>
    <row r="115" spans="1:1" ht="14.1" customHeight="1" x14ac:dyDescent="0.25">
      <c r="A115" s="263" t="s">
        <v>9314</v>
      </c>
    </row>
    <row r="116" spans="1:1" ht="14.1" customHeight="1" x14ac:dyDescent="0.25">
      <c r="A116" s="263" t="s">
        <v>9315</v>
      </c>
    </row>
    <row r="117" spans="1:1" ht="14.1" customHeight="1" x14ac:dyDescent="0.25">
      <c r="A117" s="263" t="s">
        <v>9316</v>
      </c>
    </row>
    <row r="118" spans="1:1" ht="14.1" customHeight="1" x14ac:dyDescent="0.25">
      <c r="A118" s="263" t="s">
        <v>9317</v>
      </c>
    </row>
    <row r="119" spans="1:1" ht="14.1" customHeight="1" x14ac:dyDescent="0.25">
      <c r="A119" s="263" t="s">
        <v>9318</v>
      </c>
    </row>
    <row r="120" spans="1:1" ht="14.1" customHeight="1" x14ac:dyDescent="0.25">
      <c r="A120" s="263" t="s">
        <v>9319</v>
      </c>
    </row>
    <row r="121" spans="1:1" ht="14.1" customHeight="1" x14ac:dyDescent="0.25">
      <c r="A121" s="263" t="s">
        <v>9320</v>
      </c>
    </row>
    <row r="122" spans="1:1" ht="14.1" customHeight="1" x14ac:dyDescent="0.25">
      <c r="A122" s="263" t="s">
        <v>9321</v>
      </c>
    </row>
    <row r="123" spans="1:1" ht="14.1" customHeight="1" x14ac:dyDescent="0.25">
      <c r="A123" s="263" t="s">
        <v>9322</v>
      </c>
    </row>
    <row r="124" spans="1:1" ht="14.1" customHeight="1" x14ac:dyDescent="0.25">
      <c r="A124" s="263" t="s">
        <v>9323</v>
      </c>
    </row>
    <row r="125" spans="1:1" ht="14.1" customHeight="1" x14ac:dyDescent="0.25">
      <c r="A125" s="263" t="s">
        <v>9324</v>
      </c>
    </row>
    <row r="126" spans="1:1" ht="14.1" customHeight="1" x14ac:dyDescent="0.25">
      <c r="A126" s="263" t="s">
        <v>9325</v>
      </c>
    </row>
    <row r="127" spans="1:1" ht="14.1" customHeight="1" x14ac:dyDescent="0.25">
      <c r="A127" s="263" t="s">
        <v>9326</v>
      </c>
    </row>
    <row r="128" spans="1:1" ht="14.1" customHeight="1" x14ac:dyDescent="0.25">
      <c r="A128" s="263" t="s">
        <v>9327</v>
      </c>
    </row>
    <row r="129" spans="1:1" ht="14.1" customHeight="1" x14ac:dyDescent="0.25">
      <c r="A129" s="263" t="s">
        <v>9328</v>
      </c>
    </row>
    <row r="130" spans="1:1" ht="14.1" customHeight="1" x14ac:dyDescent="0.25">
      <c r="A130" s="263" t="s">
        <v>9329</v>
      </c>
    </row>
    <row r="131" spans="1:1" ht="14.1" customHeight="1" x14ac:dyDescent="0.25">
      <c r="A131" s="263" t="s">
        <v>9330</v>
      </c>
    </row>
    <row r="132" spans="1:1" ht="14.1" customHeight="1" x14ac:dyDescent="0.25">
      <c r="A132" s="263" t="s">
        <v>9331</v>
      </c>
    </row>
    <row r="133" spans="1:1" ht="14.1" customHeight="1" x14ac:dyDescent="0.25">
      <c r="A133" s="263" t="s">
        <v>9332</v>
      </c>
    </row>
    <row r="134" spans="1:1" ht="14.1" customHeight="1" x14ac:dyDescent="0.25">
      <c r="A134" s="263" t="s">
        <v>9333</v>
      </c>
    </row>
    <row r="135" spans="1:1" ht="14.1" customHeight="1" x14ac:dyDescent="0.25">
      <c r="A135" s="263" t="s">
        <v>9334</v>
      </c>
    </row>
    <row r="136" spans="1:1" ht="14.1" customHeight="1" x14ac:dyDescent="0.25">
      <c r="A136" s="263" t="s">
        <v>9335</v>
      </c>
    </row>
    <row r="137" spans="1:1" ht="14.1" customHeight="1" x14ac:dyDescent="0.25">
      <c r="A137" s="263" t="s">
        <v>9336</v>
      </c>
    </row>
    <row r="138" spans="1:1" ht="14.1" customHeight="1" x14ac:dyDescent="0.25">
      <c r="A138" s="263" t="s">
        <v>9337</v>
      </c>
    </row>
    <row r="139" spans="1:1" ht="14.1" customHeight="1" x14ac:dyDescent="0.25">
      <c r="A139" s="263" t="s">
        <v>9338</v>
      </c>
    </row>
    <row r="140" spans="1:1" ht="14.1" customHeight="1" x14ac:dyDescent="0.25">
      <c r="A140" s="263" t="s">
        <v>9339</v>
      </c>
    </row>
    <row r="141" spans="1:1" ht="14.1" customHeight="1" x14ac:dyDescent="0.25">
      <c r="A141" s="263" t="s">
        <v>9340</v>
      </c>
    </row>
    <row r="142" spans="1:1" ht="14.1" customHeight="1" x14ac:dyDescent="0.25">
      <c r="A142" s="263" t="s">
        <v>9341</v>
      </c>
    </row>
    <row r="143" spans="1:1" ht="14.1" customHeight="1" x14ac:dyDescent="0.25">
      <c r="A143" s="263" t="s">
        <v>9342</v>
      </c>
    </row>
    <row r="144" spans="1:1" ht="14.1" customHeight="1" x14ac:dyDescent="0.25">
      <c r="A144" s="263" t="s">
        <v>9343</v>
      </c>
    </row>
    <row r="145" spans="1:1" ht="14.1" customHeight="1" x14ac:dyDescent="0.25">
      <c r="A145" s="263" t="s">
        <v>9344</v>
      </c>
    </row>
    <row r="146" spans="1:1" ht="14.1" customHeight="1" x14ac:dyDescent="0.25">
      <c r="A146" s="263" t="s">
        <v>9345</v>
      </c>
    </row>
    <row r="147" spans="1:1" ht="14.1" customHeight="1" x14ac:dyDescent="0.25">
      <c r="A147" s="263" t="s">
        <v>9346</v>
      </c>
    </row>
    <row r="148" spans="1:1" ht="14.1" customHeight="1" x14ac:dyDescent="0.25">
      <c r="A148" s="263" t="s">
        <v>9347</v>
      </c>
    </row>
    <row r="149" spans="1:1" ht="14.1" customHeight="1" x14ac:dyDescent="0.25">
      <c r="A149" s="264" t="s">
        <v>9348</v>
      </c>
    </row>
    <row r="150" spans="1:1" ht="14.1" customHeight="1" x14ac:dyDescent="0.25">
      <c r="A150" s="264" t="s">
        <v>9349</v>
      </c>
    </row>
    <row r="151" spans="1:1" ht="14.1" customHeight="1" x14ac:dyDescent="0.25">
      <c r="A151" s="264" t="s">
        <v>9350</v>
      </c>
    </row>
    <row r="152" spans="1:1" ht="14.1" customHeight="1" x14ac:dyDescent="0.25">
      <c r="A152" s="264" t="s">
        <v>9351</v>
      </c>
    </row>
    <row r="153" spans="1:1" ht="14.1" customHeight="1" x14ac:dyDescent="0.25">
      <c r="A153" s="264" t="s">
        <v>9352</v>
      </c>
    </row>
    <row r="154" spans="1:1" ht="14.1" customHeight="1" x14ac:dyDescent="0.25">
      <c r="A154" s="264" t="s">
        <v>9353</v>
      </c>
    </row>
    <row r="155" spans="1:1" ht="14.1" customHeight="1" x14ac:dyDescent="0.25">
      <c r="A155" s="264" t="s">
        <v>9354</v>
      </c>
    </row>
    <row r="156" spans="1:1" ht="14.1" customHeight="1" x14ac:dyDescent="0.25">
      <c r="A156" s="263" t="s">
        <v>9355</v>
      </c>
    </row>
  </sheetData>
  <autoFilter ref="A1:A156" xr:uid="{36C71718-1BBA-4977-A09F-2EEADA255763}"/>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83C2-BAC3-4513-83AE-D33973791955}">
  <dimension ref="A1:P1758"/>
  <sheetViews>
    <sheetView zoomScaleNormal="100" workbookViewId="0">
      <pane ySplit="1" topLeftCell="A2" activePane="bottomLeft" state="frozen"/>
      <selection pane="bottomLeft"/>
    </sheetView>
  </sheetViews>
  <sheetFormatPr defaultColWidth="8.77734375" defaultRowHeight="14.1" customHeight="1" x14ac:dyDescent="0.25"/>
  <cols>
    <col min="1" max="1" width="12.21875" style="118" bestFit="1" customWidth="1"/>
    <col min="2" max="2" width="9.77734375" style="265" bestFit="1" customWidth="1"/>
    <col min="3" max="3" width="94.77734375" style="266" bestFit="1" customWidth="1"/>
    <col min="4" max="4" width="8.77734375" style="75"/>
    <col min="5" max="5" width="8.77734375" style="229"/>
    <col min="6" max="6" width="8.77734375" style="75"/>
    <col min="7" max="7" width="8.77734375" style="229"/>
    <col min="8" max="16384" width="8.77734375" style="75"/>
  </cols>
  <sheetData>
    <row r="1" spans="1:3" ht="15" customHeight="1" thickBot="1" x14ac:dyDescent="0.3">
      <c r="A1" s="28" t="s">
        <v>9356</v>
      </c>
      <c r="B1" s="28" t="s">
        <v>1208</v>
      </c>
      <c r="C1" s="28" t="s">
        <v>9357</v>
      </c>
    </row>
    <row r="2" spans="1:3" ht="14.1" customHeight="1" x14ac:dyDescent="0.25">
      <c r="A2" s="265" t="s">
        <v>9358</v>
      </c>
      <c r="B2" s="265" t="s">
        <v>9359</v>
      </c>
      <c r="C2" s="266" t="s">
        <v>9360</v>
      </c>
    </row>
    <row r="3" spans="1:3" ht="14.1" customHeight="1" x14ac:dyDescent="0.25">
      <c r="A3" s="118" t="s">
        <v>9358</v>
      </c>
      <c r="B3" s="265" t="s">
        <v>9361</v>
      </c>
      <c r="C3" s="266" t="s">
        <v>9362</v>
      </c>
    </row>
    <row r="4" spans="1:3" ht="14.1" customHeight="1" x14ac:dyDescent="0.25">
      <c r="A4" s="118" t="s">
        <v>9358</v>
      </c>
      <c r="B4" s="265" t="s">
        <v>9363</v>
      </c>
      <c r="C4" s="266" t="s">
        <v>9364</v>
      </c>
    </row>
    <row r="5" spans="1:3" ht="14.1" customHeight="1" x14ac:dyDescent="0.25">
      <c r="A5" s="118" t="s">
        <v>9358</v>
      </c>
      <c r="B5" s="265" t="s">
        <v>9365</v>
      </c>
      <c r="C5" s="266" t="s">
        <v>9366</v>
      </c>
    </row>
    <row r="6" spans="1:3" ht="14.1" customHeight="1" x14ac:dyDescent="0.25">
      <c r="A6" s="118" t="s">
        <v>9358</v>
      </c>
      <c r="B6" s="265" t="s">
        <v>9367</v>
      </c>
      <c r="C6" s="266" t="s">
        <v>9368</v>
      </c>
    </row>
    <row r="7" spans="1:3" ht="14.1" customHeight="1" x14ac:dyDescent="0.25">
      <c r="A7" s="118" t="s">
        <v>9358</v>
      </c>
      <c r="B7" s="265" t="s">
        <v>9369</v>
      </c>
      <c r="C7" s="266" t="s">
        <v>9370</v>
      </c>
    </row>
    <row r="8" spans="1:3" ht="14.1" customHeight="1" x14ac:dyDescent="0.25">
      <c r="A8" s="118" t="s">
        <v>9358</v>
      </c>
      <c r="B8" s="265" t="s">
        <v>9371</v>
      </c>
      <c r="C8" s="266" t="s">
        <v>9372</v>
      </c>
    </row>
    <row r="9" spans="1:3" ht="14.1" customHeight="1" x14ac:dyDescent="0.25">
      <c r="A9" s="118" t="s">
        <v>9358</v>
      </c>
      <c r="B9" s="265" t="s">
        <v>9373</v>
      </c>
      <c r="C9" s="266" t="s">
        <v>9374</v>
      </c>
    </row>
    <row r="10" spans="1:3" ht="14.1" customHeight="1" x14ac:dyDescent="0.25">
      <c r="A10" s="118" t="s">
        <v>9358</v>
      </c>
      <c r="B10" s="265" t="s">
        <v>9375</v>
      </c>
      <c r="C10" s="266" t="s">
        <v>13423</v>
      </c>
    </row>
    <row r="11" spans="1:3" ht="14.1" customHeight="1" x14ac:dyDescent="0.25">
      <c r="A11" s="118" t="s">
        <v>9358</v>
      </c>
      <c r="B11" s="265" t="s">
        <v>9376</v>
      </c>
      <c r="C11" s="266" t="s">
        <v>9377</v>
      </c>
    </row>
    <row r="12" spans="1:3" ht="14.1" customHeight="1" x14ac:dyDescent="0.25">
      <c r="A12" s="118" t="s">
        <v>9358</v>
      </c>
      <c r="B12" s="265" t="s">
        <v>9378</v>
      </c>
      <c r="C12" s="266" t="s">
        <v>9379</v>
      </c>
    </row>
    <row r="13" spans="1:3" ht="14.1" customHeight="1" x14ac:dyDescent="0.25">
      <c r="A13" s="118" t="s">
        <v>9358</v>
      </c>
      <c r="B13" s="265" t="s">
        <v>9380</v>
      </c>
      <c r="C13" s="266" t="s">
        <v>9381</v>
      </c>
    </row>
    <row r="14" spans="1:3" ht="14.1" customHeight="1" x14ac:dyDescent="0.25">
      <c r="A14" s="118" t="s">
        <v>9358</v>
      </c>
      <c r="B14" s="265" t="s">
        <v>9382</v>
      </c>
      <c r="C14" s="266" t="s">
        <v>9383</v>
      </c>
    </row>
    <row r="15" spans="1:3" ht="14.1" customHeight="1" x14ac:dyDescent="0.25">
      <c r="A15" s="118" t="s">
        <v>9358</v>
      </c>
      <c r="B15" s="265" t="s">
        <v>9384</v>
      </c>
      <c r="C15" s="266" t="s">
        <v>9385</v>
      </c>
    </row>
    <row r="16" spans="1:3" ht="14.1" customHeight="1" x14ac:dyDescent="0.25">
      <c r="A16" s="118" t="s">
        <v>9358</v>
      </c>
      <c r="B16" s="265" t="s">
        <v>9386</v>
      </c>
      <c r="C16" s="266" t="s">
        <v>13424</v>
      </c>
    </row>
    <row r="17" spans="1:3" ht="14.1" customHeight="1" x14ac:dyDescent="0.25">
      <c r="A17" s="118" t="s">
        <v>9358</v>
      </c>
      <c r="B17" s="265" t="s">
        <v>9387</v>
      </c>
      <c r="C17" s="266" t="s">
        <v>9388</v>
      </c>
    </row>
    <row r="18" spans="1:3" ht="14.1" customHeight="1" x14ac:dyDescent="0.25">
      <c r="A18" s="118" t="s">
        <v>9358</v>
      </c>
      <c r="B18" s="265" t="s">
        <v>9389</v>
      </c>
      <c r="C18" s="266" t="s">
        <v>9390</v>
      </c>
    </row>
    <row r="19" spans="1:3" ht="14.1" customHeight="1" x14ac:dyDescent="0.25">
      <c r="A19" s="118" t="s">
        <v>9358</v>
      </c>
      <c r="B19" s="265" t="s">
        <v>9391</v>
      </c>
      <c r="C19" s="266" t="s">
        <v>9392</v>
      </c>
    </row>
    <row r="20" spans="1:3" ht="14.1" customHeight="1" x14ac:dyDescent="0.25">
      <c r="A20" s="118" t="s">
        <v>9358</v>
      </c>
      <c r="B20" s="265" t="s">
        <v>9393</v>
      </c>
      <c r="C20" s="266" t="s">
        <v>9394</v>
      </c>
    </row>
    <row r="21" spans="1:3" ht="14.1" customHeight="1" x14ac:dyDescent="0.25">
      <c r="A21" s="118" t="s">
        <v>9358</v>
      </c>
      <c r="B21" s="265" t="s">
        <v>9395</v>
      </c>
      <c r="C21" s="266" t="s">
        <v>9396</v>
      </c>
    </row>
    <row r="22" spans="1:3" ht="14.1" customHeight="1" x14ac:dyDescent="0.25">
      <c r="A22" s="118" t="s">
        <v>9358</v>
      </c>
      <c r="B22" s="265" t="s">
        <v>9397</v>
      </c>
      <c r="C22" s="266" t="s">
        <v>9398</v>
      </c>
    </row>
    <row r="23" spans="1:3" ht="14.1" customHeight="1" x14ac:dyDescent="0.25">
      <c r="A23" s="118" t="s">
        <v>9358</v>
      </c>
      <c r="B23" s="265" t="s">
        <v>9399</v>
      </c>
      <c r="C23" s="266" t="s">
        <v>9400</v>
      </c>
    </row>
    <row r="24" spans="1:3" ht="14.1" customHeight="1" x14ac:dyDescent="0.25">
      <c r="A24" s="118" t="s">
        <v>9358</v>
      </c>
      <c r="B24" s="265" t="s">
        <v>9401</v>
      </c>
      <c r="C24" s="266" t="s">
        <v>9402</v>
      </c>
    </row>
    <row r="25" spans="1:3" ht="14.1" customHeight="1" x14ac:dyDescent="0.25">
      <c r="A25" s="118" t="s">
        <v>9358</v>
      </c>
      <c r="B25" s="265" t="s">
        <v>9403</v>
      </c>
      <c r="C25" s="266" t="s">
        <v>9404</v>
      </c>
    </row>
    <row r="26" spans="1:3" ht="14.1" customHeight="1" x14ac:dyDescent="0.25">
      <c r="A26" s="118" t="s">
        <v>9358</v>
      </c>
      <c r="B26" s="265" t="s">
        <v>9405</v>
      </c>
      <c r="C26" s="266" t="s">
        <v>9406</v>
      </c>
    </row>
    <row r="27" spans="1:3" ht="14.1" customHeight="1" x14ac:dyDescent="0.25">
      <c r="A27" s="118" t="s">
        <v>9358</v>
      </c>
      <c r="B27" s="265" t="s">
        <v>9407</v>
      </c>
      <c r="C27" s="266" t="s">
        <v>9408</v>
      </c>
    </row>
    <row r="28" spans="1:3" ht="14.1" customHeight="1" x14ac:dyDescent="0.25">
      <c r="A28" s="265" t="s">
        <v>9358</v>
      </c>
      <c r="B28" s="265" t="s">
        <v>9409</v>
      </c>
      <c r="C28" s="266" t="s">
        <v>9410</v>
      </c>
    </row>
    <row r="29" spans="1:3" ht="14.1" customHeight="1" x14ac:dyDescent="0.25">
      <c r="A29" s="118" t="s">
        <v>9358</v>
      </c>
      <c r="B29" s="265" t="s">
        <v>9411</v>
      </c>
      <c r="C29" s="266" t="s">
        <v>9412</v>
      </c>
    </row>
    <row r="30" spans="1:3" ht="14.1" customHeight="1" x14ac:dyDescent="0.25">
      <c r="A30" s="118" t="s">
        <v>9358</v>
      </c>
      <c r="B30" s="265" t="s">
        <v>9413</v>
      </c>
      <c r="C30" s="266" t="s">
        <v>9414</v>
      </c>
    </row>
    <row r="31" spans="1:3" ht="14.1" customHeight="1" x14ac:dyDescent="0.25">
      <c r="A31" s="118" t="s">
        <v>9358</v>
      </c>
      <c r="B31" s="265" t="s">
        <v>9415</v>
      </c>
      <c r="C31" s="266" t="s">
        <v>9416</v>
      </c>
    </row>
    <row r="32" spans="1:3" ht="14.1" customHeight="1" x14ac:dyDescent="0.25">
      <c r="A32" s="118" t="s">
        <v>9358</v>
      </c>
      <c r="B32" s="265" t="s">
        <v>9417</v>
      </c>
      <c r="C32" s="266" t="s">
        <v>9418</v>
      </c>
    </row>
    <row r="33" spans="1:3" ht="14.1" customHeight="1" x14ac:dyDescent="0.25">
      <c r="A33" s="274" t="s">
        <v>9358</v>
      </c>
      <c r="B33" s="275" t="s">
        <v>13484</v>
      </c>
      <c r="C33" s="350" t="s">
        <v>13487</v>
      </c>
    </row>
    <row r="34" spans="1:3" ht="14.1" customHeight="1" x14ac:dyDescent="0.25">
      <c r="A34" s="274" t="s">
        <v>9358</v>
      </c>
      <c r="B34" s="275" t="s">
        <v>13485</v>
      </c>
      <c r="C34" s="350" t="s">
        <v>13488</v>
      </c>
    </row>
    <row r="35" spans="1:3" ht="14.1" customHeight="1" x14ac:dyDescent="0.25">
      <c r="A35" s="274" t="s">
        <v>9358</v>
      </c>
      <c r="B35" s="275" t="s">
        <v>13486</v>
      </c>
      <c r="C35" s="350" t="s">
        <v>13489</v>
      </c>
    </row>
    <row r="36" spans="1:3" ht="14.1" customHeight="1" x14ac:dyDescent="0.25">
      <c r="A36" s="118" t="s">
        <v>9358</v>
      </c>
      <c r="B36" s="265" t="s">
        <v>9419</v>
      </c>
      <c r="C36" s="266" t="s">
        <v>9420</v>
      </c>
    </row>
    <row r="37" spans="1:3" ht="14.1" customHeight="1" x14ac:dyDescent="0.25">
      <c r="A37" s="118" t="s">
        <v>9358</v>
      </c>
      <c r="B37" s="265" t="s">
        <v>9421</v>
      </c>
      <c r="C37" s="266" t="s">
        <v>9422</v>
      </c>
    </row>
    <row r="38" spans="1:3" ht="14.1" customHeight="1" x14ac:dyDescent="0.25">
      <c r="A38" s="118" t="s">
        <v>9358</v>
      </c>
      <c r="B38" s="265" t="s">
        <v>9423</v>
      </c>
      <c r="C38" s="266" t="s">
        <v>9424</v>
      </c>
    </row>
    <row r="39" spans="1:3" ht="14.1" customHeight="1" x14ac:dyDescent="0.25">
      <c r="A39" s="118" t="s">
        <v>9358</v>
      </c>
      <c r="B39" s="265" t="s">
        <v>9425</v>
      </c>
      <c r="C39" s="266" t="s">
        <v>9426</v>
      </c>
    </row>
    <row r="40" spans="1:3" ht="14.1" customHeight="1" x14ac:dyDescent="0.25">
      <c r="A40" s="118" t="s">
        <v>9358</v>
      </c>
      <c r="B40" s="265" t="s">
        <v>9427</v>
      </c>
      <c r="C40" s="266" t="s">
        <v>9428</v>
      </c>
    </row>
    <row r="41" spans="1:3" ht="14.1" customHeight="1" x14ac:dyDescent="0.25">
      <c r="A41" s="118" t="s">
        <v>9358</v>
      </c>
      <c r="B41" s="265" t="s">
        <v>9429</v>
      </c>
      <c r="C41" s="266" t="s">
        <v>9430</v>
      </c>
    </row>
    <row r="42" spans="1:3" ht="14.1" customHeight="1" x14ac:dyDescent="0.25">
      <c r="A42" s="118" t="s">
        <v>9358</v>
      </c>
      <c r="B42" s="265" t="s">
        <v>9431</v>
      </c>
      <c r="C42" s="266" t="s">
        <v>9432</v>
      </c>
    </row>
    <row r="43" spans="1:3" ht="14.1" customHeight="1" x14ac:dyDescent="0.25">
      <c r="A43" s="118" t="s">
        <v>9358</v>
      </c>
      <c r="B43" s="265" t="s">
        <v>9433</v>
      </c>
      <c r="C43" s="266" t="s">
        <v>9434</v>
      </c>
    </row>
    <row r="44" spans="1:3" ht="14.1" customHeight="1" x14ac:dyDescent="0.25">
      <c r="A44" s="118" t="s">
        <v>9358</v>
      </c>
      <c r="B44" s="265" t="s">
        <v>9435</v>
      </c>
      <c r="C44" s="266" t="s">
        <v>9436</v>
      </c>
    </row>
    <row r="45" spans="1:3" ht="14.1" customHeight="1" x14ac:dyDescent="0.25">
      <c r="A45" s="118" t="s">
        <v>9358</v>
      </c>
      <c r="B45" s="265" t="s">
        <v>9437</v>
      </c>
      <c r="C45" s="266" t="s">
        <v>9438</v>
      </c>
    </row>
    <row r="46" spans="1:3" ht="14.1" customHeight="1" x14ac:dyDescent="0.25">
      <c r="A46" s="118" t="s">
        <v>9358</v>
      </c>
      <c r="B46" s="265" t="s">
        <v>9439</v>
      </c>
      <c r="C46" s="266" t="s">
        <v>9440</v>
      </c>
    </row>
    <row r="47" spans="1:3" ht="14.1" customHeight="1" x14ac:dyDescent="0.25">
      <c r="A47" s="118" t="s">
        <v>9358</v>
      </c>
      <c r="B47" s="265" t="s">
        <v>9441</v>
      </c>
      <c r="C47" s="266" t="s">
        <v>9442</v>
      </c>
    </row>
    <row r="48" spans="1:3" ht="14.1" customHeight="1" x14ac:dyDescent="0.25">
      <c r="A48" s="118" t="s">
        <v>9358</v>
      </c>
      <c r="B48" s="265" t="s">
        <v>9443</v>
      </c>
      <c r="C48" s="266" t="s">
        <v>9444</v>
      </c>
    </row>
    <row r="49" spans="1:3" ht="14.1" customHeight="1" x14ac:dyDescent="0.25">
      <c r="A49" s="118" t="s">
        <v>9358</v>
      </c>
      <c r="B49" s="265" t="s">
        <v>9445</v>
      </c>
      <c r="C49" s="266" t="s">
        <v>9446</v>
      </c>
    </row>
    <row r="50" spans="1:3" ht="14.1" customHeight="1" x14ac:dyDescent="0.25">
      <c r="A50" s="118" t="s">
        <v>9358</v>
      </c>
      <c r="B50" s="265" t="s">
        <v>9447</v>
      </c>
      <c r="C50" s="266" t="s">
        <v>9448</v>
      </c>
    </row>
    <row r="51" spans="1:3" ht="13.95" customHeight="1" x14ac:dyDescent="0.25">
      <c r="A51" s="274" t="s">
        <v>9358</v>
      </c>
      <c r="B51" s="275" t="s">
        <v>13491</v>
      </c>
      <c r="C51" s="350" t="s">
        <v>13492</v>
      </c>
    </row>
    <row r="52" spans="1:3" ht="14.1" customHeight="1" x14ac:dyDescent="0.25">
      <c r="A52" s="373" t="s">
        <v>9358</v>
      </c>
      <c r="B52" s="361" t="s">
        <v>9449</v>
      </c>
      <c r="C52" s="362" t="s">
        <v>9450</v>
      </c>
    </row>
    <row r="53" spans="1:3" ht="14.1" customHeight="1" x14ac:dyDescent="0.25">
      <c r="A53" s="118" t="s">
        <v>9358</v>
      </c>
      <c r="B53" s="265" t="s">
        <v>9451</v>
      </c>
      <c r="C53" s="266" t="s">
        <v>9452</v>
      </c>
    </row>
    <row r="54" spans="1:3" ht="14.1" customHeight="1" x14ac:dyDescent="0.25">
      <c r="A54" s="118" t="s">
        <v>9358</v>
      </c>
      <c r="B54" s="265" t="s">
        <v>9453</v>
      </c>
      <c r="C54" s="266" t="s">
        <v>9454</v>
      </c>
    </row>
    <row r="55" spans="1:3" ht="14.1" customHeight="1" x14ac:dyDescent="0.25">
      <c r="A55" s="118" t="s">
        <v>9358</v>
      </c>
      <c r="B55" s="265" t="s">
        <v>9455</v>
      </c>
      <c r="C55" s="266" t="s">
        <v>9456</v>
      </c>
    </row>
    <row r="56" spans="1:3" ht="14.1" customHeight="1" x14ac:dyDescent="0.25">
      <c r="A56" s="118" t="s">
        <v>9358</v>
      </c>
      <c r="B56" s="265" t="s">
        <v>9457</v>
      </c>
      <c r="C56" s="266" t="s">
        <v>9458</v>
      </c>
    </row>
    <row r="57" spans="1:3" ht="14.1" customHeight="1" x14ac:dyDescent="0.25">
      <c r="A57" s="118" t="s">
        <v>9358</v>
      </c>
      <c r="B57" s="265" t="s">
        <v>9459</v>
      </c>
      <c r="C57" s="266" t="s">
        <v>9460</v>
      </c>
    </row>
    <row r="58" spans="1:3" ht="14.1" customHeight="1" x14ac:dyDescent="0.25">
      <c r="A58" s="118" t="s">
        <v>9358</v>
      </c>
      <c r="B58" s="265" t="s">
        <v>9461</v>
      </c>
      <c r="C58" s="266" t="s">
        <v>9462</v>
      </c>
    </row>
    <row r="59" spans="1:3" ht="14.1" customHeight="1" x14ac:dyDescent="0.25">
      <c r="A59" s="118" t="s">
        <v>9358</v>
      </c>
      <c r="B59" s="265" t="s">
        <v>9463</v>
      </c>
      <c r="C59" s="266" t="s">
        <v>9464</v>
      </c>
    </row>
    <row r="60" spans="1:3" ht="14.1" customHeight="1" x14ac:dyDescent="0.25">
      <c r="A60" s="118" t="s">
        <v>9358</v>
      </c>
      <c r="B60" s="265" t="s">
        <v>9465</v>
      </c>
      <c r="C60" s="266" t="s">
        <v>9466</v>
      </c>
    </row>
    <row r="61" spans="1:3" ht="14.1" customHeight="1" x14ac:dyDescent="0.25">
      <c r="A61" s="118" t="s">
        <v>9358</v>
      </c>
      <c r="B61" s="265" t="s">
        <v>9467</v>
      </c>
      <c r="C61" s="266" t="s">
        <v>9468</v>
      </c>
    </row>
    <row r="62" spans="1:3" ht="14.1" customHeight="1" x14ac:dyDescent="0.25">
      <c r="A62" s="118" t="s">
        <v>9358</v>
      </c>
      <c r="B62" s="265" t="s">
        <v>9469</v>
      </c>
      <c r="C62" s="266" t="s">
        <v>9470</v>
      </c>
    </row>
    <row r="63" spans="1:3" ht="14.1" customHeight="1" x14ac:dyDescent="0.25">
      <c r="A63" s="118" t="s">
        <v>9358</v>
      </c>
      <c r="B63" s="265" t="s">
        <v>9471</v>
      </c>
      <c r="C63" s="266" t="s">
        <v>9472</v>
      </c>
    </row>
    <row r="64" spans="1:3" ht="14.1" customHeight="1" x14ac:dyDescent="0.25">
      <c r="A64" s="118" t="s">
        <v>9358</v>
      </c>
      <c r="B64" s="265" t="s">
        <v>9473</v>
      </c>
      <c r="C64" s="266" t="s">
        <v>9474</v>
      </c>
    </row>
    <row r="65" spans="1:3" ht="14.1" customHeight="1" x14ac:dyDescent="0.25">
      <c r="A65" s="118" t="s">
        <v>9358</v>
      </c>
      <c r="B65" s="265" t="s">
        <v>9475</v>
      </c>
      <c r="C65" s="266" t="s">
        <v>9476</v>
      </c>
    </row>
    <row r="66" spans="1:3" ht="14.1" customHeight="1" x14ac:dyDescent="0.25">
      <c r="A66" s="118" t="s">
        <v>9358</v>
      </c>
      <c r="B66" s="265" t="s">
        <v>9477</v>
      </c>
      <c r="C66" s="266" t="s">
        <v>9478</v>
      </c>
    </row>
    <row r="67" spans="1:3" ht="14.1" customHeight="1" x14ac:dyDescent="0.25">
      <c r="A67" s="118" t="s">
        <v>9358</v>
      </c>
      <c r="B67" s="265" t="s">
        <v>9479</v>
      </c>
      <c r="C67" s="266" t="s">
        <v>9480</v>
      </c>
    </row>
    <row r="68" spans="1:3" ht="14.1" customHeight="1" x14ac:dyDescent="0.25">
      <c r="A68" s="118" t="s">
        <v>9358</v>
      </c>
      <c r="B68" s="265" t="s">
        <v>9481</v>
      </c>
      <c r="C68" s="266" t="s">
        <v>9482</v>
      </c>
    </row>
    <row r="69" spans="1:3" ht="14.1" customHeight="1" x14ac:dyDescent="0.25">
      <c r="A69" s="118" t="s">
        <v>9358</v>
      </c>
      <c r="B69" s="265" t="s">
        <v>9483</v>
      </c>
      <c r="C69" s="266" t="s">
        <v>9484</v>
      </c>
    </row>
    <row r="70" spans="1:3" ht="14.1" customHeight="1" x14ac:dyDescent="0.25">
      <c r="A70" s="118" t="s">
        <v>9358</v>
      </c>
      <c r="B70" s="265" t="s">
        <v>9485</v>
      </c>
      <c r="C70" s="266" t="s">
        <v>9486</v>
      </c>
    </row>
    <row r="71" spans="1:3" ht="14.1" customHeight="1" x14ac:dyDescent="0.25">
      <c r="A71" s="118" t="s">
        <v>9358</v>
      </c>
      <c r="B71" s="265" t="s">
        <v>9487</v>
      </c>
      <c r="C71" s="266" t="s">
        <v>9488</v>
      </c>
    </row>
    <row r="72" spans="1:3" ht="14.1" customHeight="1" x14ac:dyDescent="0.25">
      <c r="A72" s="118" t="s">
        <v>9358</v>
      </c>
      <c r="B72" s="265" t="s">
        <v>9489</v>
      </c>
      <c r="C72" s="266" t="s">
        <v>9490</v>
      </c>
    </row>
    <row r="73" spans="1:3" ht="14.1" customHeight="1" x14ac:dyDescent="0.25">
      <c r="A73" s="118" t="s">
        <v>9358</v>
      </c>
      <c r="B73" s="265" t="s">
        <v>9491</v>
      </c>
      <c r="C73" s="266" t="s">
        <v>9492</v>
      </c>
    </row>
    <row r="74" spans="1:3" ht="14.1" customHeight="1" x14ac:dyDescent="0.25">
      <c r="A74" s="118" t="s">
        <v>9358</v>
      </c>
      <c r="B74" s="265" t="s">
        <v>9493</v>
      </c>
      <c r="C74" s="266" t="s">
        <v>9494</v>
      </c>
    </row>
    <row r="75" spans="1:3" ht="14.1" customHeight="1" x14ac:dyDescent="0.25">
      <c r="A75" s="118" t="s">
        <v>9358</v>
      </c>
      <c r="B75" s="265" t="s">
        <v>9495</v>
      </c>
      <c r="C75" s="266" t="s">
        <v>9496</v>
      </c>
    </row>
    <row r="76" spans="1:3" ht="14.1" customHeight="1" x14ac:dyDescent="0.25">
      <c r="A76" s="118" t="s">
        <v>9358</v>
      </c>
      <c r="B76" s="265" t="s">
        <v>9497</v>
      </c>
      <c r="C76" s="266" t="s">
        <v>9498</v>
      </c>
    </row>
    <row r="77" spans="1:3" ht="14.1" customHeight="1" x14ac:dyDescent="0.25">
      <c r="A77" s="118" t="s">
        <v>9358</v>
      </c>
      <c r="B77" s="265" t="s">
        <v>9499</v>
      </c>
      <c r="C77" s="266" t="s">
        <v>9500</v>
      </c>
    </row>
    <row r="78" spans="1:3" ht="14.1" customHeight="1" x14ac:dyDescent="0.25">
      <c r="A78" s="118" t="s">
        <v>9358</v>
      </c>
      <c r="B78" s="265" t="s">
        <v>9501</v>
      </c>
      <c r="C78" s="266" t="s">
        <v>9502</v>
      </c>
    </row>
    <row r="79" spans="1:3" ht="14.1" customHeight="1" x14ac:dyDescent="0.25">
      <c r="A79" s="118" t="s">
        <v>9358</v>
      </c>
      <c r="B79" s="265" t="s">
        <v>9503</v>
      </c>
      <c r="C79" s="266" t="s">
        <v>9504</v>
      </c>
    </row>
    <row r="80" spans="1:3" ht="14.1" customHeight="1" x14ac:dyDescent="0.25">
      <c r="A80" s="118" t="s">
        <v>9358</v>
      </c>
      <c r="B80" s="265" t="s">
        <v>9505</v>
      </c>
      <c r="C80" s="266" t="s">
        <v>9506</v>
      </c>
    </row>
    <row r="81" spans="1:3" ht="14.1" customHeight="1" x14ac:dyDescent="0.25">
      <c r="A81" s="118" t="s">
        <v>9358</v>
      </c>
      <c r="B81" s="265" t="s">
        <v>9507</v>
      </c>
      <c r="C81" s="266" t="s">
        <v>9508</v>
      </c>
    </row>
    <row r="82" spans="1:3" ht="14.1" customHeight="1" x14ac:dyDescent="0.25">
      <c r="A82" s="118" t="s">
        <v>9358</v>
      </c>
      <c r="B82" s="265" t="s">
        <v>9509</v>
      </c>
      <c r="C82" s="266" t="s">
        <v>9510</v>
      </c>
    </row>
    <row r="83" spans="1:3" ht="14.1" customHeight="1" x14ac:dyDescent="0.25">
      <c r="A83" s="118" t="s">
        <v>9358</v>
      </c>
      <c r="B83" s="265" t="s">
        <v>9511</v>
      </c>
      <c r="C83" s="266" t="s">
        <v>9512</v>
      </c>
    </row>
    <row r="84" spans="1:3" ht="14.1" customHeight="1" x14ac:dyDescent="0.25">
      <c r="A84" s="118" t="s">
        <v>9358</v>
      </c>
      <c r="B84" s="265" t="s">
        <v>9513</v>
      </c>
      <c r="C84" s="266" t="s">
        <v>9514</v>
      </c>
    </row>
    <row r="85" spans="1:3" ht="14.1" customHeight="1" x14ac:dyDescent="0.25">
      <c r="A85" s="118" t="s">
        <v>9358</v>
      </c>
      <c r="B85" s="265" t="s">
        <v>9515</v>
      </c>
      <c r="C85" s="266" t="s">
        <v>9516</v>
      </c>
    </row>
    <row r="86" spans="1:3" ht="14.1" customHeight="1" x14ac:dyDescent="0.25">
      <c r="A86" s="118" t="s">
        <v>9358</v>
      </c>
      <c r="B86" s="265" t="s">
        <v>9517</v>
      </c>
      <c r="C86" s="266" t="s">
        <v>9518</v>
      </c>
    </row>
    <row r="87" spans="1:3" ht="14.1" customHeight="1" x14ac:dyDescent="0.25">
      <c r="A87" s="118" t="s">
        <v>9358</v>
      </c>
      <c r="B87" s="265" t="s">
        <v>9519</v>
      </c>
      <c r="C87" s="266" t="s">
        <v>9520</v>
      </c>
    </row>
    <row r="88" spans="1:3" ht="14.1" customHeight="1" x14ac:dyDescent="0.25">
      <c r="A88" s="118" t="s">
        <v>9358</v>
      </c>
      <c r="B88" s="265" t="s">
        <v>9521</v>
      </c>
      <c r="C88" s="266" t="s">
        <v>9522</v>
      </c>
    </row>
    <row r="89" spans="1:3" ht="14.1" customHeight="1" x14ac:dyDescent="0.25">
      <c r="A89" s="118" t="s">
        <v>9358</v>
      </c>
      <c r="B89" s="265" t="s">
        <v>9523</v>
      </c>
      <c r="C89" s="266" t="s">
        <v>9524</v>
      </c>
    </row>
    <row r="90" spans="1:3" ht="14.1" customHeight="1" x14ac:dyDescent="0.25">
      <c r="A90" s="118" t="s">
        <v>9358</v>
      </c>
      <c r="B90" s="265" t="s">
        <v>9525</v>
      </c>
      <c r="C90" s="266" t="s">
        <v>9526</v>
      </c>
    </row>
    <row r="91" spans="1:3" ht="14.1" customHeight="1" x14ac:dyDescent="0.25">
      <c r="A91" s="118" t="s">
        <v>9358</v>
      </c>
      <c r="B91" s="265" t="s">
        <v>9527</v>
      </c>
      <c r="C91" s="266" t="s">
        <v>9528</v>
      </c>
    </row>
    <row r="92" spans="1:3" ht="14.1" customHeight="1" x14ac:dyDescent="0.25">
      <c r="A92" s="118" t="s">
        <v>9358</v>
      </c>
      <c r="B92" s="265" t="s">
        <v>9529</v>
      </c>
      <c r="C92" s="266" t="s">
        <v>9530</v>
      </c>
    </row>
    <row r="93" spans="1:3" ht="14.1" customHeight="1" x14ac:dyDescent="0.25">
      <c r="A93" s="118" t="s">
        <v>9358</v>
      </c>
      <c r="B93" s="265" t="s">
        <v>9531</v>
      </c>
      <c r="C93" s="266" t="s">
        <v>9532</v>
      </c>
    </row>
    <row r="94" spans="1:3" ht="14.1" customHeight="1" x14ac:dyDescent="0.25">
      <c r="A94" s="118" t="s">
        <v>9358</v>
      </c>
      <c r="B94" s="265" t="s">
        <v>9533</v>
      </c>
      <c r="C94" s="266" t="s">
        <v>9534</v>
      </c>
    </row>
    <row r="95" spans="1:3" ht="14.1" customHeight="1" x14ac:dyDescent="0.25">
      <c r="A95" s="118" t="s">
        <v>9358</v>
      </c>
      <c r="B95" s="265" t="s">
        <v>9535</v>
      </c>
      <c r="C95" s="266" t="s">
        <v>9536</v>
      </c>
    </row>
    <row r="96" spans="1:3" ht="14.1" customHeight="1" x14ac:dyDescent="0.25">
      <c r="A96" s="118" t="s">
        <v>9358</v>
      </c>
      <c r="B96" s="265" t="s">
        <v>9537</v>
      </c>
      <c r="C96" s="266" t="s">
        <v>9538</v>
      </c>
    </row>
    <row r="97" spans="1:3" ht="14.1" customHeight="1" x14ac:dyDescent="0.25">
      <c r="A97" s="118" t="s">
        <v>9358</v>
      </c>
      <c r="B97" s="265" t="s">
        <v>9539</v>
      </c>
      <c r="C97" s="266" t="s">
        <v>9540</v>
      </c>
    </row>
    <row r="98" spans="1:3" ht="14.1" customHeight="1" x14ac:dyDescent="0.25">
      <c r="A98" s="118" t="s">
        <v>9358</v>
      </c>
      <c r="B98" s="265" t="s">
        <v>9541</v>
      </c>
      <c r="C98" s="266" t="s">
        <v>9542</v>
      </c>
    </row>
    <row r="99" spans="1:3" ht="14.1" customHeight="1" x14ac:dyDescent="0.25">
      <c r="A99" s="118" t="s">
        <v>9358</v>
      </c>
      <c r="B99" s="265" t="s">
        <v>9543</v>
      </c>
      <c r="C99" s="266" t="s">
        <v>9544</v>
      </c>
    </row>
    <row r="100" spans="1:3" ht="14.1" customHeight="1" x14ac:dyDescent="0.25">
      <c r="A100" s="118" t="s">
        <v>9358</v>
      </c>
      <c r="B100" s="265" t="s">
        <v>9545</v>
      </c>
      <c r="C100" s="266" t="s">
        <v>9546</v>
      </c>
    </row>
    <row r="101" spans="1:3" ht="14.1" customHeight="1" x14ac:dyDescent="0.25">
      <c r="A101" s="118" t="s">
        <v>9358</v>
      </c>
      <c r="B101" s="265" t="s">
        <v>9547</v>
      </c>
      <c r="C101" s="266" t="s">
        <v>9548</v>
      </c>
    </row>
    <row r="102" spans="1:3" ht="14.1" customHeight="1" x14ac:dyDescent="0.25">
      <c r="A102" s="118" t="s">
        <v>9358</v>
      </c>
      <c r="B102" s="265" t="s">
        <v>9549</v>
      </c>
      <c r="C102" s="266" t="s">
        <v>9550</v>
      </c>
    </row>
    <row r="103" spans="1:3" ht="14.1" customHeight="1" x14ac:dyDescent="0.25">
      <c r="A103" s="118" t="s">
        <v>9358</v>
      </c>
      <c r="B103" s="265" t="s">
        <v>9551</v>
      </c>
      <c r="C103" s="266" t="s">
        <v>9552</v>
      </c>
    </row>
    <row r="104" spans="1:3" ht="14.1" customHeight="1" x14ac:dyDescent="0.25">
      <c r="A104" s="118" t="s">
        <v>9358</v>
      </c>
      <c r="B104" s="265" t="s">
        <v>9553</v>
      </c>
      <c r="C104" s="266" t="s">
        <v>9554</v>
      </c>
    </row>
    <row r="105" spans="1:3" ht="14.1" customHeight="1" x14ac:dyDescent="0.25">
      <c r="A105" s="118" t="s">
        <v>9358</v>
      </c>
      <c r="B105" s="265" t="s">
        <v>9555</v>
      </c>
      <c r="C105" s="266" t="s">
        <v>9556</v>
      </c>
    </row>
    <row r="106" spans="1:3" ht="14.1" customHeight="1" x14ac:dyDescent="0.25">
      <c r="A106" s="118" t="s">
        <v>9358</v>
      </c>
      <c r="B106" s="265" t="s">
        <v>9557</v>
      </c>
      <c r="C106" s="266" t="s">
        <v>9558</v>
      </c>
    </row>
    <row r="107" spans="1:3" ht="14.1" customHeight="1" x14ac:dyDescent="0.25">
      <c r="A107" s="118" t="s">
        <v>9358</v>
      </c>
      <c r="B107" s="265" t="s">
        <v>9559</v>
      </c>
      <c r="C107" s="266" t="s">
        <v>9560</v>
      </c>
    </row>
    <row r="108" spans="1:3" ht="14.1" customHeight="1" x14ac:dyDescent="0.25">
      <c r="A108" s="118" t="s">
        <v>9358</v>
      </c>
      <c r="B108" s="265" t="s">
        <v>9561</v>
      </c>
      <c r="C108" s="266" t="s">
        <v>9562</v>
      </c>
    </row>
    <row r="109" spans="1:3" ht="14.1" customHeight="1" x14ac:dyDescent="0.25">
      <c r="A109" s="118" t="s">
        <v>9358</v>
      </c>
      <c r="B109" s="265" t="s">
        <v>9563</v>
      </c>
      <c r="C109" s="266" t="s">
        <v>9564</v>
      </c>
    </row>
    <row r="110" spans="1:3" ht="14.1" customHeight="1" x14ac:dyDescent="0.25">
      <c r="A110" s="118" t="s">
        <v>9358</v>
      </c>
      <c r="B110" s="265" t="s">
        <v>9565</v>
      </c>
      <c r="C110" s="266" t="s">
        <v>9566</v>
      </c>
    </row>
    <row r="111" spans="1:3" ht="14.1" customHeight="1" x14ac:dyDescent="0.25">
      <c r="A111" s="118" t="s">
        <v>9358</v>
      </c>
      <c r="B111" s="265" t="s">
        <v>9567</v>
      </c>
      <c r="C111" s="266" t="s">
        <v>9568</v>
      </c>
    </row>
    <row r="112" spans="1:3" ht="14.1" customHeight="1" x14ac:dyDescent="0.25">
      <c r="A112" s="118" t="s">
        <v>9358</v>
      </c>
      <c r="B112" s="265" t="s">
        <v>9569</v>
      </c>
      <c r="C112" s="266" t="s">
        <v>9570</v>
      </c>
    </row>
    <row r="113" spans="1:3" ht="14.1" customHeight="1" x14ac:dyDescent="0.25">
      <c r="A113" s="118" t="s">
        <v>9358</v>
      </c>
      <c r="B113" s="265" t="s">
        <v>9571</v>
      </c>
      <c r="C113" s="266" t="s">
        <v>13425</v>
      </c>
    </row>
    <row r="114" spans="1:3" ht="14.1" customHeight="1" x14ac:dyDescent="0.25">
      <c r="A114" s="118" t="s">
        <v>9358</v>
      </c>
      <c r="B114" s="265" t="s">
        <v>9572</v>
      </c>
      <c r="C114" s="266" t="s">
        <v>9573</v>
      </c>
    </row>
    <row r="115" spans="1:3" ht="14.1" customHeight="1" x14ac:dyDescent="0.25">
      <c r="A115" s="118" t="s">
        <v>9358</v>
      </c>
      <c r="B115" s="265" t="s">
        <v>9574</v>
      </c>
      <c r="C115" s="266" t="s">
        <v>9575</v>
      </c>
    </row>
    <row r="116" spans="1:3" ht="14.1" customHeight="1" x14ac:dyDescent="0.25">
      <c r="A116" s="118" t="s">
        <v>9358</v>
      </c>
      <c r="B116" s="265" t="s">
        <v>9576</v>
      </c>
      <c r="C116" s="266" t="s">
        <v>9577</v>
      </c>
    </row>
    <row r="117" spans="1:3" ht="14.1" customHeight="1" x14ac:dyDescent="0.25">
      <c r="A117" s="118" t="s">
        <v>9358</v>
      </c>
      <c r="B117" s="265" t="s">
        <v>9578</v>
      </c>
      <c r="C117" s="266" t="s">
        <v>9579</v>
      </c>
    </row>
    <row r="118" spans="1:3" ht="14.1" customHeight="1" x14ac:dyDescent="0.25">
      <c r="A118" s="118" t="s">
        <v>9358</v>
      </c>
      <c r="B118" s="265" t="s">
        <v>9580</v>
      </c>
      <c r="C118" s="266" t="s">
        <v>9581</v>
      </c>
    </row>
    <row r="119" spans="1:3" ht="14.1" customHeight="1" x14ac:dyDescent="0.25">
      <c r="A119" s="118" t="s">
        <v>9358</v>
      </c>
      <c r="B119" s="265" t="s">
        <v>9582</v>
      </c>
      <c r="C119" s="266" t="s">
        <v>13426</v>
      </c>
    </row>
    <row r="120" spans="1:3" ht="14.1" customHeight="1" x14ac:dyDescent="0.25">
      <c r="A120" s="118" t="s">
        <v>9358</v>
      </c>
      <c r="B120" s="265" t="s">
        <v>9583</v>
      </c>
      <c r="C120" s="266" t="s">
        <v>13427</v>
      </c>
    </row>
    <row r="121" spans="1:3" ht="14.1" customHeight="1" x14ac:dyDescent="0.25">
      <c r="A121" s="265" t="s">
        <v>9358</v>
      </c>
      <c r="B121" s="265" t="s">
        <v>9584</v>
      </c>
      <c r="C121" s="266" t="s">
        <v>13428</v>
      </c>
    </row>
    <row r="122" spans="1:3" ht="14.1" customHeight="1" x14ac:dyDescent="0.25">
      <c r="A122" s="118" t="s">
        <v>9358</v>
      </c>
      <c r="B122" s="265" t="s">
        <v>9585</v>
      </c>
      <c r="C122" s="266" t="s">
        <v>1409</v>
      </c>
    </row>
    <row r="123" spans="1:3" ht="14.1" customHeight="1" x14ac:dyDescent="0.25">
      <c r="A123" s="118" t="s">
        <v>9358</v>
      </c>
      <c r="B123" s="265" t="s">
        <v>9586</v>
      </c>
      <c r="C123" s="266" t="s">
        <v>6548</v>
      </c>
    </row>
    <row r="124" spans="1:3" ht="14.1" customHeight="1" x14ac:dyDescent="0.25">
      <c r="A124" s="118" t="s">
        <v>9358</v>
      </c>
      <c r="B124" s="265" t="s">
        <v>9587</v>
      </c>
      <c r="C124" s="266" t="s">
        <v>6550</v>
      </c>
    </row>
    <row r="125" spans="1:3" ht="14.1" customHeight="1" x14ac:dyDescent="0.25">
      <c r="A125" s="118" t="s">
        <v>9358</v>
      </c>
      <c r="B125" s="265" t="s">
        <v>9588</v>
      </c>
      <c r="C125" s="266" t="s">
        <v>6552</v>
      </c>
    </row>
    <row r="126" spans="1:3" ht="14.1" customHeight="1" x14ac:dyDescent="0.25">
      <c r="A126" s="118" t="s">
        <v>9358</v>
      </c>
      <c r="B126" s="265" t="s">
        <v>9589</v>
      </c>
      <c r="C126" s="266" t="s">
        <v>6554</v>
      </c>
    </row>
    <row r="127" spans="1:3" ht="14.1" customHeight="1" x14ac:dyDescent="0.25">
      <c r="A127" s="118" t="s">
        <v>9358</v>
      </c>
      <c r="B127" s="265" t="s">
        <v>9590</v>
      </c>
      <c r="C127" s="266" t="s">
        <v>6556</v>
      </c>
    </row>
    <row r="128" spans="1:3" ht="14.1" customHeight="1" x14ac:dyDescent="0.25">
      <c r="A128" s="118" t="s">
        <v>9358</v>
      </c>
      <c r="B128" s="265" t="s">
        <v>9591</v>
      </c>
      <c r="C128" s="266" t="s">
        <v>6558</v>
      </c>
    </row>
    <row r="129" spans="1:3" ht="14.1" customHeight="1" x14ac:dyDescent="0.25">
      <c r="A129" s="118" t="s">
        <v>9358</v>
      </c>
      <c r="B129" s="265" t="s">
        <v>9592</v>
      </c>
      <c r="C129" s="266" t="s">
        <v>9593</v>
      </c>
    </row>
    <row r="130" spans="1:3" ht="14.1" customHeight="1" x14ac:dyDescent="0.25">
      <c r="A130" s="118" t="s">
        <v>9358</v>
      </c>
      <c r="B130" s="265" t="s">
        <v>9594</v>
      </c>
      <c r="C130" s="266" t="s">
        <v>9595</v>
      </c>
    </row>
    <row r="131" spans="1:3" ht="14.1" customHeight="1" x14ac:dyDescent="0.25">
      <c r="A131" s="118" t="s">
        <v>9358</v>
      </c>
      <c r="B131" s="265" t="s">
        <v>9596</v>
      </c>
      <c r="C131" s="266" t="s">
        <v>9597</v>
      </c>
    </row>
    <row r="132" spans="1:3" ht="14.1" customHeight="1" x14ac:dyDescent="0.25">
      <c r="A132" s="118" t="s">
        <v>9358</v>
      </c>
      <c r="B132" s="265" t="s">
        <v>9598</v>
      </c>
      <c r="C132" s="266" t="s">
        <v>9599</v>
      </c>
    </row>
    <row r="133" spans="1:3" ht="14.1" customHeight="1" x14ac:dyDescent="0.25">
      <c r="A133" s="118" t="s">
        <v>9358</v>
      </c>
      <c r="B133" s="265" t="s">
        <v>9600</v>
      </c>
      <c r="C133" s="266" t="s">
        <v>9601</v>
      </c>
    </row>
    <row r="134" spans="1:3" ht="14.1" customHeight="1" x14ac:dyDescent="0.25">
      <c r="A134" s="118" t="s">
        <v>9358</v>
      </c>
      <c r="B134" s="265" t="s">
        <v>9602</v>
      </c>
      <c r="C134" s="266" t="s">
        <v>9603</v>
      </c>
    </row>
    <row r="135" spans="1:3" ht="14.1" customHeight="1" x14ac:dyDescent="0.25">
      <c r="A135" s="118" t="s">
        <v>9358</v>
      </c>
      <c r="B135" s="265" t="s">
        <v>9604</v>
      </c>
      <c r="C135" s="266" t="s">
        <v>9605</v>
      </c>
    </row>
    <row r="136" spans="1:3" ht="14.1" customHeight="1" x14ac:dyDescent="0.25">
      <c r="A136" s="118" t="s">
        <v>9358</v>
      </c>
      <c r="B136" s="265" t="s">
        <v>9606</v>
      </c>
      <c r="C136" s="266" t="s">
        <v>9607</v>
      </c>
    </row>
    <row r="137" spans="1:3" ht="14.1" customHeight="1" x14ac:dyDescent="0.25">
      <c r="A137" s="118" t="s">
        <v>9358</v>
      </c>
      <c r="B137" s="265" t="s">
        <v>9608</v>
      </c>
      <c r="C137" s="266" t="s">
        <v>9609</v>
      </c>
    </row>
    <row r="138" spans="1:3" ht="14.1" customHeight="1" x14ac:dyDescent="0.25">
      <c r="A138" s="118" t="s">
        <v>9358</v>
      </c>
      <c r="B138" s="265" t="s">
        <v>9610</v>
      </c>
      <c r="C138" s="266" t="s">
        <v>9611</v>
      </c>
    </row>
    <row r="139" spans="1:3" ht="14.1" customHeight="1" x14ac:dyDescent="0.25">
      <c r="A139" s="118" t="s">
        <v>9358</v>
      </c>
      <c r="B139" s="265" t="s">
        <v>9612</v>
      </c>
      <c r="C139" s="266" t="s">
        <v>9613</v>
      </c>
    </row>
    <row r="140" spans="1:3" ht="14.1" customHeight="1" x14ac:dyDescent="0.25">
      <c r="A140" s="118" t="s">
        <v>9358</v>
      </c>
      <c r="B140" s="265" t="s">
        <v>9614</v>
      </c>
      <c r="C140" s="266" t="s">
        <v>9615</v>
      </c>
    </row>
    <row r="141" spans="1:3" ht="14.1" customHeight="1" x14ac:dyDescent="0.25">
      <c r="A141" s="118" t="s">
        <v>9358</v>
      </c>
      <c r="B141" s="265" t="s">
        <v>9616</v>
      </c>
      <c r="C141" s="266" t="s">
        <v>9617</v>
      </c>
    </row>
    <row r="142" spans="1:3" ht="14.1" customHeight="1" x14ac:dyDescent="0.25">
      <c r="A142" s="118" t="s">
        <v>9358</v>
      </c>
      <c r="B142" s="265" t="s">
        <v>9618</v>
      </c>
      <c r="C142" s="266" t="s">
        <v>9619</v>
      </c>
    </row>
    <row r="143" spans="1:3" ht="14.1" customHeight="1" x14ac:dyDescent="0.25">
      <c r="A143" s="118" t="s">
        <v>9358</v>
      </c>
      <c r="B143" s="265" t="s">
        <v>9620</v>
      </c>
      <c r="C143" s="266" t="s">
        <v>9621</v>
      </c>
    </row>
    <row r="144" spans="1:3" ht="14.1" customHeight="1" x14ac:dyDescent="0.25">
      <c r="A144" s="118" t="s">
        <v>9358</v>
      </c>
      <c r="B144" s="265" t="s">
        <v>9622</v>
      </c>
      <c r="C144" s="266" t="s">
        <v>9623</v>
      </c>
    </row>
    <row r="145" spans="1:3" ht="14.1" customHeight="1" x14ac:dyDescent="0.25">
      <c r="A145" s="118" t="s">
        <v>9358</v>
      </c>
      <c r="B145" s="265" t="s">
        <v>9624</v>
      </c>
      <c r="C145" s="266" t="s">
        <v>9625</v>
      </c>
    </row>
    <row r="146" spans="1:3" ht="14.1" customHeight="1" x14ac:dyDescent="0.25">
      <c r="A146" s="118" t="s">
        <v>9358</v>
      </c>
      <c r="B146" s="265" t="s">
        <v>9626</v>
      </c>
      <c r="C146" s="266" t="s">
        <v>9627</v>
      </c>
    </row>
    <row r="147" spans="1:3" ht="14.1" customHeight="1" x14ac:dyDescent="0.25">
      <c r="A147" s="118" t="s">
        <v>9358</v>
      </c>
      <c r="B147" s="265" t="s">
        <v>9628</v>
      </c>
      <c r="C147" s="266" t="s">
        <v>9629</v>
      </c>
    </row>
    <row r="148" spans="1:3" ht="14.1" customHeight="1" x14ac:dyDescent="0.25">
      <c r="A148" s="118" t="s">
        <v>9358</v>
      </c>
      <c r="B148" s="265" t="s">
        <v>9630</v>
      </c>
      <c r="C148" s="266" t="s">
        <v>9631</v>
      </c>
    </row>
    <row r="149" spans="1:3" ht="14.1" customHeight="1" x14ac:dyDescent="0.25">
      <c r="A149" s="118" t="s">
        <v>9358</v>
      </c>
      <c r="B149" s="265" t="s">
        <v>9632</v>
      </c>
      <c r="C149" s="266" t="s">
        <v>9633</v>
      </c>
    </row>
    <row r="150" spans="1:3" ht="14.1" customHeight="1" x14ac:dyDescent="0.25">
      <c r="A150" s="118" t="s">
        <v>9358</v>
      </c>
      <c r="B150" s="265" t="s">
        <v>9634</v>
      </c>
      <c r="C150" s="266" t="s">
        <v>9635</v>
      </c>
    </row>
    <row r="151" spans="1:3" ht="14.1" customHeight="1" x14ac:dyDescent="0.25">
      <c r="A151" s="118" t="s">
        <v>9358</v>
      </c>
      <c r="B151" s="265" t="s">
        <v>9636</v>
      </c>
      <c r="C151" s="266" t="s">
        <v>9637</v>
      </c>
    </row>
    <row r="152" spans="1:3" ht="14.1" customHeight="1" x14ac:dyDescent="0.25">
      <c r="A152" s="118" t="s">
        <v>9358</v>
      </c>
      <c r="B152" s="265" t="s">
        <v>9638</v>
      </c>
      <c r="C152" s="266" t="s">
        <v>9639</v>
      </c>
    </row>
    <row r="153" spans="1:3" ht="14.1" customHeight="1" x14ac:dyDescent="0.25">
      <c r="A153" s="118" t="s">
        <v>9358</v>
      </c>
      <c r="B153" s="265" t="s">
        <v>9640</v>
      </c>
      <c r="C153" s="266" t="s">
        <v>9641</v>
      </c>
    </row>
    <row r="154" spans="1:3" ht="14.1" customHeight="1" x14ac:dyDescent="0.25">
      <c r="A154" s="118" t="s">
        <v>9358</v>
      </c>
      <c r="B154" s="265" t="s">
        <v>9642</v>
      </c>
      <c r="C154" s="266" t="s">
        <v>9643</v>
      </c>
    </row>
    <row r="155" spans="1:3" ht="14.1" customHeight="1" x14ac:dyDescent="0.25">
      <c r="A155" s="118" t="s">
        <v>9358</v>
      </c>
      <c r="B155" s="265" t="s">
        <v>9644</v>
      </c>
      <c r="C155" s="266" t="s">
        <v>9645</v>
      </c>
    </row>
    <row r="156" spans="1:3" ht="14.1" customHeight="1" x14ac:dyDescent="0.25">
      <c r="A156" s="118" t="s">
        <v>9358</v>
      </c>
      <c r="B156" s="265" t="s">
        <v>9646</v>
      </c>
      <c r="C156" s="266" t="s">
        <v>9647</v>
      </c>
    </row>
    <row r="157" spans="1:3" ht="14.1" customHeight="1" x14ac:dyDescent="0.25">
      <c r="A157" s="118" t="s">
        <v>9358</v>
      </c>
      <c r="B157" s="265" t="s">
        <v>9648</v>
      </c>
      <c r="C157" s="266" t="s">
        <v>13429</v>
      </c>
    </row>
    <row r="158" spans="1:3" ht="14.1" customHeight="1" x14ac:dyDescent="0.25">
      <c r="A158" s="118" t="s">
        <v>9358</v>
      </c>
      <c r="B158" s="265" t="s">
        <v>9649</v>
      </c>
      <c r="C158" s="266" t="s">
        <v>9650</v>
      </c>
    </row>
    <row r="159" spans="1:3" ht="14.1" customHeight="1" x14ac:dyDescent="0.25">
      <c r="A159" s="369" t="s">
        <v>9358</v>
      </c>
      <c r="B159" s="265" t="s">
        <v>9651</v>
      </c>
      <c r="C159" s="287" t="s">
        <v>10839</v>
      </c>
    </row>
    <row r="160" spans="1:3" ht="14.1" customHeight="1" x14ac:dyDescent="0.25">
      <c r="A160" s="118" t="s">
        <v>9358</v>
      </c>
      <c r="B160" s="265" t="s">
        <v>9653</v>
      </c>
      <c r="C160" s="266" t="s">
        <v>8884</v>
      </c>
    </row>
    <row r="161" spans="1:3" ht="14.1" customHeight="1" x14ac:dyDescent="0.25">
      <c r="A161" s="118" t="s">
        <v>9358</v>
      </c>
      <c r="B161" s="265" t="s">
        <v>9654</v>
      </c>
      <c r="C161" s="266" t="s">
        <v>9655</v>
      </c>
    </row>
    <row r="162" spans="1:3" ht="14.1" customHeight="1" x14ac:dyDescent="0.25">
      <c r="A162" s="118" t="s">
        <v>9358</v>
      </c>
      <c r="B162" s="265" t="s">
        <v>9656</v>
      </c>
      <c r="C162" s="266" t="s">
        <v>9657</v>
      </c>
    </row>
    <row r="163" spans="1:3" ht="14.1" customHeight="1" x14ac:dyDescent="0.25">
      <c r="A163" s="118" t="s">
        <v>9358</v>
      </c>
      <c r="B163" s="265" t="s">
        <v>9658</v>
      </c>
      <c r="C163" s="266" t="s">
        <v>8882</v>
      </c>
    </row>
    <row r="164" spans="1:3" ht="14.1" customHeight="1" x14ac:dyDescent="0.25">
      <c r="A164" s="373" t="s">
        <v>9358</v>
      </c>
      <c r="B164" s="361" t="s">
        <v>9659</v>
      </c>
      <c r="C164" s="362" t="s">
        <v>13496</v>
      </c>
    </row>
    <row r="165" spans="1:3" ht="14.1" customHeight="1" x14ac:dyDescent="0.25">
      <c r="A165" s="118" t="s">
        <v>9358</v>
      </c>
      <c r="B165" s="265" t="s">
        <v>9660</v>
      </c>
      <c r="C165" s="266" t="s">
        <v>9661</v>
      </c>
    </row>
    <row r="166" spans="1:3" ht="14.1" customHeight="1" x14ac:dyDescent="0.25">
      <c r="A166" s="118" t="s">
        <v>9358</v>
      </c>
      <c r="B166" s="265" t="s">
        <v>9662</v>
      </c>
      <c r="C166" s="266" t="s">
        <v>9663</v>
      </c>
    </row>
    <row r="167" spans="1:3" ht="14.1" customHeight="1" x14ac:dyDescent="0.25">
      <c r="A167" s="118" t="s">
        <v>9358</v>
      </c>
      <c r="B167" s="265" t="s">
        <v>9664</v>
      </c>
      <c r="C167" s="266" t="s">
        <v>13431</v>
      </c>
    </row>
    <row r="168" spans="1:3" ht="14.1" customHeight="1" x14ac:dyDescent="0.25">
      <c r="A168" s="118" t="s">
        <v>9358</v>
      </c>
      <c r="B168" s="265" t="s">
        <v>9665</v>
      </c>
      <c r="C168" s="266" t="s">
        <v>9666</v>
      </c>
    </row>
    <row r="169" spans="1:3" ht="14.1" customHeight="1" x14ac:dyDescent="0.25">
      <c r="A169" s="118" t="s">
        <v>9358</v>
      </c>
      <c r="B169" s="265" t="s">
        <v>9667</v>
      </c>
      <c r="C169" s="266" t="s">
        <v>8892</v>
      </c>
    </row>
    <row r="170" spans="1:3" ht="14.1" customHeight="1" x14ac:dyDescent="0.25">
      <c r="A170" s="118" t="s">
        <v>9358</v>
      </c>
      <c r="B170" s="265" t="s">
        <v>9668</v>
      </c>
      <c r="C170" s="266" t="s">
        <v>9669</v>
      </c>
    </row>
    <row r="171" spans="1:3" ht="14.1" customHeight="1" x14ac:dyDescent="0.25">
      <c r="A171" s="118" t="s">
        <v>9358</v>
      </c>
      <c r="B171" s="265" t="s">
        <v>9670</v>
      </c>
      <c r="C171" s="266" t="s">
        <v>9671</v>
      </c>
    </row>
    <row r="172" spans="1:3" ht="14.1" customHeight="1" x14ac:dyDescent="0.25">
      <c r="A172" s="118" t="s">
        <v>9358</v>
      </c>
      <c r="B172" s="265" t="s">
        <v>9672</v>
      </c>
      <c r="C172" s="266" t="s">
        <v>8868</v>
      </c>
    </row>
    <row r="173" spans="1:3" ht="14.1" customHeight="1" x14ac:dyDescent="0.25">
      <c r="A173" s="118" t="s">
        <v>9358</v>
      </c>
      <c r="B173" s="265" t="s">
        <v>9673</v>
      </c>
      <c r="C173" s="266" t="s">
        <v>8813</v>
      </c>
    </row>
    <row r="174" spans="1:3" ht="14.1" customHeight="1" x14ac:dyDescent="0.25">
      <c r="A174" s="118" t="s">
        <v>9358</v>
      </c>
      <c r="B174" s="265" t="s">
        <v>9674</v>
      </c>
      <c r="C174" s="266" t="s">
        <v>13432</v>
      </c>
    </row>
    <row r="175" spans="1:3" ht="14.1" customHeight="1" x14ac:dyDescent="0.25">
      <c r="A175" s="118" t="s">
        <v>9358</v>
      </c>
      <c r="B175" s="265" t="s">
        <v>9675</v>
      </c>
      <c r="C175" s="266" t="s">
        <v>9676</v>
      </c>
    </row>
    <row r="176" spans="1:3" ht="14.1" customHeight="1" x14ac:dyDescent="0.25">
      <c r="A176" s="118" t="s">
        <v>9358</v>
      </c>
      <c r="B176" s="265" t="s">
        <v>9677</v>
      </c>
      <c r="C176" s="266" t="s">
        <v>13433</v>
      </c>
    </row>
    <row r="177" spans="1:7" ht="14.1" customHeight="1" x14ac:dyDescent="0.25">
      <c r="A177" s="118" t="s">
        <v>9358</v>
      </c>
      <c r="B177" s="265" t="s">
        <v>9678</v>
      </c>
      <c r="C177" s="266" t="s">
        <v>9679</v>
      </c>
    </row>
    <row r="178" spans="1:7" ht="14.1" customHeight="1" x14ac:dyDescent="0.25">
      <c r="A178" s="118" t="s">
        <v>9358</v>
      </c>
      <c r="B178" s="265" t="s">
        <v>9680</v>
      </c>
      <c r="C178" s="266" t="s">
        <v>9681</v>
      </c>
    </row>
    <row r="179" spans="1:7" ht="14.1" customHeight="1" x14ac:dyDescent="0.25">
      <c r="A179" s="118" t="s">
        <v>9358</v>
      </c>
      <c r="B179" s="265" t="s">
        <v>9682</v>
      </c>
      <c r="C179" s="266" t="s">
        <v>9683</v>
      </c>
    </row>
    <row r="180" spans="1:7" ht="14.1" customHeight="1" x14ac:dyDescent="0.25">
      <c r="A180" s="118" t="s">
        <v>9358</v>
      </c>
      <c r="B180" s="265" t="s">
        <v>9684</v>
      </c>
      <c r="C180" s="266" t="s">
        <v>9685</v>
      </c>
    </row>
    <row r="181" spans="1:7" ht="14.1" customHeight="1" x14ac:dyDescent="0.25">
      <c r="A181" s="118" t="s">
        <v>9358</v>
      </c>
      <c r="B181" s="265" t="s">
        <v>9686</v>
      </c>
      <c r="C181" s="266" t="s">
        <v>9687</v>
      </c>
    </row>
    <row r="182" spans="1:7" ht="14.1" customHeight="1" x14ac:dyDescent="0.25">
      <c r="A182" s="265" t="s">
        <v>9358</v>
      </c>
      <c r="B182" s="265" t="s">
        <v>9688</v>
      </c>
      <c r="C182" s="127" t="s">
        <v>9689</v>
      </c>
    </row>
    <row r="183" spans="1:7" s="11" customFormat="1" ht="14.1" customHeight="1" x14ac:dyDescent="0.25">
      <c r="A183" s="265" t="s">
        <v>9358</v>
      </c>
      <c r="B183" s="265" t="s">
        <v>9690</v>
      </c>
      <c r="C183" s="127" t="s">
        <v>9691</v>
      </c>
      <c r="E183" s="267"/>
      <c r="G183" s="267"/>
    </row>
    <row r="184" spans="1:7" s="11" customFormat="1" ht="14.1" customHeight="1" x14ac:dyDescent="0.25">
      <c r="A184" s="118" t="s">
        <v>9358</v>
      </c>
      <c r="B184" s="265" t="s">
        <v>9692</v>
      </c>
      <c r="C184" s="266" t="s">
        <v>9693</v>
      </c>
      <c r="E184" s="267"/>
      <c r="G184" s="267"/>
    </row>
    <row r="185" spans="1:7" s="11" customFormat="1" ht="14.1" customHeight="1" x14ac:dyDescent="0.25">
      <c r="A185" s="7" t="s">
        <v>9358</v>
      </c>
      <c r="B185" s="268" t="s">
        <v>9694</v>
      </c>
      <c r="C185" s="269" t="s">
        <v>9695</v>
      </c>
      <c r="E185" s="7"/>
      <c r="G185" s="7"/>
    </row>
    <row r="186" spans="1:7" s="11" customFormat="1" ht="14.1" customHeight="1" x14ac:dyDescent="0.25">
      <c r="A186" s="7" t="s">
        <v>9358</v>
      </c>
      <c r="B186" s="268" t="s">
        <v>9696</v>
      </c>
      <c r="C186" s="269" t="s">
        <v>9697</v>
      </c>
      <c r="E186" s="7"/>
      <c r="F186" s="7"/>
      <c r="G186" s="7"/>
    </row>
    <row r="187" spans="1:7" s="11" customFormat="1" ht="14.1" customHeight="1" x14ac:dyDescent="0.25">
      <c r="A187" s="7" t="s">
        <v>9358</v>
      </c>
      <c r="B187" s="268" t="s">
        <v>9698</v>
      </c>
      <c r="C187" s="269" t="s">
        <v>9699</v>
      </c>
      <c r="E187" s="7"/>
      <c r="F187" s="7"/>
      <c r="G187" s="7"/>
    </row>
    <row r="188" spans="1:7" s="11" customFormat="1" ht="14.1" customHeight="1" x14ac:dyDescent="0.25">
      <c r="A188" s="7" t="s">
        <v>9358</v>
      </c>
      <c r="B188" s="268" t="s">
        <v>9700</v>
      </c>
      <c r="C188" s="269" t="s">
        <v>9701</v>
      </c>
      <c r="E188" s="7"/>
      <c r="F188" s="7"/>
      <c r="G188" s="7"/>
    </row>
    <row r="189" spans="1:7" s="11" customFormat="1" ht="14.1" customHeight="1" x14ac:dyDescent="0.25">
      <c r="A189" s="7" t="s">
        <v>9358</v>
      </c>
      <c r="B189" s="268" t="s">
        <v>9702</v>
      </c>
      <c r="C189" s="269" t="s">
        <v>9703</v>
      </c>
      <c r="E189" s="7"/>
      <c r="F189" s="7"/>
      <c r="G189" s="7"/>
    </row>
    <row r="190" spans="1:7" s="11" customFormat="1" ht="14.1" customHeight="1" x14ac:dyDescent="0.25">
      <c r="A190" s="7" t="s">
        <v>9358</v>
      </c>
      <c r="B190" s="268" t="s">
        <v>9704</v>
      </c>
      <c r="C190" s="269" t="s">
        <v>9705</v>
      </c>
      <c r="E190" s="7"/>
      <c r="F190" s="7"/>
      <c r="G190" s="7"/>
    </row>
    <row r="191" spans="1:7" s="11" customFormat="1" ht="14.1" customHeight="1" x14ac:dyDescent="0.25">
      <c r="A191" s="7" t="s">
        <v>9358</v>
      </c>
      <c r="B191" s="268" t="s">
        <v>9706</v>
      </c>
      <c r="C191" s="269" t="s">
        <v>9707</v>
      </c>
      <c r="E191" s="7"/>
      <c r="F191" s="7"/>
      <c r="G191" s="7"/>
    </row>
    <row r="192" spans="1:7" s="11" customFormat="1" ht="14.1" customHeight="1" x14ac:dyDescent="0.25">
      <c r="A192" s="7" t="s">
        <v>9358</v>
      </c>
      <c r="B192" s="268" t="s">
        <v>9708</v>
      </c>
      <c r="C192" s="269" t="s">
        <v>9709</v>
      </c>
      <c r="E192" s="7"/>
      <c r="F192" s="7"/>
      <c r="G192" s="7"/>
    </row>
    <row r="193" spans="1:7" s="11" customFormat="1" ht="14.1" customHeight="1" x14ac:dyDescent="0.25">
      <c r="A193" s="7" t="s">
        <v>9358</v>
      </c>
      <c r="B193" s="268" t="s">
        <v>9710</v>
      </c>
      <c r="C193" s="269" t="s">
        <v>9711</v>
      </c>
      <c r="E193" s="7"/>
      <c r="F193" s="7"/>
      <c r="G193" s="7"/>
    </row>
    <row r="194" spans="1:7" s="11" customFormat="1" ht="14.1" customHeight="1" x14ac:dyDescent="0.25">
      <c r="A194" s="7" t="s">
        <v>9358</v>
      </c>
      <c r="B194" s="268" t="s">
        <v>9712</v>
      </c>
      <c r="C194" s="269" t="s">
        <v>9713</v>
      </c>
      <c r="E194" s="7"/>
      <c r="F194" s="7"/>
      <c r="G194" s="7"/>
    </row>
    <row r="195" spans="1:7" s="11" customFormat="1" ht="14.1" customHeight="1" x14ac:dyDescent="0.25">
      <c r="A195" s="7" t="s">
        <v>9358</v>
      </c>
      <c r="B195" s="268" t="s">
        <v>9714</v>
      </c>
      <c r="C195" s="269" t="s">
        <v>9715</v>
      </c>
      <c r="E195" s="7"/>
      <c r="F195" s="7"/>
      <c r="G195" s="7"/>
    </row>
    <row r="196" spans="1:7" s="11" customFormat="1" ht="14.1" customHeight="1" x14ac:dyDescent="0.25">
      <c r="A196" s="7" t="s">
        <v>9358</v>
      </c>
      <c r="B196" s="268" t="s">
        <v>9716</v>
      </c>
      <c r="C196" s="269" t="s">
        <v>9717</v>
      </c>
      <c r="E196" s="7"/>
      <c r="F196" s="7"/>
      <c r="G196" s="7"/>
    </row>
    <row r="197" spans="1:7" s="11" customFormat="1" ht="14.1" customHeight="1" x14ac:dyDescent="0.25">
      <c r="A197" s="7" t="s">
        <v>9358</v>
      </c>
      <c r="B197" s="268" t="s">
        <v>9718</v>
      </c>
      <c r="C197" s="269" t="s">
        <v>9719</v>
      </c>
      <c r="E197" s="7"/>
      <c r="F197" s="7"/>
      <c r="G197" s="7"/>
    </row>
    <row r="198" spans="1:7" s="11" customFormat="1" ht="14.1" customHeight="1" x14ac:dyDescent="0.25">
      <c r="A198" s="7" t="s">
        <v>9358</v>
      </c>
      <c r="B198" s="268" t="s">
        <v>9720</v>
      </c>
      <c r="C198" s="269" t="s">
        <v>9721</v>
      </c>
      <c r="E198" s="7"/>
      <c r="F198" s="7"/>
      <c r="G198" s="7"/>
    </row>
    <row r="199" spans="1:7" s="11" customFormat="1" ht="14.1" customHeight="1" x14ac:dyDescent="0.25">
      <c r="A199" s="7" t="s">
        <v>9358</v>
      </c>
      <c r="B199" s="268" t="s">
        <v>9722</v>
      </c>
      <c r="C199" s="269" t="s">
        <v>9723</v>
      </c>
      <c r="E199" s="7"/>
      <c r="F199" s="7"/>
      <c r="G199" s="7"/>
    </row>
    <row r="200" spans="1:7" s="11" customFormat="1" ht="14.1" customHeight="1" x14ac:dyDescent="0.25">
      <c r="A200" s="7" t="s">
        <v>9358</v>
      </c>
      <c r="B200" s="268" t="s">
        <v>9724</v>
      </c>
      <c r="C200" s="270" t="s">
        <v>9725</v>
      </c>
      <c r="E200" s="7"/>
      <c r="F200" s="7"/>
      <c r="G200" s="7"/>
    </row>
    <row r="201" spans="1:7" s="11" customFormat="1" ht="14.1" customHeight="1" x14ac:dyDescent="0.25">
      <c r="A201" s="7" t="s">
        <v>9358</v>
      </c>
      <c r="B201" s="268" t="s">
        <v>9726</v>
      </c>
      <c r="C201" s="269" t="s">
        <v>9727</v>
      </c>
      <c r="E201" s="7"/>
      <c r="F201" s="7"/>
      <c r="G201" s="7"/>
    </row>
    <row r="202" spans="1:7" s="11" customFormat="1" ht="14.1" customHeight="1" x14ac:dyDescent="0.25">
      <c r="A202" s="7" t="s">
        <v>9358</v>
      </c>
      <c r="B202" s="268" t="s">
        <v>9728</v>
      </c>
      <c r="C202" s="269" t="s">
        <v>9729</v>
      </c>
      <c r="E202" s="7"/>
      <c r="F202" s="7"/>
      <c r="G202" s="7"/>
    </row>
    <row r="203" spans="1:7" s="11" customFormat="1" ht="14.1" customHeight="1" x14ac:dyDescent="0.25">
      <c r="A203" s="7" t="s">
        <v>9358</v>
      </c>
      <c r="B203" s="268" t="s">
        <v>9730</v>
      </c>
      <c r="C203" s="269" t="s">
        <v>9731</v>
      </c>
      <c r="E203" s="7"/>
      <c r="F203" s="7"/>
      <c r="G203" s="7"/>
    </row>
    <row r="204" spans="1:7" s="11" customFormat="1" ht="14.1" customHeight="1" x14ac:dyDescent="0.25">
      <c r="A204" s="7" t="s">
        <v>9358</v>
      </c>
      <c r="B204" s="268" t="s">
        <v>9732</v>
      </c>
      <c r="C204" s="269" t="s">
        <v>9733</v>
      </c>
      <c r="E204" s="7"/>
      <c r="F204" s="7"/>
      <c r="G204" s="7"/>
    </row>
    <row r="205" spans="1:7" s="11" customFormat="1" ht="14.1" customHeight="1" x14ac:dyDescent="0.25">
      <c r="A205" s="7" t="s">
        <v>9358</v>
      </c>
      <c r="B205" s="268" t="s">
        <v>9734</v>
      </c>
      <c r="C205" s="269" t="s">
        <v>9735</v>
      </c>
      <c r="E205" s="7"/>
      <c r="F205" s="7"/>
      <c r="G205" s="7"/>
    </row>
    <row r="206" spans="1:7" s="11" customFormat="1" ht="14.1" customHeight="1" x14ac:dyDescent="0.25">
      <c r="A206" s="7" t="s">
        <v>9358</v>
      </c>
      <c r="B206" s="268" t="s">
        <v>9736</v>
      </c>
      <c r="C206" s="269" t="s">
        <v>9737</v>
      </c>
      <c r="E206" s="7"/>
      <c r="F206" s="7"/>
      <c r="G206" s="7"/>
    </row>
    <row r="207" spans="1:7" s="11" customFormat="1" ht="14.1" customHeight="1" x14ac:dyDescent="0.25">
      <c r="A207" s="7" t="s">
        <v>9358</v>
      </c>
      <c r="B207" s="268" t="s">
        <v>9738</v>
      </c>
      <c r="C207" s="269" t="s">
        <v>9739</v>
      </c>
      <c r="E207" s="7"/>
      <c r="F207" s="7"/>
      <c r="G207" s="7"/>
    </row>
    <row r="208" spans="1:7" s="11" customFormat="1" ht="14.1" customHeight="1" x14ac:dyDescent="0.25">
      <c r="A208" s="7" t="s">
        <v>9358</v>
      </c>
      <c r="B208" s="268" t="s">
        <v>9740</v>
      </c>
      <c r="C208" s="269" t="s">
        <v>9741</v>
      </c>
      <c r="E208" s="7"/>
      <c r="F208" s="7"/>
      <c r="G208" s="7"/>
    </row>
    <row r="209" spans="1:7" s="11" customFormat="1" ht="14.1" customHeight="1" x14ac:dyDescent="0.25">
      <c r="A209" s="7" t="s">
        <v>9358</v>
      </c>
      <c r="B209" s="268" t="s">
        <v>9742</v>
      </c>
      <c r="C209" s="269" t="s">
        <v>9743</v>
      </c>
      <c r="E209" s="7"/>
      <c r="F209" s="7"/>
      <c r="G209" s="7"/>
    </row>
    <row r="210" spans="1:7" s="11" customFormat="1" ht="14.1" customHeight="1" x14ac:dyDescent="0.25">
      <c r="A210" s="7" t="s">
        <v>9358</v>
      </c>
      <c r="B210" s="268" t="s">
        <v>9744</v>
      </c>
      <c r="C210" s="269" t="s">
        <v>9745</v>
      </c>
      <c r="E210" s="7"/>
      <c r="F210" s="7"/>
      <c r="G210" s="7"/>
    </row>
    <row r="211" spans="1:7" s="11" customFormat="1" ht="14.1" customHeight="1" x14ac:dyDescent="0.25">
      <c r="A211" s="7" t="s">
        <v>9358</v>
      </c>
      <c r="B211" s="268" t="s">
        <v>9746</v>
      </c>
      <c r="C211" s="269" t="s">
        <v>9747</v>
      </c>
      <c r="E211" s="7"/>
      <c r="F211" s="7"/>
      <c r="G211" s="7"/>
    </row>
    <row r="212" spans="1:7" s="11" customFormat="1" ht="14.1" customHeight="1" x14ac:dyDescent="0.25">
      <c r="A212" s="7" t="s">
        <v>9358</v>
      </c>
      <c r="B212" s="268" t="s">
        <v>9748</v>
      </c>
      <c r="C212" s="269" t="s">
        <v>9749</v>
      </c>
      <c r="E212" s="7"/>
      <c r="F212" s="7"/>
      <c r="G212" s="7"/>
    </row>
    <row r="213" spans="1:7" s="11" customFormat="1" ht="14.1" customHeight="1" x14ac:dyDescent="0.25">
      <c r="A213" s="7" t="s">
        <v>9358</v>
      </c>
      <c r="B213" s="268" t="s">
        <v>9750</v>
      </c>
      <c r="C213" s="269" t="s">
        <v>9751</v>
      </c>
      <c r="E213" s="7"/>
      <c r="F213" s="7"/>
      <c r="G213" s="7"/>
    </row>
    <row r="214" spans="1:7" s="11" customFormat="1" ht="14.1" customHeight="1" x14ac:dyDescent="0.25">
      <c r="A214" s="7" t="s">
        <v>9358</v>
      </c>
      <c r="B214" s="268" t="s">
        <v>9752</v>
      </c>
      <c r="C214" s="269" t="s">
        <v>9753</v>
      </c>
      <c r="E214" s="7"/>
      <c r="F214" s="7"/>
      <c r="G214" s="7"/>
    </row>
    <row r="215" spans="1:7" s="11" customFormat="1" ht="14.1" customHeight="1" x14ac:dyDescent="0.25">
      <c r="A215" s="7" t="s">
        <v>9358</v>
      </c>
      <c r="B215" s="268" t="s">
        <v>9754</v>
      </c>
      <c r="C215" s="269" t="s">
        <v>9755</v>
      </c>
      <c r="E215" s="7"/>
      <c r="F215" s="7"/>
      <c r="G215" s="7"/>
    </row>
    <row r="216" spans="1:7" s="11" customFormat="1" ht="14.1" customHeight="1" x14ac:dyDescent="0.25">
      <c r="A216" s="7" t="s">
        <v>9358</v>
      </c>
      <c r="B216" s="268" t="s">
        <v>9756</v>
      </c>
      <c r="C216" s="269" t="s">
        <v>9757</v>
      </c>
      <c r="E216" s="7"/>
      <c r="F216" s="7"/>
      <c r="G216" s="7"/>
    </row>
    <row r="217" spans="1:7" s="11" customFormat="1" ht="14.1" customHeight="1" x14ac:dyDescent="0.25">
      <c r="A217" s="7" t="s">
        <v>9358</v>
      </c>
      <c r="B217" s="268" t="s">
        <v>9758</v>
      </c>
      <c r="C217" s="269" t="s">
        <v>9759</v>
      </c>
      <c r="E217" s="7"/>
      <c r="F217" s="7"/>
      <c r="G217" s="7"/>
    </row>
    <row r="218" spans="1:7" s="11" customFormat="1" ht="14.1" customHeight="1" x14ac:dyDescent="0.25">
      <c r="A218" s="7" t="s">
        <v>9358</v>
      </c>
      <c r="B218" s="268" t="s">
        <v>9760</v>
      </c>
      <c r="C218" s="269" t="s">
        <v>9761</v>
      </c>
      <c r="E218" s="7"/>
      <c r="F218" s="7"/>
      <c r="G218" s="7"/>
    </row>
    <row r="219" spans="1:7" s="11" customFormat="1" ht="14.1" customHeight="1" x14ac:dyDescent="0.25">
      <c r="A219" s="7" t="s">
        <v>9358</v>
      </c>
      <c r="B219" s="268" t="s">
        <v>9762</v>
      </c>
      <c r="C219" s="269" t="s">
        <v>9763</v>
      </c>
      <c r="E219" s="7"/>
      <c r="F219" s="7"/>
      <c r="G219" s="7"/>
    </row>
    <row r="220" spans="1:7" s="11" customFormat="1" ht="14.1" customHeight="1" x14ac:dyDescent="0.25">
      <c r="A220" s="7" t="s">
        <v>9358</v>
      </c>
      <c r="B220" s="268" t="s">
        <v>9764</v>
      </c>
      <c r="C220" s="269" t="s">
        <v>9765</v>
      </c>
      <c r="E220" s="7"/>
      <c r="F220" s="7"/>
      <c r="G220" s="7"/>
    </row>
    <row r="221" spans="1:7" s="11" customFormat="1" ht="14.1" customHeight="1" x14ac:dyDescent="0.25">
      <c r="A221" s="7" t="s">
        <v>9358</v>
      </c>
      <c r="B221" s="268" t="s">
        <v>9766</v>
      </c>
      <c r="C221" s="269" t="s">
        <v>9767</v>
      </c>
      <c r="E221" s="7"/>
      <c r="F221" s="7"/>
      <c r="G221" s="7"/>
    </row>
    <row r="222" spans="1:7" s="11" customFormat="1" ht="14.1" customHeight="1" x14ac:dyDescent="0.25">
      <c r="A222" s="7" t="s">
        <v>9358</v>
      </c>
      <c r="B222" s="268" t="s">
        <v>9768</v>
      </c>
      <c r="C222" s="269" t="s">
        <v>9769</v>
      </c>
      <c r="E222" s="7"/>
      <c r="F222" s="7"/>
      <c r="G222" s="7"/>
    </row>
    <row r="223" spans="1:7" s="11" customFormat="1" ht="14.1" customHeight="1" x14ac:dyDescent="0.25">
      <c r="A223" s="7" t="s">
        <v>9358</v>
      </c>
      <c r="B223" s="268" t="s">
        <v>9770</v>
      </c>
      <c r="C223" s="269" t="s">
        <v>9771</v>
      </c>
      <c r="E223" s="7"/>
      <c r="G223" s="7"/>
    </row>
    <row r="224" spans="1:7" s="11" customFormat="1" ht="14.1" customHeight="1" x14ac:dyDescent="0.25">
      <c r="A224" s="7" t="s">
        <v>9358</v>
      </c>
      <c r="B224" s="268" t="s">
        <v>9772</v>
      </c>
      <c r="C224" s="269" t="s">
        <v>9773</v>
      </c>
      <c r="E224" s="7"/>
      <c r="G224" s="7"/>
    </row>
    <row r="225" spans="1:7" s="11" customFormat="1" ht="14.1" customHeight="1" x14ac:dyDescent="0.25">
      <c r="A225" s="7" t="s">
        <v>9358</v>
      </c>
      <c r="B225" s="268" t="s">
        <v>9774</v>
      </c>
      <c r="C225" s="269" t="s">
        <v>9775</v>
      </c>
      <c r="E225" s="7"/>
      <c r="G225" s="7"/>
    </row>
    <row r="226" spans="1:7" s="11" customFormat="1" ht="14.1" customHeight="1" x14ac:dyDescent="0.25">
      <c r="A226" s="7" t="s">
        <v>9358</v>
      </c>
      <c r="B226" s="268" t="s">
        <v>9776</v>
      </c>
      <c r="C226" s="269" t="s">
        <v>9777</v>
      </c>
      <c r="E226" s="7"/>
      <c r="G226" s="7"/>
    </row>
    <row r="227" spans="1:7" s="11" customFormat="1" ht="14.1" customHeight="1" x14ac:dyDescent="0.25">
      <c r="A227" s="7" t="s">
        <v>9358</v>
      </c>
      <c r="B227" s="268" t="s">
        <v>9778</v>
      </c>
      <c r="C227" s="269" t="s">
        <v>9779</v>
      </c>
      <c r="E227" s="7"/>
      <c r="G227" s="7"/>
    </row>
    <row r="228" spans="1:7" s="11" customFormat="1" ht="14.1" customHeight="1" x14ac:dyDescent="0.25">
      <c r="A228" s="7" t="s">
        <v>9358</v>
      </c>
      <c r="B228" s="268" t="s">
        <v>9780</v>
      </c>
      <c r="C228" s="269" t="s">
        <v>9661</v>
      </c>
      <c r="E228" s="7"/>
      <c r="G228" s="7"/>
    </row>
    <row r="229" spans="1:7" s="11" customFormat="1" ht="14.1" customHeight="1" x14ac:dyDescent="0.25">
      <c r="A229" s="7" t="s">
        <v>9358</v>
      </c>
      <c r="B229" s="268" t="s">
        <v>9781</v>
      </c>
      <c r="C229" s="269" t="s">
        <v>9663</v>
      </c>
      <c r="E229" s="7"/>
      <c r="G229" s="7"/>
    </row>
    <row r="230" spans="1:7" s="11" customFormat="1" ht="14.1" customHeight="1" x14ac:dyDescent="0.25">
      <c r="A230" s="7" t="s">
        <v>9358</v>
      </c>
      <c r="B230" s="268" t="s">
        <v>9782</v>
      </c>
      <c r="C230" s="269" t="s">
        <v>9783</v>
      </c>
      <c r="E230" s="7"/>
      <c r="G230" s="7"/>
    </row>
    <row r="231" spans="1:7" s="11" customFormat="1" ht="14.1" customHeight="1" x14ac:dyDescent="0.25">
      <c r="A231" s="7" t="s">
        <v>9358</v>
      </c>
      <c r="B231" s="268" t="s">
        <v>9784</v>
      </c>
      <c r="C231" s="269" t="s">
        <v>13434</v>
      </c>
      <c r="E231" s="7"/>
      <c r="G231" s="7"/>
    </row>
    <row r="232" spans="1:7" s="11" customFormat="1" ht="14.1" customHeight="1" x14ac:dyDescent="0.25">
      <c r="A232" s="7" t="s">
        <v>9358</v>
      </c>
      <c r="B232" s="268" t="s">
        <v>9785</v>
      </c>
      <c r="C232" s="269" t="s">
        <v>9786</v>
      </c>
      <c r="E232" s="7"/>
      <c r="G232" s="7"/>
    </row>
    <row r="233" spans="1:7" s="11" customFormat="1" ht="14.1" customHeight="1" x14ac:dyDescent="0.25">
      <c r="A233" s="7" t="s">
        <v>9358</v>
      </c>
      <c r="B233" s="268" t="s">
        <v>9787</v>
      </c>
      <c r="C233" s="269" t="s">
        <v>9788</v>
      </c>
      <c r="E233" s="7"/>
      <c r="G233" s="7"/>
    </row>
    <row r="234" spans="1:7" s="11" customFormat="1" ht="14.1" customHeight="1" x14ac:dyDescent="0.25">
      <c r="A234" s="7" t="s">
        <v>9358</v>
      </c>
      <c r="B234" s="268" t="s">
        <v>9789</v>
      </c>
      <c r="C234" s="269" t="s">
        <v>13435</v>
      </c>
      <c r="E234" s="7"/>
      <c r="G234" s="7"/>
    </row>
    <row r="235" spans="1:7" s="11" customFormat="1" ht="14.1" customHeight="1" x14ac:dyDescent="0.25">
      <c r="A235" s="7" t="s">
        <v>9358</v>
      </c>
      <c r="B235" s="268" t="s">
        <v>9790</v>
      </c>
      <c r="C235" s="269" t="s">
        <v>9791</v>
      </c>
      <c r="E235" s="7"/>
      <c r="G235" s="7"/>
    </row>
    <row r="236" spans="1:7" s="11" customFormat="1" ht="14.1" customHeight="1" x14ac:dyDescent="0.25">
      <c r="A236" s="7" t="s">
        <v>9358</v>
      </c>
      <c r="B236" s="268" t="s">
        <v>9792</v>
      </c>
      <c r="C236" s="269" t="s">
        <v>9793</v>
      </c>
      <c r="E236" s="7"/>
      <c r="G236" s="7"/>
    </row>
    <row r="237" spans="1:7" s="11" customFormat="1" ht="14.1" customHeight="1" x14ac:dyDescent="0.25">
      <c r="A237" s="7" t="s">
        <v>9358</v>
      </c>
      <c r="B237" s="268" t="s">
        <v>9794</v>
      </c>
      <c r="C237" s="269" t="s">
        <v>9629</v>
      </c>
      <c r="E237" s="7"/>
      <c r="G237" s="7"/>
    </row>
    <row r="238" spans="1:7" ht="14.1" customHeight="1" x14ac:dyDescent="0.25">
      <c r="A238" s="265" t="s">
        <v>9358</v>
      </c>
      <c r="B238" s="271" t="s">
        <v>9795</v>
      </c>
      <c r="C238" s="269" t="s">
        <v>9796</v>
      </c>
      <c r="E238" s="265"/>
      <c r="G238" s="265"/>
    </row>
    <row r="239" spans="1:7" ht="14.1" customHeight="1" x14ac:dyDescent="0.25">
      <c r="A239" s="265" t="s">
        <v>9358</v>
      </c>
      <c r="B239" s="271" t="s">
        <v>9797</v>
      </c>
      <c r="C239" s="269" t="s">
        <v>9798</v>
      </c>
      <c r="E239" s="265"/>
      <c r="G239" s="265"/>
    </row>
    <row r="240" spans="1:7" ht="14.1" customHeight="1" x14ac:dyDescent="0.25">
      <c r="A240" s="349" t="s">
        <v>9358</v>
      </c>
      <c r="B240" s="275" t="s">
        <v>13477</v>
      </c>
      <c r="C240" s="350" t="s">
        <v>9650</v>
      </c>
      <c r="E240" s="265"/>
      <c r="G240" s="265"/>
    </row>
    <row r="241" spans="1:7" ht="14.1" customHeight="1" x14ac:dyDescent="0.25">
      <c r="A241" s="349" t="s">
        <v>9358</v>
      </c>
      <c r="B241" s="275" t="s">
        <v>13478</v>
      </c>
      <c r="C241" s="350" t="s">
        <v>9652</v>
      </c>
      <c r="E241" s="265"/>
      <c r="G241" s="265"/>
    </row>
    <row r="242" spans="1:7" ht="14.1" customHeight="1" x14ac:dyDescent="0.25">
      <c r="A242" s="118" t="s">
        <v>8816</v>
      </c>
      <c r="B242" s="272" t="s">
        <v>9799</v>
      </c>
      <c r="C242" s="259" t="s">
        <v>9800</v>
      </c>
    </row>
    <row r="243" spans="1:7" ht="14.1" customHeight="1" x14ac:dyDescent="0.25">
      <c r="A243" s="118" t="s">
        <v>8816</v>
      </c>
      <c r="B243" s="272" t="s">
        <v>9801</v>
      </c>
      <c r="C243" s="259" t="s">
        <v>9802</v>
      </c>
    </row>
    <row r="244" spans="1:7" ht="14.1" customHeight="1" x14ac:dyDescent="0.25">
      <c r="A244" s="118" t="s">
        <v>8816</v>
      </c>
      <c r="B244" s="272" t="s">
        <v>9803</v>
      </c>
      <c r="C244" s="259" t="s">
        <v>9804</v>
      </c>
    </row>
    <row r="245" spans="1:7" ht="14.1" customHeight="1" x14ac:dyDescent="0.25">
      <c r="A245" s="118" t="s">
        <v>8816</v>
      </c>
      <c r="B245" s="272" t="s">
        <v>9805</v>
      </c>
      <c r="C245" s="259" t="s">
        <v>9806</v>
      </c>
    </row>
    <row r="246" spans="1:7" ht="14.1" customHeight="1" x14ac:dyDescent="0.25">
      <c r="A246" s="118" t="s">
        <v>8816</v>
      </c>
      <c r="B246" s="272" t="s">
        <v>9807</v>
      </c>
      <c r="C246" s="259" t="s">
        <v>9808</v>
      </c>
    </row>
    <row r="247" spans="1:7" ht="14.1" customHeight="1" x14ac:dyDescent="0.25">
      <c r="A247" s="118" t="s">
        <v>8816</v>
      </c>
      <c r="B247" s="272" t="s">
        <v>9809</v>
      </c>
      <c r="C247" s="259" t="s">
        <v>9810</v>
      </c>
    </row>
    <row r="248" spans="1:7" ht="14.1" customHeight="1" x14ac:dyDescent="0.25">
      <c r="A248" s="273" t="s">
        <v>8816</v>
      </c>
      <c r="B248" s="272" t="s">
        <v>9811</v>
      </c>
      <c r="C248" s="259" t="s">
        <v>9812</v>
      </c>
    </row>
    <row r="249" spans="1:7" ht="14.1" customHeight="1" x14ac:dyDescent="0.25">
      <c r="A249" s="273" t="s">
        <v>8816</v>
      </c>
      <c r="B249" s="272" t="s">
        <v>9813</v>
      </c>
      <c r="C249" s="259" t="s">
        <v>9814</v>
      </c>
    </row>
    <row r="250" spans="1:7" ht="14.1" customHeight="1" x14ac:dyDescent="0.25">
      <c r="A250" s="273" t="s">
        <v>8816</v>
      </c>
      <c r="B250" s="272" t="s">
        <v>9815</v>
      </c>
      <c r="C250" s="259" t="s">
        <v>9816</v>
      </c>
    </row>
    <row r="251" spans="1:7" ht="14.1" customHeight="1" x14ac:dyDescent="0.25">
      <c r="A251" s="273" t="s">
        <v>8816</v>
      </c>
      <c r="B251" s="272" t="s">
        <v>9817</v>
      </c>
      <c r="C251" s="259" t="s">
        <v>9818</v>
      </c>
    </row>
    <row r="252" spans="1:7" ht="14.1" customHeight="1" x14ac:dyDescent="0.25">
      <c r="A252" s="273" t="s">
        <v>8816</v>
      </c>
      <c r="B252" s="272" t="s">
        <v>9819</v>
      </c>
      <c r="C252" s="259" t="s">
        <v>9820</v>
      </c>
    </row>
    <row r="253" spans="1:7" ht="14.1" customHeight="1" x14ac:dyDescent="0.25">
      <c r="A253" s="273" t="s">
        <v>8816</v>
      </c>
      <c r="B253" s="272" t="s">
        <v>9821</v>
      </c>
      <c r="C253" s="259" t="s">
        <v>9822</v>
      </c>
    </row>
    <row r="254" spans="1:7" ht="14.1" customHeight="1" x14ac:dyDescent="0.25">
      <c r="A254" s="273" t="s">
        <v>8816</v>
      </c>
      <c r="B254" s="272" t="s">
        <v>9823</v>
      </c>
      <c r="C254" s="259" t="s">
        <v>9824</v>
      </c>
    </row>
    <row r="255" spans="1:7" ht="14.1" customHeight="1" x14ac:dyDescent="0.25">
      <c r="A255" s="118" t="s">
        <v>8816</v>
      </c>
      <c r="B255" s="265" t="s">
        <v>9825</v>
      </c>
      <c r="C255" s="266" t="s">
        <v>9826</v>
      </c>
    </row>
    <row r="256" spans="1:7" ht="14.1" customHeight="1" x14ac:dyDescent="0.25">
      <c r="A256" s="118" t="s">
        <v>8816</v>
      </c>
      <c r="B256" s="265" t="s">
        <v>9827</v>
      </c>
      <c r="C256" s="266" t="s">
        <v>9828</v>
      </c>
    </row>
    <row r="257" spans="1:3" ht="14.1" customHeight="1" x14ac:dyDescent="0.25">
      <c r="A257" s="272" t="s">
        <v>8816</v>
      </c>
      <c r="B257" s="272" t="s">
        <v>9829</v>
      </c>
      <c r="C257" s="259" t="s">
        <v>9830</v>
      </c>
    </row>
    <row r="258" spans="1:3" ht="14.1" customHeight="1" x14ac:dyDescent="0.25">
      <c r="A258" s="118" t="s">
        <v>8816</v>
      </c>
      <c r="B258" s="272" t="s">
        <v>9831</v>
      </c>
      <c r="C258" s="259" t="s">
        <v>9832</v>
      </c>
    </row>
    <row r="259" spans="1:3" ht="14.1" customHeight="1" x14ac:dyDescent="0.25">
      <c r="A259" s="118" t="s">
        <v>8816</v>
      </c>
      <c r="B259" s="272" t="s">
        <v>9833</v>
      </c>
      <c r="C259" s="259" t="s">
        <v>9834</v>
      </c>
    </row>
    <row r="260" spans="1:3" ht="14.1" customHeight="1" x14ac:dyDescent="0.25">
      <c r="A260" s="118" t="s">
        <v>8816</v>
      </c>
      <c r="B260" s="272" t="s">
        <v>9835</v>
      </c>
      <c r="C260" s="259" t="s">
        <v>9836</v>
      </c>
    </row>
    <row r="261" spans="1:3" ht="14.1" customHeight="1" x14ac:dyDescent="0.25">
      <c r="A261" s="118" t="s">
        <v>8816</v>
      </c>
      <c r="B261" s="272" t="s">
        <v>9837</v>
      </c>
      <c r="C261" s="259" t="s">
        <v>9838</v>
      </c>
    </row>
    <row r="262" spans="1:3" ht="14.1" customHeight="1" x14ac:dyDescent="0.25">
      <c r="A262" s="118" t="s">
        <v>8816</v>
      </c>
      <c r="B262" s="272" t="s">
        <v>9839</v>
      </c>
      <c r="C262" s="259" t="s">
        <v>9840</v>
      </c>
    </row>
    <row r="263" spans="1:3" ht="14.1" customHeight="1" x14ac:dyDescent="0.25">
      <c r="A263" s="118" t="s">
        <v>8816</v>
      </c>
      <c r="B263" s="272" t="s">
        <v>9841</v>
      </c>
      <c r="C263" s="259" t="s">
        <v>9842</v>
      </c>
    </row>
    <row r="264" spans="1:3" ht="14.1" customHeight="1" x14ac:dyDescent="0.25">
      <c r="A264" s="118" t="s">
        <v>8816</v>
      </c>
      <c r="B264" s="272" t="s">
        <v>9843</v>
      </c>
      <c r="C264" s="259" t="s">
        <v>9844</v>
      </c>
    </row>
    <row r="265" spans="1:3" ht="14.1" customHeight="1" x14ac:dyDescent="0.25">
      <c r="A265" s="118" t="s">
        <v>8816</v>
      </c>
      <c r="B265" s="272" t="s">
        <v>9845</v>
      </c>
      <c r="C265" s="259" t="s">
        <v>9846</v>
      </c>
    </row>
    <row r="266" spans="1:3" ht="14.1" customHeight="1" x14ac:dyDescent="0.25">
      <c r="A266" s="118" t="s">
        <v>8816</v>
      </c>
      <c r="B266" s="272" t="s">
        <v>9847</v>
      </c>
      <c r="C266" s="259" t="s">
        <v>9848</v>
      </c>
    </row>
    <row r="267" spans="1:3" ht="14.1" customHeight="1" x14ac:dyDescent="0.25">
      <c r="A267" s="118" t="s">
        <v>8816</v>
      </c>
      <c r="B267" s="272" t="s">
        <v>9849</v>
      </c>
      <c r="C267" s="259" t="s">
        <v>9850</v>
      </c>
    </row>
    <row r="268" spans="1:3" ht="14.1" customHeight="1" x14ac:dyDescent="0.25">
      <c r="A268" s="118" t="s">
        <v>8816</v>
      </c>
      <c r="B268" s="272" t="s">
        <v>9851</v>
      </c>
      <c r="C268" s="259" t="s">
        <v>9852</v>
      </c>
    </row>
    <row r="269" spans="1:3" ht="14.1" customHeight="1" x14ac:dyDescent="0.25">
      <c r="A269" s="118" t="s">
        <v>8816</v>
      </c>
      <c r="B269" s="272" t="s">
        <v>9853</v>
      </c>
      <c r="C269" s="259" t="s">
        <v>9854</v>
      </c>
    </row>
    <row r="270" spans="1:3" ht="14.1" customHeight="1" x14ac:dyDescent="0.25">
      <c r="A270" s="118" t="s">
        <v>8816</v>
      </c>
      <c r="B270" s="272" t="s">
        <v>9855</v>
      </c>
      <c r="C270" s="259" t="s">
        <v>9856</v>
      </c>
    </row>
    <row r="271" spans="1:3" ht="14.1" customHeight="1" x14ac:dyDescent="0.25">
      <c r="A271" s="118" t="s">
        <v>8816</v>
      </c>
      <c r="B271" s="272" t="s">
        <v>9857</v>
      </c>
      <c r="C271" s="259" t="s">
        <v>9858</v>
      </c>
    </row>
    <row r="272" spans="1:3" ht="14.1" customHeight="1" x14ac:dyDescent="0.25">
      <c r="A272" s="118" t="s">
        <v>8816</v>
      </c>
      <c r="B272" s="272" t="s">
        <v>9859</v>
      </c>
      <c r="C272" s="259" t="s">
        <v>9860</v>
      </c>
    </row>
    <row r="273" spans="1:3" ht="14.1" customHeight="1" x14ac:dyDescent="0.25">
      <c r="A273" s="118" t="s">
        <v>8816</v>
      </c>
      <c r="B273" s="272" t="s">
        <v>9861</v>
      </c>
      <c r="C273" s="259" t="s">
        <v>9862</v>
      </c>
    </row>
    <row r="274" spans="1:3" ht="14.1" customHeight="1" x14ac:dyDescent="0.25">
      <c r="A274" s="118" t="s">
        <v>8816</v>
      </c>
      <c r="B274" s="272" t="s">
        <v>9863</v>
      </c>
      <c r="C274" s="259" t="s">
        <v>9864</v>
      </c>
    </row>
    <row r="275" spans="1:3" ht="14.1" customHeight="1" x14ac:dyDescent="0.25">
      <c r="A275" s="118" t="s">
        <v>8816</v>
      </c>
      <c r="B275" s="272" t="s">
        <v>9865</v>
      </c>
      <c r="C275" s="259" t="s">
        <v>9866</v>
      </c>
    </row>
    <row r="276" spans="1:3" ht="14.1" customHeight="1" x14ac:dyDescent="0.25">
      <c r="A276" s="118" t="s">
        <v>8816</v>
      </c>
      <c r="B276" s="272" t="s">
        <v>9867</v>
      </c>
      <c r="C276" s="259" t="s">
        <v>9868</v>
      </c>
    </row>
    <row r="277" spans="1:3" ht="14.1" customHeight="1" x14ac:dyDescent="0.25">
      <c r="A277" s="118" t="s">
        <v>8816</v>
      </c>
      <c r="B277" s="272" t="s">
        <v>9869</v>
      </c>
      <c r="C277" s="259" t="s">
        <v>9870</v>
      </c>
    </row>
    <row r="278" spans="1:3" ht="14.1" customHeight="1" x14ac:dyDescent="0.25">
      <c r="A278" s="118" t="s">
        <v>8816</v>
      </c>
      <c r="B278" s="272" t="s">
        <v>9871</v>
      </c>
      <c r="C278" s="259" t="s">
        <v>9872</v>
      </c>
    </row>
    <row r="279" spans="1:3" ht="14.1" customHeight="1" x14ac:dyDescent="0.25">
      <c r="A279" s="118" t="s">
        <v>8816</v>
      </c>
      <c r="B279" s="272" t="s">
        <v>9873</v>
      </c>
      <c r="C279" s="259" t="s">
        <v>9874</v>
      </c>
    </row>
    <row r="280" spans="1:3" ht="14.1" customHeight="1" x14ac:dyDescent="0.25">
      <c r="A280" s="118" t="s">
        <v>8816</v>
      </c>
      <c r="B280" s="272" t="s">
        <v>9875</v>
      </c>
      <c r="C280" s="259" t="s">
        <v>9876</v>
      </c>
    </row>
    <row r="281" spans="1:3" ht="14.1" customHeight="1" x14ac:dyDescent="0.25">
      <c r="A281" s="118" t="s">
        <v>8816</v>
      </c>
      <c r="B281" s="272" t="s">
        <v>9877</v>
      </c>
      <c r="C281" s="259" t="s">
        <v>9878</v>
      </c>
    </row>
    <row r="282" spans="1:3" ht="14.1" customHeight="1" x14ac:dyDescent="0.25">
      <c r="A282" s="118" t="s">
        <v>8816</v>
      </c>
      <c r="B282" s="272" t="s">
        <v>9879</v>
      </c>
      <c r="C282" s="259" t="s">
        <v>9880</v>
      </c>
    </row>
    <row r="283" spans="1:3" ht="14.1" customHeight="1" x14ac:dyDescent="0.25">
      <c r="A283" s="118" t="s">
        <v>8816</v>
      </c>
      <c r="B283" s="272" t="s">
        <v>9881</v>
      </c>
      <c r="C283" s="259" t="s">
        <v>9882</v>
      </c>
    </row>
    <row r="284" spans="1:3" ht="14.1" customHeight="1" x14ac:dyDescent="0.25">
      <c r="A284" s="118" t="s">
        <v>8816</v>
      </c>
      <c r="B284" s="272" t="s">
        <v>9883</v>
      </c>
      <c r="C284" s="259" t="s">
        <v>9884</v>
      </c>
    </row>
    <row r="285" spans="1:3" ht="14.1" customHeight="1" x14ac:dyDescent="0.25">
      <c r="A285" s="274" t="s">
        <v>8816</v>
      </c>
      <c r="B285" s="275" t="s">
        <v>9885</v>
      </c>
      <c r="C285" s="276" t="s">
        <v>9886</v>
      </c>
    </row>
    <row r="286" spans="1:3" ht="14.1" customHeight="1" x14ac:dyDescent="0.25">
      <c r="A286" s="274" t="s">
        <v>8816</v>
      </c>
      <c r="B286" s="275" t="s">
        <v>9887</v>
      </c>
      <c r="C286" s="276" t="s">
        <v>9888</v>
      </c>
    </row>
    <row r="287" spans="1:3" ht="14.1" customHeight="1" x14ac:dyDescent="0.25">
      <c r="A287" s="274" t="s">
        <v>8816</v>
      </c>
      <c r="B287" s="275" t="s">
        <v>9889</v>
      </c>
      <c r="C287" s="276" t="s">
        <v>9890</v>
      </c>
    </row>
    <row r="288" spans="1:3" ht="14.1" customHeight="1" x14ac:dyDescent="0.25">
      <c r="A288" s="274" t="s">
        <v>8816</v>
      </c>
      <c r="B288" s="275" t="s">
        <v>9891</v>
      </c>
      <c r="C288" s="276" t="s">
        <v>9892</v>
      </c>
    </row>
    <row r="289" spans="1:3" ht="14.1" customHeight="1" x14ac:dyDescent="0.25">
      <c r="A289" s="274" t="s">
        <v>8816</v>
      </c>
      <c r="B289" s="275" t="s">
        <v>9893</v>
      </c>
      <c r="C289" s="276" t="s">
        <v>9894</v>
      </c>
    </row>
    <row r="290" spans="1:3" ht="14.1" customHeight="1" x14ac:dyDescent="0.25">
      <c r="A290" s="118" t="s">
        <v>8816</v>
      </c>
      <c r="B290" s="272" t="s">
        <v>9895</v>
      </c>
      <c r="C290" s="259" t="s">
        <v>9896</v>
      </c>
    </row>
    <row r="291" spans="1:3" ht="14.1" customHeight="1" x14ac:dyDescent="0.25">
      <c r="A291" s="118" t="s">
        <v>8816</v>
      </c>
      <c r="B291" s="272" t="s">
        <v>9897</v>
      </c>
      <c r="C291" s="259" t="s">
        <v>9898</v>
      </c>
    </row>
    <row r="292" spans="1:3" ht="14.1" customHeight="1" x14ac:dyDescent="0.25">
      <c r="A292" s="118" t="s">
        <v>8816</v>
      </c>
      <c r="B292" s="272" t="s">
        <v>9899</v>
      </c>
      <c r="C292" s="259" t="s">
        <v>9900</v>
      </c>
    </row>
    <row r="293" spans="1:3" ht="14.1" customHeight="1" x14ac:dyDescent="0.25">
      <c r="A293" s="118" t="s">
        <v>8816</v>
      </c>
      <c r="B293" s="272" t="s">
        <v>9901</v>
      </c>
      <c r="C293" s="259" t="s">
        <v>9902</v>
      </c>
    </row>
    <row r="294" spans="1:3" ht="14.1" customHeight="1" x14ac:dyDescent="0.25">
      <c r="A294" s="118" t="s">
        <v>8816</v>
      </c>
      <c r="B294" s="272" t="s">
        <v>9903</v>
      </c>
      <c r="C294" s="259" t="s">
        <v>9904</v>
      </c>
    </row>
    <row r="295" spans="1:3" ht="14.1" customHeight="1" x14ac:dyDescent="0.25">
      <c r="A295" s="273" t="s">
        <v>8816</v>
      </c>
      <c r="B295" s="272" t="s">
        <v>9905</v>
      </c>
      <c r="C295" s="259" t="s">
        <v>9906</v>
      </c>
    </row>
    <row r="296" spans="1:3" ht="14.1" customHeight="1" x14ac:dyDescent="0.25">
      <c r="A296" s="118" t="s">
        <v>8816</v>
      </c>
      <c r="B296" s="272" t="s">
        <v>9907</v>
      </c>
      <c r="C296" s="259" t="s">
        <v>9908</v>
      </c>
    </row>
    <row r="297" spans="1:3" ht="14.1" customHeight="1" x14ac:dyDescent="0.25">
      <c r="A297" s="118" t="s">
        <v>8816</v>
      </c>
      <c r="B297" s="272" t="s">
        <v>9909</v>
      </c>
      <c r="C297" s="263" t="s">
        <v>9910</v>
      </c>
    </row>
    <row r="298" spans="1:3" ht="14.1" customHeight="1" x14ac:dyDescent="0.25">
      <c r="A298" s="118" t="s">
        <v>8816</v>
      </c>
      <c r="B298" s="272" t="s">
        <v>9911</v>
      </c>
      <c r="C298" s="259" t="s">
        <v>9912</v>
      </c>
    </row>
    <row r="299" spans="1:3" ht="14.1" customHeight="1" x14ac:dyDescent="0.25">
      <c r="A299" s="118" t="s">
        <v>8816</v>
      </c>
      <c r="B299" s="272" t="s">
        <v>9913</v>
      </c>
      <c r="C299" s="259" t="s">
        <v>9914</v>
      </c>
    </row>
    <row r="300" spans="1:3" ht="14.1" customHeight="1" x14ac:dyDescent="0.25">
      <c r="A300" s="118" t="s">
        <v>8816</v>
      </c>
      <c r="B300" s="272" t="s">
        <v>9915</v>
      </c>
      <c r="C300" s="259" t="s">
        <v>9916</v>
      </c>
    </row>
    <row r="301" spans="1:3" ht="14.1" customHeight="1" x14ac:dyDescent="0.25">
      <c r="A301" s="118" t="s">
        <v>8816</v>
      </c>
      <c r="B301" s="272" t="s">
        <v>9917</v>
      </c>
      <c r="C301" s="259" t="s">
        <v>9918</v>
      </c>
    </row>
    <row r="302" spans="1:3" ht="14.1" customHeight="1" x14ac:dyDescent="0.25">
      <c r="A302" s="118" t="s">
        <v>8816</v>
      </c>
      <c r="B302" s="272" t="s">
        <v>9919</v>
      </c>
      <c r="C302" s="259" t="s">
        <v>9920</v>
      </c>
    </row>
    <row r="303" spans="1:3" ht="14.1" customHeight="1" x14ac:dyDescent="0.25">
      <c r="A303" s="118" t="s">
        <v>8816</v>
      </c>
      <c r="B303" s="272" t="s">
        <v>9921</v>
      </c>
      <c r="C303" s="259" t="s">
        <v>9922</v>
      </c>
    </row>
    <row r="304" spans="1:3" ht="14.1" customHeight="1" x14ac:dyDescent="0.25">
      <c r="A304" s="118" t="s">
        <v>8816</v>
      </c>
      <c r="B304" s="272" t="s">
        <v>9923</v>
      </c>
      <c r="C304" s="259" t="s">
        <v>9924</v>
      </c>
    </row>
    <row r="305" spans="1:3" ht="14.1" customHeight="1" x14ac:dyDescent="0.25">
      <c r="A305" s="118" t="s">
        <v>8816</v>
      </c>
      <c r="B305" s="272" t="s">
        <v>9925</v>
      </c>
      <c r="C305" s="259" t="s">
        <v>9926</v>
      </c>
    </row>
    <row r="306" spans="1:3" ht="14.1" customHeight="1" x14ac:dyDescent="0.25">
      <c r="A306" s="118" t="s">
        <v>8816</v>
      </c>
      <c r="B306" s="272" t="s">
        <v>9927</v>
      </c>
      <c r="C306" s="259" t="s">
        <v>9928</v>
      </c>
    </row>
    <row r="307" spans="1:3" ht="14.1" customHeight="1" x14ac:dyDescent="0.25">
      <c r="A307" s="118" t="s">
        <v>8816</v>
      </c>
      <c r="B307" s="272" t="s">
        <v>9929</v>
      </c>
      <c r="C307" s="259" t="s">
        <v>9930</v>
      </c>
    </row>
    <row r="308" spans="1:3" ht="14.1" customHeight="1" x14ac:dyDescent="0.25">
      <c r="A308" s="118" t="s">
        <v>8816</v>
      </c>
      <c r="B308" s="272" t="s">
        <v>9931</v>
      </c>
      <c r="C308" s="259" t="s">
        <v>9932</v>
      </c>
    </row>
    <row r="309" spans="1:3" ht="14.1" customHeight="1" x14ac:dyDescent="0.25">
      <c r="A309" s="118" t="s">
        <v>8816</v>
      </c>
      <c r="B309" s="272" t="s">
        <v>9933</v>
      </c>
      <c r="C309" s="259" t="s">
        <v>9934</v>
      </c>
    </row>
    <row r="310" spans="1:3" ht="14.1" customHeight="1" x14ac:dyDescent="0.25">
      <c r="A310" s="118" t="s">
        <v>8816</v>
      </c>
      <c r="B310" s="272" t="s">
        <v>9935</v>
      </c>
      <c r="C310" s="259" t="s">
        <v>9936</v>
      </c>
    </row>
    <row r="311" spans="1:3" ht="14.1" customHeight="1" x14ac:dyDescent="0.25">
      <c r="A311" s="118" t="s">
        <v>8816</v>
      </c>
      <c r="B311" s="272" t="s">
        <v>9937</v>
      </c>
      <c r="C311" s="259" t="s">
        <v>9938</v>
      </c>
    </row>
    <row r="312" spans="1:3" ht="14.1" customHeight="1" x14ac:dyDescent="0.25">
      <c r="A312" s="118" t="s">
        <v>8816</v>
      </c>
      <c r="B312" s="272" t="s">
        <v>9939</v>
      </c>
      <c r="C312" s="259" t="s">
        <v>9940</v>
      </c>
    </row>
    <row r="313" spans="1:3" ht="14.1" customHeight="1" x14ac:dyDescent="0.25">
      <c r="A313" s="118" t="s">
        <v>8816</v>
      </c>
      <c r="B313" s="272" t="s">
        <v>9941</v>
      </c>
      <c r="C313" s="259" t="s">
        <v>9942</v>
      </c>
    </row>
    <row r="314" spans="1:3" ht="14.1" customHeight="1" x14ac:dyDescent="0.25">
      <c r="A314" s="118" t="s">
        <v>8816</v>
      </c>
      <c r="B314" s="272" t="s">
        <v>9943</v>
      </c>
      <c r="C314" s="259" t="s">
        <v>9944</v>
      </c>
    </row>
    <row r="315" spans="1:3" ht="14.1" customHeight="1" x14ac:dyDescent="0.25">
      <c r="A315" s="118" t="s">
        <v>8816</v>
      </c>
      <c r="B315" s="272" t="s">
        <v>9945</v>
      </c>
      <c r="C315" s="259" t="s">
        <v>9946</v>
      </c>
    </row>
    <row r="316" spans="1:3" ht="14.1" customHeight="1" x14ac:dyDescent="0.25">
      <c r="A316" s="118" t="s">
        <v>8816</v>
      </c>
      <c r="B316" s="272" t="s">
        <v>9947</v>
      </c>
      <c r="C316" s="259" t="s">
        <v>9948</v>
      </c>
    </row>
    <row r="317" spans="1:3" ht="14.1" customHeight="1" x14ac:dyDescent="0.25">
      <c r="A317" s="118" t="s">
        <v>8816</v>
      </c>
      <c r="B317" s="272" t="s">
        <v>9949</v>
      </c>
      <c r="C317" s="259" t="s">
        <v>9950</v>
      </c>
    </row>
    <row r="318" spans="1:3" ht="14.1" customHeight="1" x14ac:dyDescent="0.25">
      <c r="A318" s="118" t="s">
        <v>8816</v>
      </c>
      <c r="B318" s="272" t="s">
        <v>9951</v>
      </c>
      <c r="C318" s="259" t="s">
        <v>9952</v>
      </c>
    </row>
    <row r="319" spans="1:3" ht="14.1" customHeight="1" x14ac:dyDescent="0.25">
      <c r="A319" s="118" t="s">
        <v>8816</v>
      </c>
      <c r="B319" s="272" t="s">
        <v>9953</v>
      </c>
      <c r="C319" s="259" t="s">
        <v>9954</v>
      </c>
    </row>
    <row r="320" spans="1:3" ht="14.1" customHeight="1" x14ac:dyDescent="0.25">
      <c r="A320" s="118" t="s">
        <v>8816</v>
      </c>
      <c r="B320" s="272" t="s">
        <v>9955</v>
      </c>
      <c r="C320" s="259" t="s">
        <v>9956</v>
      </c>
    </row>
    <row r="321" spans="1:3" ht="14.1" customHeight="1" x14ac:dyDescent="0.25">
      <c r="A321" s="118" t="s">
        <v>8816</v>
      </c>
      <c r="B321" s="272" t="s">
        <v>9957</v>
      </c>
      <c r="C321" s="259" t="s">
        <v>9958</v>
      </c>
    </row>
    <row r="322" spans="1:3" ht="14.1" customHeight="1" x14ac:dyDescent="0.25">
      <c r="A322" s="118" t="s">
        <v>8816</v>
      </c>
      <c r="B322" s="272" t="s">
        <v>9959</v>
      </c>
      <c r="C322" s="259" t="s">
        <v>9960</v>
      </c>
    </row>
    <row r="323" spans="1:3" ht="14.1" customHeight="1" x14ac:dyDescent="0.25">
      <c r="A323" s="272" t="s">
        <v>8816</v>
      </c>
      <c r="B323" s="272" t="s">
        <v>9961</v>
      </c>
      <c r="C323" s="259" t="s">
        <v>9962</v>
      </c>
    </row>
    <row r="324" spans="1:3" ht="14.1" customHeight="1" x14ac:dyDescent="0.25">
      <c r="A324" s="118" t="s">
        <v>8816</v>
      </c>
      <c r="B324" s="272" t="s">
        <v>9963</v>
      </c>
      <c r="C324" s="259" t="s">
        <v>9964</v>
      </c>
    </row>
    <row r="325" spans="1:3" ht="14.1" customHeight="1" x14ac:dyDescent="0.25">
      <c r="A325" s="118" t="s">
        <v>8816</v>
      </c>
      <c r="B325" s="272" t="s">
        <v>9965</v>
      </c>
      <c r="C325" s="259" t="s">
        <v>9966</v>
      </c>
    </row>
    <row r="326" spans="1:3" ht="14.1" customHeight="1" x14ac:dyDescent="0.25">
      <c r="A326" s="118" t="s">
        <v>8816</v>
      </c>
      <c r="B326" s="272" t="s">
        <v>9967</v>
      </c>
      <c r="C326" s="259" t="s">
        <v>9968</v>
      </c>
    </row>
    <row r="327" spans="1:3" ht="14.1" customHeight="1" x14ac:dyDescent="0.25">
      <c r="A327" s="272" t="s">
        <v>8816</v>
      </c>
      <c r="B327" s="272" t="s">
        <v>9969</v>
      </c>
      <c r="C327" s="259" t="s">
        <v>9970</v>
      </c>
    </row>
    <row r="328" spans="1:3" ht="14.1" customHeight="1" x14ac:dyDescent="0.25">
      <c r="A328" s="118" t="s">
        <v>8816</v>
      </c>
      <c r="B328" s="272" t="s">
        <v>9971</v>
      </c>
      <c r="C328" s="259" t="s">
        <v>9972</v>
      </c>
    </row>
    <row r="329" spans="1:3" ht="14.1" customHeight="1" x14ac:dyDescent="0.25">
      <c r="A329" s="274" t="s">
        <v>8816</v>
      </c>
      <c r="B329" s="275">
        <v>120991</v>
      </c>
      <c r="C329" s="276" t="s">
        <v>9973</v>
      </c>
    </row>
    <row r="330" spans="1:3" ht="14.1" customHeight="1" x14ac:dyDescent="0.25">
      <c r="A330" s="118" t="s">
        <v>8816</v>
      </c>
      <c r="B330" s="272" t="s">
        <v>9974</v>
      </c>
      <c r="C330" s="259" t="s">
        <v>9975</v>
      </c>
    </row>
    <row r="331" spans="1:3" ht="14.1" customHeight="1" x14ac:dyDescent="0.25">
      <c r="A331" s="118" t="s">
        <v>8816</v>
      </c>
      <c r="B331" s="272" t="s">
        <v>9976</v>
      </c>
      <c r="C331" s="259" t="s">
        <v>9977</v>
      </c>
    </row>
    <row r="332" spans="1:3" ht="14.1" customHeight="1" x14ac:dyDescent="0.25">
      <c r="A332" s="118" t="s">
        <v>8816</v>
      </c>
      <c r="B332" s="272" t="s">
        <v>9978</v>
      </c>
      <c r="C332" s="259" t="s">
        <v>9979</v>
      </c>
    </row>
    <row r="333" spans="1:3" ht="14.1" customHeight="1" x14ac:dyDescent="0.25">
      <c r="A333" s="118" t="s">
        <v>8816</v>
      </c>
      <c r="B333" s="272" t="s">
        <v>9980</v>
      </c>
      <c r="C333" s="259" t="s">
        <v>9981</v>
      </c>
    </row>
    <row r="334" spans="1:3" ht="14.1" customHeight="1" x14ac:dyDescent="0.25">
      <c r="A334" s="118" t="s">
        <v>8816</v>
      </c>
      <c r="B334" s="272" t="s">
        <v>9982</v>
      </c>
      <c r="C334" s="259" t="s">
        <v>9983</v>
      </c>
    </row>
    <row r="335" spans="1:3" ht="14.1" customHeight="1" x14ac:dyDescent="0.25">
      <c r="A335" s="118" t="s">
        <v>8816</v>
      </c>
      <c r="B335" s="272" t="s">
        <v>9984</v>
      </c>
      <c r="C335" s="259" t="s">
        <v>9985</v>
      </c>
    </row>
    <row r="336" spans="1:3" ht="14.1" customHeight="1" x14ac:dyDescent="0.25">
      <c r="A336" s="118" t="s">
        <v>8816</v>
      </c>
      <c r="B336" s="272" t="s">
        <v>9986</v>
      </c>
      <c r="C336" s="259" t="s">
        <v>9987</v>
      </c>
    </row>
    <row r="337" spans="1:3" ht="14.1" customHeight="1" x14ac:dyDescent="0.25">
      <c r="A337" s="118" t="s">
        <v>8816</v>
      </c>
      <c r="B337" s="272" t="s">
        <v>9988</v>
      </c>
      <c r="C337" s="259" t="s">
        <v>9989</v>
      </c>
    </row>
    <row r="338" spans="1:3" ht="14.1" customHeight="1" x14ac:dyDescent="0.25">
      <c r="A338" s="274" t="s">
        <v>8816</v>
      </c>
      <c r="B338" s="275" t="s">
        <v>9990</v>
      </c>
      <c r="C338" s="276" t="s">
        <v>9991</v>
      </c>
    </row>
    <row r="339" spans="1:3" ht="14.1" customHeight="1" x14ac:dyDescent="0.25">
      <c r="A339" s="118" t="s">
        <v>8816</v>
      </c>
      <c r="B339" s="272" t="s">
        <v>9992</v>
      </c>
      <c r="C339" s="259" t="s">
        <v>9993</v>
      </c>
    </row>
    <row r="340" spans="1:3" ht="14.1" customHeight="1" x14ac:dyDescent="0.25">
      <c r="A340" s="118" t="s">
        <v>8816</v>
      </c>
      <c r="B340" s="272" t="s">
        <v>9994</v>
      </c>
      <c r="C340" s="259" t="s">
        <v>9995</v>
      </c>
    </row>
    <row r="341" spans="1:3" ht="14.1" customHeight="1" x14ac:dyDescent="0.25">
      <c r="A341" s="118" t="s">
        <v>8816</v>
      </c>
      <c r="B341" s="272" t="s">
        <v>9996</v>
      </c>
      <c r="C341" s="259" t="s">
        <v>9997</v>
      </c>
    </row>
    <row r="342" spans="1:3" ht="14.1" customHeight="1" x14ac:dyDescent="0.25">
      <c r="A342" s="118" t="s">
        <v>8816</v>
      </c>
      <c r="B342" s="272" t="s">
        <v>9998</v>
      </c>
      <c r="C342" s="259" t="s">
        <v>9999</v>
      </c>
    </row>
    <row r="343" spans="1:3" ht="14.1" customHeight="1" x14ac:dyDescent="0.25">
      <c r="A343" s="118" t="s">
        <v>8816</v>
      </c>
      <c r="B343" s="272" t="s">
        <v>10000</v>
      </c>
      <c r="C343" s="259" t="s">
        <v>10001</v>
      </c>
    </row>
    <row r="344" spans="1:3" ht="14.1" customHeight="1" x14ac:dyDescent="0.25">
      <c r="A344" s="118" t="s">
        <v>8816</v>
      </c>
      <c r="B344" s="272" t="s">
        <v>10002</v>
      </c>
      <c r="C344" s="259" t="s">
        <v>10003</v>
      </c>
    </row>
    <row r="345" spans="1:3" ht="14.1" customHeight="1" x14ac:dyDescent="0.25">
      <c r="A345" s="118" t="s">
        <v>8816</v>
      </c>
      <c r="B345" s="272" t="s">
        <v>10004</v>
      </c>
      <c r="C345" s="259" t="s">
        <v>10005</v>
      </c>
    </row>
    <row r="346" spans="1:3" ht="14.1" customHeight="1" x14ac:dyDescent="0.25">
      <c r="A346" s="118" t="s">
        <v>8816</v>
      </c>
      <c r="B346" s="272" t="s">
        <v>10006</v>
      </c>
      <c r="C346" s="259" t="s">
        <v>10007</v>
      </c>
    </row>
    <row r="347" spans="1:3" ht="14.1" customHeight="1" x14ac:dyDescent="0.25">
      <c r="A347" s="118" t="s">
        <v>8816</v>
      </c>
      <c r="B347" s="272" t="s">
        <v>10008</v>
      </c>
      <c r="C347" s="259" t="s">
        <v>10009</v>
      </c>
    </row>
    <row r="348" spans="1:3" ht="14.1" customHeight="1" x14ac:dyDescent="0.25">
      <c r="A348" s="118" t="s">
        <v>8816</v>
      </c>
      <c r="B348" s="272" t="s">
        <v>10010</v>
      </c>
      <c r="C348" s="259" t="s">
        <v>10011</v>
      </c>
    </row>
    <row r="349" spans="1:3" ht="14.1" customHeight="1" x14ac:dyDescent="0.25">
      <c r="A349" s="118" t="s">
        <v>8816</v>
      </c>
      <c r="B349" s="272" t="s">
        <v>10012</v>
      </c>
      <c r="C349" s="259" t="s">
        <v>10013</v>
      </c>
    </row>
    <row r="350" spans="1:3" ht="14.1" customHeight="1" x14ac:dyDescent="0.25">
      <c r="A350" s="118" t="s">
        <v>8816</v>
      </c>
      <c r="B350" s="272" t="s">
        <v>10014</v>
      </c>
      <c r="C350" s="259" t="s">
        <v>10015</v>
      </c>
    </row>
    <row r="351" spans="1:3" ht="14.1" customHeight="1" x14ac:dyDescent="0.25">
      <c r="A351" s="118" t="s">
        <v>8816</v>
      </c>
      <c r="B351" s="272" t="s">
        <v>10016</v>
      </c>
      <c r="C351" s="259" t="s">
        <v>10017</v>
      </c>
    </row>
    <row r="352" spans="1:3" ht="14.1" customHeight="1" x14ac:dyDescent="0.25">
      <c r="A352" s="118" t="s">
        <v>8816</v>
      </c>
      <c r="B352" s="272" t="s">
        <v>10018</v>
      </c>
      <c r="C352" s="259" t="s">
        <v>10019</v>
      </c>
    </row>
    <row r="353" spans="1:3" ht="14.1" customHeight="1" x14ac:dyDescent="0.25">
      <c r="A353" s="118" t="s">
        <v>8816</v>
      </c>
      <c r="B353" s="272" t="s">
        <v>10020</v>
      </c>
      <c r="C353" s="259" t="s">
        <v>10021</v>
      </c>
    </row>
    <row r="354" spans="1:3" ht="14.1" customHeight="1" x14ac:dyDescent="0.25">
      <c r="A354" s="118" t="s">
        <v>8816</v>
      </c>
      <c r="B354" s="272" t="s">
        <v>10022</v>
      </c>
      <c r="C354" s="259" t="s">
        <v>10023</v>
      </c>
    </row>
    <row r="355" spans="1:3" ht="14.1" customHeight="1" x14ac:dyDescent="0.25">
      <c r="A355" s="118" t="s">
        <v>8816</v>
      </c>
      <c r="B355" s="272" t="s">
        <v>10024</v>
      </c>
      <c r="C355" s="259" t="s">
        <v>10025</v>
      </c>
    </row>
    <row r="356" spans="1:3" ht="14.1" customHeight="1" x14ac:dyDescent="0.25">
      <c r="A356" s="118" t="s">
        <v>8816</v>
      </c>
      <c r="B356" s="272" t="s">
        <v>10026</v>
      </c>
      <c r="C356" s="259" t="s">
        <v>10027</v>
      </c>
    </row>
    <row r="357" spans="1:3" ht="14.1" customHeight="1" x14ac:dyDescent="0.25">
      <c r="A357" s="118" t="s">
        <v>8816</v>
      </c>
      <c r="B357" s="272" t="s">
        <v>10028</v>
      </c>
      <c r="C357" s="259" t="s">
        <v>10029</v>
      </c>
    </row>
    <row r="358" spans="1:3" ht="14.1" customHeight="1" x14ac:dyDescent="0.25">
      <c r="A358" s="118" t="s">
        <v>8816</v>
      </c>
      <c r="B358" s="272" t="s">
        <v>10030</v>
      </c>
      <c r="C358" s="259" t="s">
        <v>10031</v>
      </c>
    </row>
    <row r="359" spans="1:3" ht="14.1" customHeight="1" x14ac:dyDescent="0.25">
      <c r="A359" s="118" t="s">
        <v>8816</v>
      </c>
      <c r="B359" s="272" t="s">
        <v>10032</v>
      </c>
      <c r="C359" s="259" t="s">
        <v>10033</v>
      </c>
    </row>
    <row r="360" spans="1:3" ht="14.1" customHeight="1" x14ac:dyDescent="0.25">
      <c r="A360" s="118" t="s">
        <v>8816</v>
      </c>
      <c r="B360" s="272" t="s">
        <v>10034</v>
      </c>
      <c r="C360" s="259" t="s">
        <v>10035</v>
      </c>
    </row>
    <row r="361" spans="1:3" ht="14.1" customHeight="1" x14ac:dyDescent="0.25">
      <c r="A361" s="118" t="s">
        <v>8816</v>
      </c>
      <c r="B361" s="272" t="s">
        <v>10036</v>
      </c>
      <c r="C361" s="259" t="s">
        <v>10037</v>
      </c>
    </row>
    <row r="362" spans="1:3" ht="14.1" customHeight="1" x14ac:dyDescent="0.25">
      <c r="A362" s="118" t="s">
        <v>8816</v>
      </c>
      <c r="B362" s="272" t="s">
        <v>10038</v>
      </c>
      <c r="C362" s="259" t="s">
        <v>10039</v>
      </c>
    </row>
    <row r="363" spans="1:3" ht="14.1" customHeight="1" x14ac:dyDescent="0.25">
      <c r="A363" s="118" t="s">
        <v>8816</v>
      </c>
      <c r="B363" s="272" t="s">
        <v>10040</v>
      </c>
      <c r="C363" s="259" t="s">
        <v>10041</v>
      </c>
    </row>
    <row r="364" spans="1:3" ht="14.1" customHeight="1" x14ac:dyDescent="0.25">
      <c r="A364" s="118" t="s">
        <v>8816</v>
      </c>
      <c r="B364" s="272" t="s">
        <v>10042</v>
      </c>
      <c r="C364" s="259" t="s">
        <v>10043</v>
      </c>
    </row>
    <row r="365" spans="1:3" ht="14.1" customHeight="1" x14ac:dyDescent="0.25">
      <c r="A365" s="118" t="s">
        <v>8816</v>
      </c>
      <c r="B365" s="272" t="s">
        <v>10044</v>
      </c>
      <c r="C365" s="259" t="s">
        <v>10045</v>
      </c>
    </row>
    <row r="366" spans="1:3" ht="14.1" customHeight="1" x14ac:dyDescent="0.25">
      <c r="A366" s="118" t="s">
        <v>8816</v>
      </c>
      <c r="B366" s="272" t="s">
        <v>10046</v>
      </c>
      <c r="C366" s="259" t="s">
        <v>10047</v>
      </c>
    </row>
    <row r="367" spans="1:3" ht="14.1" customHeight="1" x14ac:dyDescent="0.25">
      <c r="A367" s="118" t="s">
        <v>8816</v>
      </c>
      <c r="B367" s="272" t="s">
        <v>10048</v>
      </c>
      <c r="C367" s="259" t="s">
        <v>10049</v>
      </c>
    </row>
    <row r="368" spans="1:3" ht="14.1" customHeight="1" x14ac:dyDescent="0.25">
      <c r="A368" s="118" t="s">
        <v>8816</v>
      </c>
      <c r="B368" s="272" t="s">
        <v>10050</v>
      </c>
      <c r="C368" s="259" t="s">
        <v>10051</v>
      </c>
    </row>
    <row r="369" spans="1:3" ht="14.1" customHeight="1" x14ac:dyDescent="0.25">
      <c r="A369" s="118" t="s">
        <v>8816</v>
      </c>
      <c r="B369" s="272" t="s">
        <v>10052</v>
      </c>
      <c r="C369" s="259" t="s">
        <v>10053</v>
      </c>
    </row>
    <row r="370" spans="1:3" ht="14.1" customHeight="1" x14ac:dyDescent="0.25">
      <c r="A370" s="118" t="s">
        <v>8816</v>
      </c>
      <c r="B370" s="272" t="s">
        <v>10054</v>
      </c>
      <c r="C370" s="259" t="s">
        <v>10055</v>
      </c>
    </row>
    <row r="371" spans="1:3" ht="14.1" customHeight="1" x14ac:dyDescent="0.25">
      <c r="A371" s="118" t="s">
        <v>8816</v>
      </c>
      <c r="B371" s="272" t="s">
        <v>10056</v>
      </c>
      <c r="C371" s="259" t="s">
        <v>10057</v>
      </c>
    </row>
    <row r="372" spans="1:3" ht="14.1" customHeight="1" x14ac:dyDescent="0.25">
      <c r="A372" s="118" t="s">
        <v>8816</v>
      </c>
      <c r="B372" s="272" t="s">
        <v>10058</v>
      </c>
      <c r="C372" s="259" t="s">
        <v>10059</v>
      </c>
    </row>
    <row r="373" spans="1:3" ht="14.1" customHeight="1" x14ac:dyDescent="0.25">
      <c r="A373" s="118" t="s">
        <v>8816</v>
      </c>
      <c r="B373" s="272" t="s">
        <v>10060</v>
      </c>
      <c r="C373" s="259" t="s">
        <v>10061</v>
      </c>
    </row>
    <row r="374" spans="1:3" ht="14.1" customHeight="1" x14ac:dyDescent="0.25">
      <c r="A374" s="118" t="s">
        <v>8816</v>
      </c>
      <c r="B374" s="272" t="s">
        <v>10062</v>
      </c>
      <c r="C374" s="259" t="s">
        <v>10063</v>
      </c>
    </row>
    <row r="375" spans="1:3" ht="14.1" customHeight="1" x14ac:dyDescent="0.25">
      <c r="A375" s="118" t="s">
        <v>8816</v>
      </c>
      <c r="B375" s="272" t="s">
        <v>10064</v>
      </c>
      <c r="C375" s="259" t="s">
        <v>10065</v>
      </c>
    </row>
    <row r="376" spans="1:3" ht="14.1" customHeight="1" x14ac:dyDescent="0.25">
      <c r="A376" s="118" t="s">
        <v>8816</v>
      </c>
      <c r="B376" s="272" t="s">
        <v>10066</v>
      </c>
      <c r="C376" s="259" t="s">
        <v>10067</v>
      </c>
    </row>
    <row r="377" spans="1:3" ht="14.1" customHeight="1" x14ac:dyDescent="0.25">
      <c r="A377" s="118" t="s">
        <v>8816</v>
      </c>
      <c r="B377" s="272" t="s">
        <v>10068</v>
      </c>
      <c r="C377" s="259" t="s">
        <v>10069</v>
      </c>
    </row>
    <row r="378" spans="1:3" ht="14.1" customHeight="1" x14ac:dyDescent="0.25">
      <c r="A378" s="118" t="s">
        <v>8816</v>
      </c>
      <c r="B378" s="272" t="s">
        <v>10070</v>
      </c>
      <c r="C378" s="259" t="s">
        <v>10071</v>
      </c>
    </row>
    <row r="379" spans="1:3" ht="14.1" customHeight="1" x14ac:dyDescent="0.25">
      <c r="A379" s="118" t="s">
        <v>8816</v>
      </c>
      <c r="B379" s="272" t="s">
        <v>10072</v>
      </c>
      <c r="C379" s="259" t="s">
        <v>10073</v>
      </c>
    </row>
    <row r="380" spans="1:3" ht="14.1" customHeight="1" x14ac:dyDescent="0.25">
      <c r="A380" s="118" t="s">
        <v>8816</v>
      </c>
      <c r="B380" s="272" t="s">
        <v>10074</v>
      </c>
      <c r="C380" s="259" t="s">
        <v>10075</v>
      </c>
    </row>
    <row r="381" spans="1:3" ht="14.1" customHeight="1" x14ac:dyDescent="0.25">
      <c r="A381" s="118" t="s">
        <v>8816</v>
      </c>
      <c r="B381" s="272" t="s">
        <v>10076</v>
      </c>
      <c r="C381" s="259" t="s">
        <v>10077</v>
      </c>
    </row>
    <row r="382" spans="1:3" ht="14.1" customHeight="1" x14ac:dyDescent="0.25">
      <c r="A382" s="118" t="s">
        <v>8816</v>
      </c>
      <c r="B382" s="272" t="s">
        <v>10078</v>
      </c>
      <c r="C382" s="259" t="s">
        <v>10079</v>
      </c>
    </row>
    <row r="383" spans="1:3" ht="14.1" customHeight="1" x14ac:dyDescent="0.25">
      <c r="A383" s="118" t="s">
        <v>8816</v>
      </c>
      <c r="B383" s="272" t="s">
        <v>10080</v>
      </c>
      <c r="C383" s="259" t="s">
        <v>10081</v>
      </c>
    </row>
    <row r="384" spans="1:3" ht="14.1" customHeight="1" x14ac:dyDescent="0.25">
      <c r="A384" s="118" t="s">
        <v>8816</v>
      </c>
      <c r="B384" s="272" t="s">
        <v>10082</v>
      </c>
      <c r="C384" s="259" t="s">
        <v>10083</v>
      </c>
    </row>
    <row r="385" spans="1:3" ht="14.1" customHeight="1" x14ac:dyDescent="0.25">
      <c r="A385" s="118" t="s">
        <v>8816</v>
      </c>
      <c r="B385" s="272" t="s">
        <v>10084</v>
      </c>
      <c r="C385" s="259" t="s">
        <v>10085</v>
      </c>
    </row>
    <row r="386" spans="1:3" ht="14.1" customHeight="1" x14ac:dyDescent="0.25">
      <c r="A386" s="118" t="s">
        <v>8816</v>
      </c>
      <c r="B386" s="272" t="s">
        <v>10086</v>
      </c>
      <c r="C386" s="259" t="s">
        <v>10087</v>
      </c>
    </row>
    <row r="387" spans="1:3" ht="14.1" customHeight="1" x14ac:dyDescent="0.25">
      <c r="A387" s="118" t="s">
        <v>8816</v>
      </c>
      <c r="B387" s="272" t="s">
        <v>10088</v>
      </c>
      <c r="C387" s="259" t="s">
        <v>10089</v>
      </c>
    </row>
    <row r="388" spans="1:3" ht="14.1" customHeight="1" x14ac:dyDescent="0.25">
      <c r="A388" s="118" t="s">
        <v>8816</v>
      </c>
      <c r="B388" s="272" t="s">
        <v>10090</v>
      </c>
      <c r="C388" s="259" t="s">
        <v>10091</v>
      </c>
    </row>
    <row r="389" spans="1:3" ht="14.1" customHeight="1" x14ac:dyDescent="0.25">
      <c r="A389" s="118" t="s">
        <v>8816</v>
      </c>
      <c r="B389" s="272" t="s">
        <v>10092</v>
      </c>
      <c r="C389" s="259" t="s">
        <v>10093</v>
      </c>
    </row>
    <row r="390" spans="1:3" ht="14.1" customHeight="1" x14ac:dyDescent="0.25">
      <c r="A390" s="274" t="s">
        <v>8816</v>
      </c>
      <c r="B390" s="275" t="s">
        <v>10094</v>
      </c>
      <c r="C390" s="276" t="s">
        <v>10095</v>
      </c>
    </row>
    <row r="391" spans="1:3" ht="14.1" customHeight="1" x14ac:dyDescent="0.25">
      <c r="A391" s="118" t="s">
        <v>8816</v>
      </c>
      <c r="B391" s="272" t="s">
        <v>10096</v>
      </c>
      <c r="C391" s="259" t="s">
        <v>10097</v>
      </c>
    </row>
    <row r="392" spans="1:3" ht="14.1" customHeight="1" x14ac:dyDescent="0.25">
      <c r="A392" s="118" t="s">
        <v>8816</v>
      </c>
      <c r="B392" s="272" t="s">
        <v>10098</v>
      </c>
      <c r="C392" s="259" t="s">
        <v>10099</v>
      </c>
    </row>
    <row r="393" spans="1:3" ht="14.1" customHeight="1" x14ac:dyDescent="0.25">
      <c r="A393" s="118" t="s">
        <v>8816</v>
      </c>
      <c r="B393" s="272" t="s">
        <v>10100</v>
      </c>
      <c r="C393" s="259" t="s">
        <v>10101</v>
      </c>
    </row>
    <row r="394" spans="1:3" ht="14.1" customHeight="1" x14ac:dyDescent="0.25">
      <c r="A394" s="118" t="s">
        <v>8816</v>
      </c>
      <c r="B394" s="272" t="s">
        <v>10102</v>
      </c>
      <c r="C394" s="259" t="s">
        <v>10103</v>
      </c>
    </row>
    <row r="395" spans="1:3" ht="14.1" customHeight="1" x14ac:dyDescent="0.25">
      <c r="A395" s="118" t="s">
        <v>8816</v>
      </c>
      <c r="B395" s="272" t="s">
        <v>10104</v>
      </c>
      <c r="C395" s="259" t="s">
        <v>10105</v>
      </c>
    </row>
    <row r="396" spans="1:3" ht="14.1" customHeight="1" x14ac:dyDescent="0.25">
      <c r="A396" s="118" t="s">
        <v>8816</v>
      </c>
      <c r="B396" s="272" t="s">
        <v>10106</v>
      </c>
      <c r="C396" s="259" t="s">
        <v>10107</v>
      </c>
    </row>
    <row r="397" spans="1:3" ht="14.1" customHeight="1" x14ac:dyDescent="0.25">
      <c r="A397" s="118" t="s">
        <v>8816</v>
      </c>
      <c r="B397" s="272" t="s">
        <v>10108</v>
      </c>
      <c r="C397" s="259" t="s">
        <v>10109</v>
      </c>
    </row>
    <row r="398" spans="1:3" ht="14.1" customHeight="1" x14ac:dyDescent="0.25">
      <c r="A398" s="118" t="s">
        <v>8816</v>
      </c>
      <c r="B398" s="265" t="s">
        <v>10110</v>
      </c>
      <c r="C398" s="266" t="s">
        <v>10111</v>
      </c>
    </row>
    <row r="399" spans="1:3" ht="14.1" customHeight="1" x14ac:dyDescent="0.25">
      <c r="A399" s="272" t="s">
        <v>8816</v>
      </c>
      <c r="B399" s="272" t="s">
        <v>10112</v>
      </c>
      <c r="C399" s="259" t="s">
        <v>10113</v>
      </c>
    </row>
    <row r="400" spans="1:3" ht="14.1" customHeight="1" x14ac:dyDescent="0.25">
      <c r="A400" s="118" t="s">
        <v>8816</v>
      </c>
      <c r="B400" s="272" t="s">
        <v>10114</v>
      </c>
      <c r="C400" s="259" t="s">
        <v>10115</v>
      </c>
    </row>
    <row r="401" spans="1:3" ht="14.1" customHeight="1" x14ac:dyDescent="0.25">
      <c r="A401" s="118" t="s">
        <v>8816</v>
      </c>
      <c r="B401" s="265" t="s">
        <v>10116</v>
      </c>
      <c r="C401" s="266" t="s">
        <v>10117</v>
      </c>
    </row>
    <row r="402" spans="1:3" ht="14.1" customHeight="1" x14ac:dyDescent="0.25">
      <c r="A402" s="118" t="s">
        <v>8816</v>
      </c>
      <c r="B402" s="272" t="s">
        <v>10118</v>
      </c>
      <c r="C402" s="259" t="s">
        <v>10119</v>
      </c>
    </row>
    <row r="403" spans="1:3" ht="14.1" customHeight="1" x14ac:dyDescent="0.25">
      <c r="A403" s="118" t="s">
        <v>8816</v>
      </c>
      <c r="B403" s="272" t="s">
        <v>10120</v>
      </c>
      <c r="C403" s="259" t="s">
        <v>10121</v>
      </c>
    </row>
    <row r="404" spans="1:3" ht="14.1" customHeight="1" x14ac:dyDescent="0.25">
      <c r="A404" s="272" t="s">
        <v>8816</v>
      </c>
      <c r="B404" s="272" t="s">
        <v>10122</v>
      </c>
      <c r="C404" s="259" t="s">
        <v>10123</v>
      </c>
    </row>
    <row r="405" spans="1:3" ht="14.1" customHeight="1" x14ac:dyDescent="0.25">
      <c r="A405" s="118" t="s">
        <v>8816</v>
      </c>
      <c r="B405" s="272" t="s">
        <v>10124</v>
      </c>
      <c r="C405" s="259" t="s">
        <v>10125</v>
      </c>
    </row>
    <row r="406" spans="1:3" ht="14.1" customHeight="1" x14ac:dyDescent="0.25">
      <c r="A406" s="118" t="s">
        <v>8816</v>
      </c>
      <c r="B406" s="272" t="s">
        <v>10126</v>
      </c>
      <c r="C406" s="259" t="s">
        <v>10127</v>
      </c>
    </row>
    <row r="407" spans="1:3" ht="14.1" customHeight="1" x14ac:dyDescent="0.25">
      <c r="A407" s="118" t="s">
        <v>8816</v>
      </c>
      <c r="B407" s="272" t="s">
        <v>10128</v>
      </c>
      <c r="C407" s="259" t="s">
        <v>10129</v>
      </c>
    </row>
    <row r="408" spans="1:3" ht="14.1" customHeight="1" x14ac:dyDescent="0.25">
      <c r="A408" s="272" t="s">
        <v>8816</v>
      </c>
      <c r="B408" s="272" t="s">
        <v>10130</v>
      </c>
      <c r="C408" s="259" t="s">
        <v>10131</v>
      </c>
    </row>
    <row r="409" spans="1:3" ht="14.1" customHeight="1" x14ac:dyDescent="0.25">
      <c r="A409" s="118" t="s">
        <v>8816</v>
      </c>
      <c r="B409" s="272" t="s">
        <v>10132</v>
      </c>
      <c r="C409" s="259" t="s">
        <v>10133</v>
      </c>
    </row>
    <row r="410" spans="1:3" ht="14.1" customHeight="1" x14ac:dyDescent="0.25">
      <c r="A410" s="118" t="s">
        <v>8816</v>
      </c>
      <c r="B410" s="272" t="s">
        <v>10134</v>
      </c>
      <c r="C410" s="259" t="s">
        <v>10135</v>
      </c>
    </row>
    <row r="411" spans="1:3" ht="14.1" customHeight="1" x14ac:dyDescent="0.25">
      <c r="A411" s="118" t="s">
        <v>8816</v>
      </c>
      <c r="B411" s="272" t="s">
        <v>10136</v>
      </c>
      <c r="C411" s="259" t="s">
        <v>10137</v>
      </c>
    </row>
    <row r="412" spans="1:3" ht="14.1" customHeight="1" x14ac:dyDescent="0.25">
      <c r="A412" s="272" t="s">
        <v>8816</v>
      </c>
      <c r="B412" s="272" t="s">
        <v>10138</v>
      </c>
      <c r="C412" s="259" t="s">
        <v>10139</v>
      </c>
    </row>
    <row r="413" spans="1:3" ht="14.1" customHeight="1" x14ac:dyDescent="0.25">
      <c r="A413" s="118" t="s">
        <v>8816</v>
      </c>
      <c r="B413" s="272" t="s">
        <v>10140</v>
      </c>
      <c r="C413" s="259" t="s">
        <v>10141</v>
      </c>
    </row>
    <row r="414" spans="1:3" ht="14.1" customHeight="1" x14ac:dyDescent="0.25">
      <c r="A414" s="118" t="s">
        <v>8816</v>
      </c>
      <c r="B414" s="272" t="s">
        <v>10142</v>
      </c>
      <c r="C414" s="259" t="s">
        <v>10143</v>
      </c>
    </row>
    <row r="415" spans="1:3" ht="14.1" customHeight="1" x14ac:dyDescent="0.25">
      <c r="A415" s="118" t="s">
        <v>8816</v>
      </c>
      <c r="B415" s="272" t="s">
        <v>10144</v>
      </c>
      <c r="C415" s="259" t="s">
        <v>10145</v>
      </c>
    </row>
    <row r="416" spans="1:3" ht="14.1" customHeight="1" x14ac:dyDescent="0.25">
      <c r="A416" s="118" t="s">
        <v>8816</v>
      </c>
      <c r="B416" s="272" t="s">
        <v>10146</v>
      </c>
      <c r="C416" s="259" t="s">
        <v>10147</v>
      </c>
    </row>
    <row r="417" spans="1:3" ht="14.1" customHeight="1" x14ac:dyDescent="0.25">
      <c r="A417" s="118" t="s">
        <v>8816</v>
      </c>
      <c r="B417" s="272" t="s">
        <v>10148</v>
      </c>
      <c r="C417" s="259" t="s">
        <v>10149</v>
      </c>
    </row>
    <row r="418" spans="1:3" ht="14.1" customHeight="1" x14ac:dyDescent="0.25">
      <c r="A418" s="118" t="s">
        <v>8816</v>
      </c>
      <c r="B418" s="272" t="s">
        <v>10150</v>
      </c>
      <c r="C418" s="259" t="s">
        <v>10151</v>
      </c>
    </row>
    <row r="419" spans="1:3" ht="14.1" customHeight="1" x14ac:dyDescent="0.25">
      <c r="A419" s="118" t="s">
        <v>8816</v>
      </c>
      <c r="B419" s="272" t="s">
        <v>10152</v>
      </c>
      <c r="C419" s="259" t="s">
        <v>10153</v>
      </c>
    </row>
    <row r="420" spans="1:3" ht="14.1" customHeight="1" x14ac:dyDescent="0.25">
      <c r="A420" s="272" t="s">
        <v>8816</v>
      </c>
      <c r="B420" s="272" t="s">
        <v>10154</v>
      </c>
      <c r="C420" s="259" t="s">
        <v>10155</v>
      </c>
    </row>
    <row r="421" spans="1:3" ht="14.1" customHeight="1" x14ac:dyDescent="0.25">
      <c r="A421" s="118" t="s">
        <v>8816</v>
      </c>
      <c r="B421" s="272" t="s">
        <v>10156</v>
      </c>
      <c r="C421" s="259" t="s">
        <v>10157</v>
      </c>
    </row>
    <row r="422" spans="1:3" ht="14.1" customHeight="1" x14ac:dyDescent="0.25">
      <c r="A422" s="272" t="s">
        <v>8816</v>
      </c>
      <c r="B422" s="272" t="s">
        <v>10158</v>
      </c>
      <c r="C422" s="259" t="s">
        <v>10159</v>
      </c>
    </row>
    <row r="423" spans="1:3" ht="14.1" customHeight="1" x14ac:dyDescent="0.25">
      <c r="A423" s="118" t="s">
        <v>8816</v>
      </c>
      <c r="B423" s="272" t="s">
        <v>10160</v>
      </c>
      <c r="C423" s="259" t="s">
        <v>10161</v>
      </c>
    </row>
    <row r="424" spans="1:3" ht="14.1" customHeight="1" x14ac:dyDescent="0.25">
      <c r="A424" s="118" t="s">
        <v>8816</v>
      </c>
      <c r="B424" s="272" t="s">
        <v>10162</v>
      </c>
      <c r="C424" s="259" t="s">
        <v>10163</v>
      </c>
    </row>
    <row r="425" spans="1:3" ht="14.1" customHeight="1" x14ac:dyDescent="0.25">
      <c r="A425" s="118" t="s">
        <v>8816</v>
      </c>
      <c r="B425" s="272" t="s">
        <v>10164</v>
      </c>
      <c r="C425" s="259" t="s">
        <v>10165</v>
      </c>
    </row>
    <row r="426" spans="1:3" ht="14.1" customHeight="1" x14ac:dyDescent="0.25">
      <c r="A426" s="118" t="s">
        <v>8816</v>
      </c>
      <c r="B426" s="272" t="s">
        <v>10166</v>
      </c>
      <c r="C426" s="259" t="s">
        <v>10167</v>
      </c>
    </row>
    <row r="427" spans="1:3" ht="14.1" customHeight="1" x14ac:dyDescent="0.25">
      <c r="A427" s="118" t="s">
        <v>8816</v>
      </c>
      <c r="B427" s="272" t="s">
        <v>10168</v>
      </c>
      <c r="C427" s="259" t="s">
        <v>10169</v>
      </c>
    </row>
    <row r="428" spans="1:3" ht="14.1" customHeight="1" x14ac:dyDescent="0.25">
      <c r="A428" s="118" t="s">
        <v>8816</v>
      </c>
      <c r="B428" s="272" t="s">
        <v>10170</v>
      </c>
      <c r="C428" s="259" t="s">
        <v>10171</v>
      </c>
    </row>
    <row r="429" spans="1:3" ht="14.1" customHeight="1" x14ac:dyDescent="0.25">
      <c r="A429" s="118" t="s">
        <v>8816</v>
      </c>
      <c r="B429" s="272" t="s">
        <v>10172</v>
      </c>
      <c r="C429" s="259" t="s">
        <v>10173</v>
      </c>
    </row>
    <row r="430" spans="1:3" ht="14.1" customHeight="1" x14ac:dyDescent="0.25">
      <c r="A430" s="118" t="s">
        <v>8816</v>
      </c>
      <c r="B430" s="272" t="s">
        <v>10174</v>
      </c>
      <c r="C430" s="259" t="s">
        <v>10175</v>
      </c>
    </row>
    <row r="431" spans="1:3" ht="14.1" customHeight="1" x14ac:dyDescent="0.25">
      <c r="A431" s="118" t="s">
        <v>8816</v>
      </c>
      <c r="B431" s="272" t="s">
        <v>10176</v>
      </c>
      <c r="C431" s="259" t="s">
        <v>10177</v>
      </c>
    </row>
    <row r="432" spans="1:3" ht="14.1" customHeight="1" x14ac:dyDescent="0.25">
      <c r="A432" s="118" t="s">
        <v>8816</v>
      </c>
      <c r="B432" s="272" t="s">
        <v>10178</v>
      </c>
      <c r="C432" s="259" t="s">
        <v>10179</v>
      </c>
    </row>
    <row r="433" spans="1:3" ht="14.1" customHeight="1" x14ac:dyDescent="0.25">
      <c r="A433" s="118" t="s">
        <v>8816</v>
      </c>
      <c r="B433" s="272" t="s">
        <v>10180</v>
      </c>
      <c r="C433" s="259" t="s">
        <v>10181</v>
      </c>
    </row>
    <row r="434" spans="1:3" ht="14.1" customHeight="1" x14ac:dyDescent="0.25">
      <c r="A434" s="118" t="s">
        <v>8816</v>
      </c>
      <c r="B434" s="272" t="s">
        <v>10182</v>
      </c>
      <c r="C434" s="259" t="s">
        <v>10183</v>
      </c>
    </row>
    <row r="435" spans="1:3" ht="14.1" customHeight="1" x14ac:dyDescent="0.25">
      <c r="A435" s="118" t="s">
        <v>8816</v>
      </c>
      <c r="B435" s="272" t="s">
        <v>10184</v>
      </c>
      <c r="C435" s="259" t="s">
        <v>10185</v>
      </c>
    </row>
    <row r="436" spans="1:3" ht="14.1" customHeight="1" x14ac:dyDescent="0.25">
      <c r="A436" s="118" t="s">
        <v>8816</v>
      </c>
      <c r="B436" s="272" t="s">
        <v>10186</v>
      </c>
      <c r="C436" s="259" t="s">
        <v>10187</v>
      </c>
    </row>
    <row r="437" spans="1:3" ht="14.1" customHeight="1" x14ac:dyDescent="0.25">
      <c r="A437" s="118" t="s">
        <v>8816</v>
      </c>
      <c r="B437" s="272" t="s">
        <v>10188</v>
      </c>
      <c r="C437" s="259" t="s">
        <v>10189</v>
      </c>
    </row>
    <row r="438" spans="1:3" ht="14.1" customHeight="1" x14ac:dyDescent="0.25">
      <c r="A438" s="118" t="s">
        <v>8816</v>
      </c>
      <c r="B438" s="272" t="s">
        <v>10190</v>
      </c>
      <c r="C438" s="259" t="s">
        <v>10191</v>
      </c>
    </row>
    <row r="439" spans="1:3" ht="14.1" customHeight="1" x14ac:dyDescent="0.25">
      <c r="A439" s="118" t="s">
        <v>8816</v>
      </c>
      <c r="B439" s="272" t="s">
        <v>10192</v>
      </c>
      <c r="C439" s="259" t="s">
        <v>10193</v>
      </c>
    </row>
    <row r="440" spans="1:3" ht="14.1" customHeight="1" x14ac:dyDescent="0.25">
      <c r="A440" s="118" t="s">
        <v>8816</v>
      </c>
      <c r="B440" s="272" t="s">
        <v>10194</v>
      </c>
      <c r="C440" s="259" t="s">
        <v>10195</v>
      </c>
    </row>
    <row r="441" spans="1:3" ht="14.1" customHeight="1" x14ac:dyDescent="0.25">
      <c r="A441" s="118" t="s">
        <v>8816</v>
      </c>
      <c r="B441" s="265" t="s">
        <v>10196</v>
      </c>
      <c r="C441" s="266" t="s">
        <v>10197</v>
      </c>
    </row>
    <row r="442" spans="1:3" ht="14.1" customHeight="1" x14ac:dyDescent="0.25">
      <c r="A442" s="118" t="s">
        <v>8816</v>
      </c>
      <c r="B442" s="265" t="s">
        <v>10198</v>
      </c>
      <c r="C442" s="266" t="s">
        <v>10199</v>
      </c>
    </row>
    <row r="443" spans="1:3" ht="14.1" customHeight="1" x14ac:dyDescent="0.25">
      <c r="A443" s="118" t="s">
        <v>8816</v>
      </c>
      <c r="B443" s="265" t="s">
        <v>10200</v>
      </c>
      <c r="C443" s="266" t="s">
        <v>10201</v>
      </c>
    </row>
    <row r="444" spans="1:3" ht="14.1" customHeight="1" x14ac:dyDescent="0.25">
      <c r="A444" s="274" t="s">
        <v>8816</v>
      </c>
      <c r="B444" s="275" t="s">
        <v>10202</v>
      </c>
      <c r="C444" s="276" t="s">
        <v>10203</v>
      </c>
    </row>
    <row r="445" spans="1:3" ht="14.1" customHeight="1" x14ac:dyDescent="0.25">
      <c r="A445" s="118" t="s">
        <v>8816</v>
      </c>
      <c r="B445" s="265" t="s">
        <v>10204</v>
      </c>
      <c r="C445" s="266" t="s">
        <v>10205</v>
      </c>
    </row>
    <row r="446" spans="1:3" ht="14.1" customHeight="1" x14ac:dyDescent="0.25">
      <c r="A446" s="118" t="s">
        <v>8816</v>
      </c>
      <c r="B446" s="265" t="s">
        <v>10206</v>
      </c>
      <c r="C446" s="266" t="s">
        <v>10207</v>
      </c>
    </row>
    <row r="447" spans="1:3" ht="14.1" customHeight="1" x14ac:dyDescent="0.25">
      <c r="A447" s="274" t="s">
        <v>8816</v>
      </c>
      <c r="B447" s="275" t="s">
        <v>10208</v>
      </c>
      <c r="C447" s="276" t="s">
        <v>10209</v>
      </c>
    </row>
    <row r="448" spans="1:3" ht="14.1" customHeight="1" x14ac:dyDescent="0.25">
      <c r="A448" s="118" t="s">
        <v>8816</v>
      </c>
      <c r="B448" s="265" t="s">
        <v>10210</v>
      </c>
      <c r="C448" s="266" t="s">
        <v>10211</v>
      </c>
    </row>
    <row r="449" spans="1:16" ht="14.1" customHeight="1" x14ac:dyDescent="0.25">
      <c r="A449" s="118" t="s">
        <v>8816</v>
      </c>
      <c r="B449" s="265" t="s">
        <v>10212</v>
      </c>
      <c r="C449" s="266" t="s">
        <v>10213</v>
      </c>
    </row>
    <row r="450" spans="1:16" ht="14.1" customHeight="1" x14ac:dyDescent="0.25">
      <c r="A450" s="118" t="s">
        <v>8816</v>
      </c>
      <c r="B450" s="265" t="s">
        <v>10214</v>
      </c>
      <c r="C450" s="266" t="s">
        <v>10215</v>
      </c>
    </row>
    <row r="451" spans="1:16" ht="14.1" customHeight="1" x14ac:dyDescent="0.25">
      <c r="A451" s="118" t="s">
        <v>8816</v>
      </c>
      <c r="B451" s="265" t="s">
        <v>10216</v>
      </c>
      <c r="C451" s="266" t="s">
        <v>10217</v>
      </c>
    </row>
    <row r="452" spans="1:16" ht="14.1" customHeight="1" x14ac:dyDescent="0.25">
      <c r="A452" s="274" t="s">
        <v>8816</v>
      </c>
      <c r="B452" s="275" t="s">
        <v>10218</v>
      </c>
      <c r="C452" s="276" t="s">
        <v>10219</v>
      </c>
    </row>
    <row r="453" spans="1:16" ht="14.1" customHeight="1" x14ac:dyDescent="0.25">
      <c r="A453" s="118" t="s">
        <v>8816</v>
      </c>
      <c r="B453" s="265" t="s">
        <v>10220</v>
      </c>
      <c r="C453" s="266" t="s">
        <v>10221</v>
      </c>
    </row>
    <row r="454" spans="1:16" ht="14.1" customHeight="1" x14ac:dyDescent="0.25">
      <c r="A454" s="118" t="s">
        <v>8816</v>
      </c>
      <c r="B454" s="265" t="s">
        <v>10222</v>
      </c>
      <c r="C454" s="266" t="s">
        <v>10223</v>
      </c>
    </row>
    <row r="455" spans="1:16" ht="14.1" customHeight="1" x14ac:dyDescent="0.25">
      <c r="A455" s="118" t="s">
        <v>8816</v>
      </c>
      <c r="B455" s="265" t="s">
        <v>10224</v>
      </c>
      <c r="C455" s="266" t="s">
        <v>10225</v>
      </c>
    </row>
    <row r="456" spans="1:16" ht="14.1" customHeight="1" x14ac:dyDescent="0.25">
      <c r="A456" s="118" t="s">
        <v>8816</v>
      </c>
      <c r="B456" s="265" t="s">
        <v>10226</v>
      </c>
      <c r="C456" s="266" t="s">
        <v>10227</v>
      </c>
    </row>
    <row r="457" spans="1:16" ht="14.1" customHeight="1" x14ac:dyDescent="0.25">
      <c r="A457" s="118" t="s">
        <v>8816</v>
      </c>
      <c r="B457" s="265" t="s">
        <v>10228</v>
      </c>
      <c r="C457" s="266" t="s">
        <v>10229</v>
      </c>
      <c r="N457" s="272"/>
      <c r="O457" s="272"/>
      <c r="P457" s="272"/>
    </row>
    <row r="458" spans="1:16" ht="14.1" customHeight="1" x14ac:dyDescent="0.25">
      <c r="A458" s="118" t="s">
        <v>8816</v>
      </c>
      <c r="B458" s="265" t="s">
        <v>10230</v>
      </c>
      <c r="C458" s="266" t="s">
        <v>10231</v>
      </c>
    </row>
    <row r="459" spans="1:16" ht="14.1" customHeight="1" x14ac:dyDescent="0.25">
      <c r="A459" s="118" t="s">
        <v>8816</v>
      </c>
      <c r="B459" s="265" t="s">
        <v>10232</v>
      </c>
      <c r="C459" s="266" t="s">
        <v>10233</v>
      </c>
    </row>
    <row r="460" spans="1:16" ht="14.1" customHeight="1" x14ac:dyDescent="0.25">
      <c r="A460" s="118" t="s">
        <v>8816</v>
      </c>
      <c r="B460" s="265" t="s">
        <v>10234</v>
      </c>
      <c r="C460" s="266" t="s">
        <v>10235</v>
      </c>
    </row>
    <row r="461" spans="1:16" ht="14.1" customHeight="1" x14ac:dyDescent="0.25">
      <c r="A461" s="118" t="s">
        <v>8816</v>
      </c>
      <c r="B461" s="265" t="s">
        <v>10236</v>
      </c>
      <c r="C461" s="266" t="s">
        <v>10237</v>
      </c>
    </row>
    <row r="462" spans="1:16" ht="14.1" customHeight="1" x14ac:dyDescent="0.25">
      <c r="A462" s="118" t="s">
        <v>8816</v>
      </c>
      <c r="B462" s="265" t="s">
        <v>10238</v>
      </c>
      <c r="C462" s="266" t="s">
        <v>10239</v>
      </c>
      <c r="G462" s="265"/>
    </row>
    <row r="463" spans="1:16" ht="14.1" customHeight="1" x14ac:dyDescent="0.25">
      <c r="A463" s="118" t="s">
        <v>8816</v>
      </c>
      <c r="B463" s="265" t="s">
        <v>10240</v>
      </c>
      <c r="C463" s="266" t="s">
        <v>10241</v>
      </c>
    </row>
    <row r="464" spans="1:16" ht="14.1" customHeight="1" x14ac:dyDescent="0.25">
      <c r="A464" s="118" t="s">
        <v>8816</v>
      </c>
      <c r="B464" s="265" t="s">
        <v>10242</v>
      </c>
      <c r="C464" s="266" t="s">
        <v>10243</v>
      </c>
      <c r="G464" s="265"/>
    </row>
    <row r="465" spans="1:3" ht="14.1" customHeight="1" x14ac:dyDescent="0.25">
      <c r="A465" s="118" t="s">
        <v>8816</v>
      </c>
      <c r="B465" s="265" t="s">
        <v>10244</v>
      </c>
      <c r="C465" s="266" t="s">
        <v>10245</v>
      </c>
    </row>
    <row r="466" spans="1:3" ht="14.1" customHeight="1" x14ac:dyDescent="0.25">
      <c r="A466" s="118" t="s">
        <v>8816</v>
      </c>
      <c r="B466" s="265" t="s">
        <v>10246</v>
      </c>
      <c r="C466" s="266" t="s">
        <v>10247</v>
      </c>
    </row>
    <row r="467" spans="1:3" ht="14.1" customHeight="1" x14ac:dyDescent="0.25">
      <c r="A467" s="118" t="s">
        <v>8816</v>
      </c>
      <c r="B467" s="265" t="s">
        <v>10248</v>
      </c>
      <c r="C467" s="266" t="s">
        <v>10249</v>
      </c>
    </row>
    <row r="468" spans="1:3" ht="14.1" customHeight="1" x14ac:dyDescent="0.25">
      <c r="A468" s="118" t="s">
        <v>8816</v>
      </c>
      <c r="B468" s="265" t="s">
        <v>10250</v>
      </c>
      <c r="C468" s="266" t="s">
        <v>10251</v>
      </c>
    </row>
    <row r="469" spans="1:3" ht="14.1" customHeight="1" x14ac:dyDescent="0.25">
      <c r="A469" s="118" t="s">
        <v>8816</v>
      </c>
      <c r="B469" s="265" t="s">
        <v>10252</v>
      </c>
      <c r="C469" s="266" t="s">
        <v>10253</v>
      </c>
    </row>
    <row r="470" spans="1:3" ht="14.1" customHeight="1" x14ac:dyDescent="0.25">
      <c r="A470" s="118" t="s">
        <v>8816</v>
      </c>
      <c r="B470" s="272" t="s">
        <v>10254</v>
      </c>
      <c r="C470" s="259" t="s">
        <v>10255</v>
      </c>
    </row>
    <row r="471" spans="1:3" ht="14.1" customHeight="1" x14ac:dyDescent="0.25">
      <c r="A471" s="118" t="s">
        <v>8816</v>
      </c>
      <c r="B471" s="272" t="s">
        <v>10256</v>
      </c>
      <c r="C471" s="259" t="s">
        <v>10257</v>
      </c>
    </row>
    <row r="472" spans="1:3" ht="14.1" customHeight="1" x14ac:dyDescent="0.25">
      <c r="A472" s="118" t="s">
        <v>8816</v>
      </c>
      <c r="B472" s="272" t="s">
        <v>10258</v>
      </c>
      <c r="C472" s="259" t="s">
        <v>10259</v>
      </c>
    </row>
    <row r="473" spans="1:3" ht="14.1" customHeight="1" x14ac:dyDescent="0.25">
      <c r="A473" s="118" t="s">
        <v>8816</v>
      </c>
      <c r="B473" s="272" t="s">
        <v>10260</v>
      </c>
      <c r="C473" s="259" t="s">
        <v>10261</v>
      </c>
    </row>
    <row r="474" spans="1:3" ht="14.1" customHeight="1" x14ac:dyDescent="0.25">
      <c r="A474" s="118" t="s">
        <v>8816</v>
      </c>
      <c r="B474" s="272" t="s">
        <v>10262</v>
      </c>
      <c r="C474" s="259" t="s">
        <v>10263</v>
      </c>
    </row>
    <row r="475" spans="1:3" ht="14.1" customHeight="1" x14ac:dyDescent="0.25">
      <c r="A475" s="272" t="s">
        <v>8816</v>
      </c>
      <c r="B475" s="272" t="s">
        <v>10264</v>
      </c>
      <c r="C475" s="259" t="s">
        <v>10265</v>
      </c>
    </row>
    <row r="476" spans="1:3" ht="14.1" customHeight="1" x14ac:dyDescent="0.25">
      <c r="A476" s="118" t="s">
        <v>8816</v>
      </c>
      <c r="B476" s="272" t="s">
        <v>10266</v>
      </c>
      <c r="C476" s="259" t="s">
        <v>10267</v>
      </c>
    </row>
    <row r="477" spans="1:3" ht="14.1" customHeight="1" x14ac:dyDescent="0.25">
      <c r="A477" s="118" t="s">
        <v>8816</v>
      </c>
      <c r="B477" s="272" t="s">
        <v>10268</v>
      </c>
      <c r="C477" s="259" t="s">
        <v>10269</v>
      </c>
    </row>
    <row r="478" spans="1:3" ht="14.1" customHeight="1" x14ac:dyDescent="0.25">
      <c r="A478" s="118" t="s">
        <v>8816</v>
      </c>
      <c r="B478" s="272" t="s">
        <v>10270</v>
      </c>
      <c r="C478" s="259" t="s">
        <v>10271</v>
      </c>
    </row>
    <row r="479" spans="1:3" ht="14.1" customHeight="1" x14ac:dyDescent="0.25">
      <c r="A479" s="118" t="s">
        <v>8816</v>
      </c>
      <c r="B479" s="272" t="s">
        <v>10272</v>
      </c>
      <c r="C479" s="259" t="s">
        <v>10273</v>
      </c>
    </row>
    <row r="480" spans="1:3" ht="14.1" customHeight="1" x14ac:dyDescent="0.25">
      <c r="A480" s="118" t="s">
        <v>8816</v>
      </c>
      <c r="B480" s="272" t="s">
        <v>10274</v>
      </c>
      <c r="C480" s="259" t="s">
        <v>10275</v>
      </c>
    </row>
    <row r="481" spans="1:3" ht="14.1" customHeight="1" x14ac:dyDescent="0.25">
      <c r="A481" s="118" t="s">
        <v>8816</v>
      </c>
      <c r="B481" s="272" t="s">
        <v>10276</v>
      </c>
      <c r="C481" s="259" t="s">
        <v>10277</v>
      </c>
    </row>
    <row r="482" spans="1:3" ht="14.1" customHeight="1" x14ac:dyDescent="0.25">
      <c r="A482" s="118" t="s">
        <v>8816</v>
      </c>
      <c r="B482" s="272" t="s">
        <v>10278</v>
      </c>
      <c r="C482" s="259" t="s">
        <v>10279</v>
      </c>
    </row>
    <row r="483" spans="1:3" ht="14.1" customHeight="1" x14ac:dyDescent="0.25">
      <c r="A483" s="118" t="s">
        <v>8816</v>
      </c>
      <c r="B483" s="272" t="s">
        <v>10280</v>
      </c>
      <c r="C483" s="259" t="s">
        <v>10281</v>
      </c>
    </row>
    <row r="484" spans="1:3" ht="14.1" customHeight="1" x14ac:dyDescent="0.25">
      <c r="A484" s="118" t="s">
        <v>8816</v>
      </c>
      <c r="B484" s="272" t="s">
        <v>10282</v>
      </c>
      <c r="C484" s="259" t="s">
        <v>10283</v>
      </c>
    </row>
    <row r="485" spans="1:3" ht="14.1" customHeight="1" x14ac:dyDescent="0.25">
      <c r="A485" s="118" t="s">
        <v>8816</v>
      </c>
      <c r="B485" s="272" t="s">
        <v>10284</v>
      </c>
      <c r="C485" s="259" t="s">
        <v>10285</v>
      </c>
    </row>
    <row r="486" spans="1:3" ht="14.1" customHeight="1" x14ac:dyDescent="0.25">
      <c r="A486" s="118" t="s">
        <v>8816</v>
      </c>
      <c r="B486" s="272" t="s">
        <v>10286</v>
      </c>
      <c r="C486" s="259" t="s">
        <v>10287</v>
      </c>
    </row>
    <row r="487" spans="1:3" ht="14.1" customHeight="1" x14ac:dyDescent="0.25">
      <c r="A487" s="118" t="s">
        <v>8816</v>
      </c>
      <c r="B487" s="272" t="s">
        <v>10288</v>
      </c>
      <c r="C487" s="259" t="s">
        <v>10289</v>
      </c>
    </row>
    <row r="488" spans="1:3" ht="14.1" customHeight="1" x14ac:dyDescent="0.25">
      <c r="A488" s="118" t="s">
        <v>8816</v>
      </c>
      <c r="B488" s="272" t="s">
        <v>10290</v>
      </c>
      <c r="C488" s="259" t="s">
        <v>10291</v>
      </c>
    </row>
    <row r="489" spans="1:3" ht="14.1" customHeight="1" x14ac:dyDescent="0.25">
      <c r="A489" s="118" t="s">
        <v>8816</v>
      </c>
      <c r="B489" s="272" t="s">
        <v>10292</v>
      </c>
      <c r="C489" s="259" t="s">
        <v>10293</v>
      </c>
    </row>
    <row r="490" spans="1:3" ht="14.1" customHeight="1" x14ac:dyDescent="0.25">
      <c r="A490" s="118" t="s">
        <v>8816</v>
      </c>
      <c r="B490" s="272" t="s">
        <v>10294</v>
      </c>
      <c r="C490" s="259" t="s">
        <v>10295</v>
      </c>
    </row>
    <row r="491" spans="1:3" ht="14.1" customHeight="1" x14ac:dyDescent="0.25">
      <c r="A491" s="118" t="s">
        <v>8816</v>
      </c>
      <c r="B491" s="272" t="s">
        <v>10296</v>
      </c>
      <c r="C491" s="259" t="s">
        <v>10297</v>
      </c>
    </row>
    <row r="492" spans="1:3" ht="14.1" customHeight="1" x14ac:dyDescent="0.25">
      <c r="A492" s="118" t="s">
        <v>8816</v>
      </c>
      <c r="B492" s="272" t="s">
        <v>10298</v>
      </c>
      <c r="C492" s="259" t="s">
        <v>10299</v>
      </c>
    </row>
    <row r="493" spans="1:3" ht="14.1" customHeight="1" x14ac:dyDescent="0.25">
      <c r="A493" s="118" t="s">
        <v>8816</v>
      </c>
      <c r="B493" s="272" t="s">
        <v>10300</v>
      </c>
      <c r="C493" s="259" t="s">
        <v>10301</v>
      </c>
    </row>
    <row r="494" spans="1:3" ht="14.1" customHeight="1" x14ac:dyDescent="0.25">
      <c r="A494" s="118" t="s">
        <v>8816</v>
      </c>
      <c r="B494" s="272" t="s">
        <v>10302</v>
      </c>
      <c r="C494" s="259" t="s">
        <v>10303</v>
      </c>
    </row>
    <row r="495" spans="1:3" ht="14.1" customHeight="1" x14ac:dyDescent="0.25">
      <c r="A495" s="118" t="s">
        <v>8816</v>
      </c>
      <c r="B495" s="272" t="s">
        <v>10304</v>
      </c>
      <c r="C495" s="259" t="s">
        <v>10305</v>
      </c>
    </row>
    <row r="496" spans="1:3" ht="14.1" customHeight="1" x14ac:dyDescent="0.25">
      <c r="A496" s="118" t="s">
        <v>8816</v>
      </c>
      <c r="B496" s="272" t="s">
        <v>10306</v>
      </c>
      <c r="C496" s="259" t="s">
        <v>10307</v>
      </c>
    </row>
    <row r="497" spans="1:3" ht="14.1" customHeight="1" x14ac:dyDescent="0.25">
      <c r="A497" s="118" t="s">
        <v>8816</v>
      </c>
      <c r="B497" s="272" t="s">
        <v>10308</v>
      </c>
      <c r="C497" s="259" t="s">
        <v>10309</v>
      </c>
    </row>
    <row r="498" spans="1:3" ht="14.1" customHeight="1" x14ac:dyDescent="0.25">
      <c r="A498" s="118" t="s">
        <v>8816</v>
      </c>
      <c r="B498" s="272" t="s">
        <v>10310</v>
      </c>
      <c r="C498" s="259" t="s">
        <v>10311</v>
      </c>
    </row>
    <row r="499" spans="1:3" ht="14.1" customHeight="1" x14ac:dyDescent="0.25">
      <c r="A499" s="118" t="s">
        <v>8816</v>
      </c>
      <c r="B499" s="272" t="s">
        <v>10312</v>
      </c>
      <c r="C499" s="259" t="s">
        <v>10313</v>
      </c>
    </row>
    <row r="500" spans="1:3" ht="14.1" customHeight="1" x14ac:dyDescent="0.25">
      <c r="A500" s="118" t="s">
        <v>8816</v>
      </c>
      <c r="B500" s="272" t="s">
        <v>10314</v>
      </c>
      <c r="C500" s="259" t="s">
        <v>10315</v>
      </c>
    </row>
    <row r="501" spans="1:3" ht="14.1" customHeight="1" x14ac:dyDescent="0.25">
      <c r="A501" s="118" t="s">
        <v>8816</v>
      </c>
      <c r="B501" s="272" t="s">
        <v>10316</v>
      </c>
      <c r="C501" s="259" t="s">
        <v>10317</v>
      </c>
    </row>
    <row r="502" spans="1:3" ht="14.1" customHeight="1" x14ac:dyDescent="0.25">
      <c r="A502" s="118" t="s">
        <v>8816</v>
      </c>
      <c r="B502" s="272" t="s">
        <v>10318</v>
      </c>
      <c r="C502" s="259" t="s">
        <v>10319</v>
      </c>
    </row>
    <row r="503" spans="1:3" ht="14.1" customHeight="1" x14ac:dyDescent="0.25">
      <c r="A503" s="118" t="s">
        <v>8816</v>
      </c>
      <c r="B503" s="272" t="s">
        <v>10320</v>
      </c>
      <c r="C503" s="259" t="s">
        <v>10321</v>
      </c>
    </row>
    <row r="504" spans="1:3" ht="14.1" customHeight="1" x14ac:dyDescent="0.25">
      <c r="A504" s="118" t="s">
        <v>8816</v>
      </c>
      <c r="B504" s="272" t="s">
        <v>10322</v>
      </c>
      <c r="C504" s="259" t="s">
        <v>10323</v>
      </c>
    </row>
    <row r="505" spans="1:3" ht="14.1" customHeight="1" x14ac:dyDescent="0.25">
      <c r="A505" s="118" t="s">
        <v>8816</v>
      </c>
      <c r="B505" s="272" t="s">
        <v>10324</v>
      </c>
      <c r="C505" s="259" t="s">
        <v>10325</v>
      </c>
    </row>
    <row r="506" spans="1:3" ht="14.1" customHeight="1" x14ac:dyDescent="0.25">
      <c r="A506" s="272" t="s">
        <v>8816</v>
      </c>
      <c r="B506" s="272" t="s">
        <v>10326</v>
      </c>
      <c r="C506" s="259" t="s">
        <v>10327</v>
      </c>
    </row>
    <row r="507" spans="1:3" ht="14.1" customHeight="1" x14ac:dyDescent="0.25">
      <c r="A507" s="272" t="s">
        <v>8816</v>
      </c>
      <c r="B507" s="272" t="s">
        <v>10328</v>
      </c>
      <c r="C507" s="259" t="s">
        <v>10329</v>
      </c>
    </row>
    <row r="508" spans="1:3" ht="14.1" customHeight="1" x14ac:dyDescent="0.25">
      <c r="A508" s="272" t="s">
        <v>8816</v>
      </c>
      <c r="B508" s="272" t="s">
        <v>10330</v>
      </c>
      <c r="C508" s="259" t="s">
        <v>10331</v>
      </c>
    </row>
    <row r="509" spans="1:3" ht="14.1" customHeight="1" x14ac:dyDescent="0.25">
      <c r="A509" s="118" t="s">
        <v>8816</v>
      </c>
      <c r="B509" s="272" t="s">
        <v>10332</v>
      </c>
      <c r="C509" s="259" t="s">
        <v>10333</v>
      </c>
    </row>
    <row r="510" spans="1:3" ht="14.1" customHeight="1" x14ac:dyDescent="0.25">
      <c r="A510" s="272" t="s">
        <v>8816</v>
      </c>
      <c r="B510" s="272" t="s">
        <v>10334</v>
      </c>
      <c r="C510" s="259" t="s">
        <v>10335</v>
      </c>
    </row>
    <row r="511" spans="1:3" ht="14.1" customHeight="1" x14ac:dyDescent="0.25">
      <c r="A511" s="118" t="s">
        <v>8816</v>
      </c>
      <c r="B511" s="272" t="s">
        <v>10336</v>
      </c>
      <c r="C511" s="259" t="s">
        <v>10337</v>
      </c>
    </row>
    <row r="512" spans="1:3" ht="14.1" customHeight="1" x14ac:dyDescent="0.25">
      <c r="A512" s="272" t="s">
        <v>8816</v>
      </c>
      <c r="B512" s="272" t="s">
        <v>10338</v>
      </c>
      <c r="C512" s="259" t="s">
        <v>10339</v>
      </c>
    </row>
    <row r="513" spans="1:3" ht="14.1" customHeight="1" x14ac:dyDescent="0.25">
      <c r="A513" s="118" t="s">
        <v>8816</v>
      </c>
      <c r="B513" s="272" t="s">
        <v>10340</v>
      </c>
      <c r="C513" s="259" t="s">
        <v>10341</v>
      </c>
    </row>
    <row r="514" spans="1:3" ht="14.1" customHeight="1" x14ac:dyDescent="0.25">
      <c r="A514" s="118" t="s">
        <v>8816</v>
      </c>
      <c r="B514" s="272" t="s">
        <v>10342</v>
      </c>
      <c r="C514" s="259" t="s">
        <v>10343</v>
      </c>
    </row>
    <row r="515" spans="1:3" ht="14.1" customHeight="1" x14ac:dyDescent="0.25">
      <c r="A515" s="118" t="s">
        <v>8816</v>
      </c>
      <c r="B515" s="272" t="s">
        <v>10344</v>
      </c>
      <c r="C515" s="259" t="s">
        <v>10345</v>
      </c>
    </row>
    <row r="516" spans="1:3" ht="14.1" customHeight="1" x14ac:dyDescent="0.25">
      <c r="A516" s="118" t="s">
        <v>8816</v>
      </c>
      <c r="B516" s="272" t="s">
        <v>10346</v>
      </c>
      <c r="C516" s="259" t="s">
        <v>10347</v>
      </c>
    </row>
    <row r="517" spans="1:3" ht="14.1" customHeight="1" x14ac:dyDescent="0.25">
      <c r="A517" s="118" t="s">
        <v>8816</v>
      </c>
      <c r="B517" s="272" t="s">
        <v>10348</v>
      </c>
      <c r="C517" s="259" t="s">
        <v>10349</v>
      </c>
    </row>
    <row r="518" spans="1:3" ht="14.1" customHeight="1" x14ac:dyDescent="0.25">
      <c r="A518" s="118" t="s">
        <v>8816</v>
      </c>
      <c r="B518" s="272" t="s">
        <v>10350</v>
      </c>
      <c r="C518" s="259" t="s">
        <v>10351</v>
      </c>
    </row>
    <row r="519" spans="1:3" ht="14.1" customHeight="1" x14ac:dyDescent="0.25">
      <c r="A519" s="118" t="s">
        <v>8816</v>
      </c>
      <c r="B519" s="272" t="s">
        <v>10352</v>
      </c>
      <c r="C519" s="259" t="s">
        <v>10353</v>
      </c>
    </row>
    <row r="520" spans="1:3" ht="14.1" customHeight="1" x14ac:dyDescent="0.25">
      <c r="A520" s="118" t="s">
        <v>8816</v>
      </c>
      <c r="B520" s="272" t="s">
        <v>10354</v>
      </c>
      <c r="C520" s="259" t="s">
        <v>10355</v>
      </c>
    </row>
    <row r="521" spans="1:3" ht="14.1" customHeight="1" x14ac:dyDescent="0.25">
      <c r="A521" s="118" t="s">
        <v>8816</v>
      </c>
      <c r="B521" s="272" t="s">
        <v>10356</v>
      </c>
      <c r="C521" s="259" t="s">
        <v>10357</v>
      </c>
    </row>
    <row r="522" spans="1:3" ht="14.1" customHeight="1" x14ac:dyDescent="0.25">
      <c r="A522" s="118" t="s">
        <v>8816</v>
      </c>
      <c r="B522" s="272" t="s">
        <v>10358</v>
      </c>
      <c r="C522" s="259" t="s">
        <v>10359</v>
      </c>
    </row>
    <row r="523" spans="1:3" ht="14.1" customHeight="1" x14ac:dyDescent="0.25">
      <c r="A523" s="118" t="s">
        <v>8816</v>
      </c>
      <c r="B523" s="272" t="s">
        <v>10360</v>
      </c>
      <c r="C523" s="259" t="s">
        <v>10361</v>
      </c>
    </row>
    <row r="524" spans="1:3" ht="14.1" customHeight="1" x14ac:dyDescent="0.25">
      <c r="A524" s="118" t="s">
        <v>8816</v>
      </c>
      <c r="B524" s="272" t="s">
        <v>10362</v>
      </c>
      <c r="C524" s="259" t="s">
        <v>10363</v>
      </c>
    </row>
    <row r="525" spans="1:3" ht="14.1" customHeight="1" x14ac:dyDescent="0.25">
      <c r="A525" s="118" t="s">
        <v>8816</v>
      </c>
      <c r="B525" s="272" t="s">
        <v>10364</v>
      </c>
      <c r="C525" s="259" t="s">
        <v>10365</v>
      </c>
    </row>
    <row r="526" spans="1:3" ht="14.1" customHeight="1" x14ac:dyDescent="0.25">
      <c r="A526" s="118" t="s">
        <v>8816</v>
      </c>
      <c r="B526" s="272" t="s">
        <v>10366</v>
      </c>
      <c r="C526" s="259" t="s">
        <v>10367</v>
      </c>
    </row>
    <row r="527" spans="1:3" ht="14.1" customHeight="1" x14ac:dyDescent="0.25">
      <c r="A527" s="118" t="s">
        <v>8816</v>
      </c>
      <c r="B527" s="272" t="s">
        <v>10368</v>
      </c>
      <c r="C527" s="259" t="s">
        <v>10369</v>
      </c>
    </row>
    <row r="528" spans="1:3" ht="14.1" customHeight="1" x14ac:dyDescent="0.25">
      <c r="A528" s="273" t="s">
        <v>8816</v>
      </c>
      <c r="B528" s="272" t="s">
        <v>10370</v>
      </c>
      <c r="C528" s="259" t="s">
        <v>10371</v>
      </c>
    </row>
    <row r="529" spans="1:3" ht="14.1" customHeight="1" x14ac:dyDescent="0.25">
      <c r="A529" s="118" t="s">
        <v>8816</v>
      </c>
      <c r="B529" s="272" t="s">
        <v>10372</v>
      </c>
      <c r="C529" s="259" t="s">
        <v>10373</v>
      </c>
    </row>
    <row r="530" spans="1:3" ht="14.1" customHeight="1" x14ac:dyDescent="0.25">
      <c r="A530" s="118" t="s">
        <v>8816</v>
      </c>
      <c r="B530" s="272" t="s">
        <v>10374</v>
      </c>
      <c r="C530" s="259" t="s">
        <v>10375</v>
      </c>
    </row>
    <row r="531" spans="1:3" ht="14.1" customHeight="1" x14ac:dyDescent="0.25">
      <c r="A531" s="118" t="s">
        <v>8816</v>
      </c>
      <c r="B531" s="272" t="s">
        <v>10376</v>
      </c>
      <c r="C531" s="259" t="s">
        <v>10377</v>
      </c>
    </row>
    <row r="532" spans="1:3" ht="14.1" customHeight="1" x14ac:dyDescent="0.25">
      <c r="A532" s="118" t="s">
        <v>8816</v>
      </c>
      <c r="B532" s="272" t="s">
        <v>10378</v>
      </c>
      <c r="C532" s="259" t="s">
        <v>10379</v>
      </c>
    </row>
    <row r="533" spans="1:3" ht="14.1" customHeight="1" x14ac:dyDescent="0.25">
      <c r="A533" s="118" t="s">
        <v>8816</v>
      </c>
      <c r="B533" s="272" t="s">
        <v>10380</v>
      </c>
      <c r="C533" s="259" t="s">
        <v>10381</v>
      </c>
    </row>
    <row r="534" spans="1:3" ht="14.1" customHeight="1" x14ac:dyDescent="0.25">
      <c r="A534" s="118" t="s">
        <v>8816</v>
      </c>
      <c r="B534" s="272" t="s">
        <v>10382</v>
      </c>
      <c r="C534" s="259" t="s">
        <v>10383</v>
      </c>
    </row>
    <row r="535" spans="1:3" ht="14.1" customHeight="1" x14ac:dyDescent="0.25">
      <c r="A535" s="118" t="s">
        <v>8816</v>
      </c>
      <c r="B535" s="272" t="s">
        <v>10384</v>
      </c>
      <c r="C535" s="259" t="s">
        <v>10385</v>
      </c>
    </row>
    <row r="536" spans="1:3" ht="14.1" customHeight="1" x14ac:dyDescent="0.25">
      <c r="A536" s="118" t="s">
        <v>8816</v>
      </c>
      <c r="B536" s="272" t="s">
        <v>10386</v>
      </c>
      <c r="C536" s="259" t="s">
        <v>10387</v>
      </c>
    </row>
    <row r="537" spans="1:3" ht="14.1" customHeight="1" x14ac:dyDescent="0.25">
      <c r="A537" s="272" t="s">
        <v>8816</v>
      </c>
      <c r="B537" s="272" t="s">
        <v>10388</v>
      </c>
      <c r="C537" s="259" t="s">
        <v>10389</v>
      </c>
    </row>
    <row r="538" spans="1:3" ht="14.1" customHeight="1" x14ac:dyDescent="0.25">
      <c r="A538" s="272" t="s">
        <v>8816</v>
      </c>
      <c r="B538" s="272" t="s">
        <v>10390</v>
      </c>
      <c r="C538" s="259" t="s">
        <v>10391</v>
      </c>
    </row>
    <row r="539" spans="1:3" ht="14.1" customHeight="1" x14ac:dyDescent="0.25">
      <c r="A539" s="272" t="s">
        <v>8816</v>
      </c>
      <c r="B539" s="272" t="s">
        <v>10392</v>
      </c>
      <c r="C539" s="259" t="s">
        <v>10393</v>
      </c>
    </row>
    <row r="540" spans="1:3" ht="14.1" customHeight="1" x14ac:dyDescent="0.25">
      <c r="A540" s="272" t="s">
        <v>8816</v>
      </c>
      <c r="B540" s="272" t="s">
        <v>10394</v>
      </c>
      <c r="C540" s="259" t="s">
        <v>10395</v>
      </c>
    </row>
    <row r="541" spans="1:3" ht="14.1" customHeight="1" x14ac:dyDescent="0.25">
      <c r="A541" s="118" t="s">
        <v>8816</v>
      </c>
      <c r="B541" s="272" t="s">
        <v>10396</v>
      </c>
      <c r="C541" s="259" t="s">
        <v>10397</v>
      </c>
    </row>
    <row r="542" spans="1:3" ht="14.1" customHeight="1" x14ac:dyDescent="0.25">
      <c r="A542" s="118" t="s">
        <v>8816</v>
      </c>
      <c r="B542" s="272" t="s">
        <v>10398</v>
      </c>
      <c r="C542" s="259" t="s">
        <v>10399</v>
      </c>
    </row>
    <row r="543" spans="1:3" ht="14.1" customHeight="1" x14ac:dyDescent="0.25">
      <c r="A543" s="118" t="s">
        <v>8816</v>
      </c>
      <c r="B543" s="272" t="s">
        <v>10400</v>
      </c>
      <c r="C543" s="259" t="s">
        <v>10401</v>
      </c>
    </row>
    <row r="544" spans="1:3" ht="14.1" customHeight="1" x14ac:dyDescent="0.25">
      <c r="A544" s="118" t="s">
        <v>8816</v>
      </c>
      <c r="B544" s="272" t="s">
        <v>10402</v>
      </c>
      <c r="C544" s="259" t="s">
        <v>10403</v>
      </c>
    </row>
    <row r="545" spans="1:3" ht="14.1" customHeight="1" x14ac:dyDescent="0.25">
      <c r="A545" s="118" t="s">
        <v>8816</v>
      </c>
      <c r="B545" s="272" t="s">
        <v>10404</v>
      </c>
      <c r="C545" s="259" t="s">
        <v>10405</v>
      </c>
    </row>
    <row r="546" spans="1:3" ht="14.1" customHeight="1" x14ac:dyDescent="0.25">
      <c r="A546" s="272" t="s">
        <v>8816</v>
      </c>
      <c r="B546" s="272" t="s">
        <v>10406</v>
      </c>
      <c r="C546" s="259" t="s">
        <v>10407</v>
      </c>
    </row>
    <row r="547" spans="1:3" ht="14.1" customHeight="1" x14ac:dyDescent="0.25">
      <c r="A547" s="118" t="s">
        <v>8816</v>
      </c>
      <c r="B547" s="272" t="s">
        <v>10408</v>
      </c>
      <c r="C547" s="259" t="s">
        <v>10409</v>
      </c>
    </row>
    <row r="548" spans="1:3" ht="14.1" customHeight="1" x14ac:dyDescent="0.25">
      <c r="A548" s="118" t="s">
        <v>8816</v>
      </c>
      <c r="B548" s="272" t="s">
        <v>10410</v>
      </c>
      <c r="C548" s="259" t="s">
        <v>10411</v>
      </c>
    </row>
    <row r="549" spans="1:3" ht="14.1" customHeight="1" x14ac:dyDescent="0.25">
      <c r="A549" s="118" t="s">
        <v>8816</v>
      </c>
      <c r="B549" s="272" t="s">
        <v>10412</v>
      </c>
      <c r="C549" s="259" t="s">
        <v>10413</v>
      </c>
    </row>
    <row r="550" spans="1:3" ht="14.1" customHeight="1" x14ac:dyDescent="0.25">
      <c r="A550" s="118" t="s">
        <v>8816</v>
      </c>
      <c r="B550" s="272" t="s">
        <v>10414</v>
      </c>
      <c r="C550" s="259" t="s">
        <v>10415</v>
      </c>
    </row>
    <row r="551" spans="1:3" ht="14.1" customHeight="1" x14ac:dyDescent="0.25">
      <c r="A551" s="118" t="s">
        <v>8816</v>
      </c>
      <c r="B551" s="272" t="s">
        <v>10416</v>
      </c>
      <c r="C551" s="259" t="s">
        <v>10417</v>
      </c>
    </row>
    <row r="552" spans="1:3" ht="14.1" customHeight="1" x14ac:dyDescent="0.25">
      <c r="A552" s="118" t="s">
        <v>8816</v>
      </c>
      <c r="B552" s="272" t="s">
        <v>10418</v>
      </c>
      <c r="C552" s="259" t="s">
        <v>10419</v>
      </c>
    </row>
    <row r="553" spans="1:3" ht="14.1" customHeight="1" x14ac:dyDescent="0.25">
      <c r="A553" s="118" t="s">
        <v>8816</v>
      </c>
      <c r="B553" s="272" t="s">
        <v>10420</v>
      </c>
      <c r="C553" s="259" t="s">
        <v>10421</v>
      </c>
    </row>
    <row r="554" spans="1:3" ht="14.1" customHeight="1" x14ac:dyDescent="0.25">
      <c r="A554" s="118" t="s">
        <v>8816</v>
      </c>
      <c r="B554" s="272" t="s">
        <v>10422</v>
      </c>
      <c r="C554" s="259" t="s">
        <v>10423</v>
      </c>
    </row>
    <row r="555" spans="1:3" ht="14.1" customHeight="1" x14ac:dyDescent="0.25">
      <c r="A555" s="118" t="s">
        <v>8816</v>
      </c>
      <c r="B555" s="272" t="s">
        <v>10424</v>
      </c>
      <c r="C555" s="259" t="s">
        <v>10425</v>
      </c>
    </row>
    <row r="556" spans="1:3" ht="14.1" customHeight="1" x14ac:dyDescent="0.25">
      <c r="A556" s="118" t="s">
        <v>8816</v>
      </c>
      <c r="B556" s="272" t="s">
        <v>10426</v>
      </c>
      <c r="C556" s="259" t="s">
        <v>10427</v>
      </c>
    </row>
    <row r="557" spans="1:3" ht="14.1" customHeight="1" x14ac:dyDescent="0.25">
      <c r="A557" s="118" t="s">
        <v>8816</v>
      </c>
      <c r="B557" s="272" t="s">
        <v>10428</v>
      </c>
      <c r="C557" s="259" t="s">
        <v>10429</v>
      </c>
    </row>
    <row r="558" spans="1:3" ht="14.1" customHeight="1" x14ac:dyDescent="0.25">
      <c r="A558" s="118" t="s">
        <v>8816</v>
      </c>
      <c r="B558" s="272" t="s">
        <v>10430</v>
      </c>
      <c r="C558" s="259" t="s">
        <v>10431</v>
      </c>
    </row>
    <row r="559" spans="1:3" ht="14.1" customHeight="1" x14ac:dyDescent="0.25">
      <c r="A559" s="118" t="s">
        <v>8816</v>
      </c>
      <c r="B559" s="272" t="s">
        <v>10432</v>
      </c>
      <c r="C559" s="259" t="s">
        <v>10433</v>
      </c>
    </row>
    <row r="560" spans="1:3" ht="14.1" customHeight="1" x14ac:dyDescent="0.25">
      <c r="A560" s="118" t="s">
        <v>8816</v>
      </c>
      <c r="B560" s="272" t="s">
        <v>10434</v>
      </c>
      <c r="C560" s="259" t="s">
        <v>10435</v>
      </c>
    </row>
    <row r="561" spans="1:3" ht="14.1" customHeight="1" x14ac:dyDescent="0.25">
      <c r="A561" s="118" t="s">
        <v>8816</v>
      </c>
      <c r="B561" s="272" t="s">
        <v>10436</v>
      </c>
      <c r="C561" s="259" t="s">
        <v>10437</v>
      </c>
    </row>
    <row r="562" spans="1:3" ht="14.1" customHeight="1" x14ac:dyDescent="0.25">
      <c r="A562" s="118" t="s">
        <v>8816</v>
      </c>
      <c r="B562" s="272" t="s">
        <v>10438</v>
      </c>
      <c r="C562" s="259" t="s">
        <v>10439</v>
      </c>
    </row>
    <row r="563" spans="1:3" ht="14.1" customHeight="1" x14ac:dyDescent="0.25">
      <c r="A563" s="118" t="s">
        <v>8816</v>
      </c>
      <c r="B563" s="272" t="s">
        <v>10440</v>
      </c>
      <c r="C563" s="259" t="s">
        <v>10441</v>
      </c>
    </row>
    <row r="564" spans="1:3" ht="14.1" customHeight="1" x14ac:dyDescent="0.25">
      <c r="A564" s="118" t="s">
        <v>8816</v>
      </c>
      <c r="B564" s="272" t="s">
        <v>10442</v>
      </c>
      <c r="C564" s="259" t="s">
        <v>10443</v>
      </c>
    </row>
    <row r="565" spans="1:3" ht="14.1" customHeight="1" x14ac:dyDescent="0.25">
      <c r="A565" s="118" t="s">
        <v>8816</v>
      </c>
      <c r="B565" s="272" t="s">
        <v>10444</v>
      </c>
      <c r="C565" s="259" t="s">
        <v>10445</v>
      </c>
    </row>
    <row r="566" spans="1:3" ht="14.1" customHeight="1" x14ac:dyDescent="0.25">
      <c r="A566" s="272" t="s">
        <v>8816</v>
      </c>
      <c r="B566" s="272" t="s">
        <v>10446</v>
      </c>
      <c r="C566" s="259" t="s">
        <v>10447</v>
      </c>
    </row>
    <row r="567" spans="1:3" ht="14.1" customHeight="1" x14ac:dyDescent="0.25">
      <c r="A567" s="118" t="s">
        <v>8816</v>
      </c>
      <c r="B567" s="272" t="s">
        <v>10448</v>
      </c>
      <c r="C567" s="259" t="s">
        <v>10449</v>
      </c>
    </row>
    <row r="568" spans="1:3" ht="14.1" customHeight="1" x14ac:dyDescent="0.25">
      <c r="A568" s="118" t="s">
        <v>8816</v>
      </c>
      <c r="B568" s="272" t="s">
        <v>10450</v>
      </c>
      <c r="C568" s="259" t="s">
        <v>10451</v>
      </c>
    </row>
    <row r="569" spans="1:3" ht="14.1" customHeight="1" x14ac:dyDescent="0.25">
      <c r="A569" s="118" t="s">
        <v>8816</v>
      </c>
      <c r="B569" s="272" t="s">
        <v>10452</v>
      </c>
      <c r="C569" s="259" t="s">
        <v>10453</v>
      </c>
    </row>
    <row r="570" spans="1:3" ht="14.1" customHeight="1" x14ac:dyDescent="0.25">
      <c r="A570" s="118" t="s">
        <v>8816</v>
      </c>
      <c r="B570" s="272" t="s">
        <v>10454</v>
      </c>
      <c r="C570" s="259" t="s">
        <v>10455</v>
      </c>
    </row>
    <row r="571" spans="1:3" ht="14.1" customHeight="1" x14ac:dyDescent="0.25">
      <c r="A571" s="118" t="s">
        <v>8816</v>
      </c>
      <c r="B571" s="272" t="s">
        <v>10456</v>
      </c>
      <c r="C571" s="259" t="s">
        <v>10457</v>
      </c>
    </row>
    <row r="572" spans="1:3" ht="14.1" customHeight="1" x14ac:dyDescent="0.25">
      <c r="A572" s="118" t="s">
        <v>8816</v>
      </c>
      <c r="B572" s="272" t="s">
        <v>10458</v>
      </c>
      <c r="C572" s="259" t="s">
        <v>10459</v>
      </c>
    </row>
    <row r="573" spans="1:3" ht="14.1" customHeight="1" x14ac:dyDescent="0.25">
      <c r="A573" s="118" t="s">
        <v>8816</v>
      </c>
      <c r="B573" s="272" t="s">
        <v>10460</v>
      </c>
      <c r="C573" s="259" t="s">
        <v>10461</v>
      </c>
    </row>
    <row r="574" spans="1:3" ht="14.1" customHeight="1" x14ac:dyDescent="0.25">
      <c r="A574" s="118" t="s">
        <v>8816</v>
      </c>
      <c r="B574" s="272" t="s">
        <v>10462</v>
      </c>
      <c r="C574" s="259" t="s">
        <v>10463</v>
      </c>
    </row>
    <row r="575" spans="1:3" ht="14.1" customHeight="1" x14ac:dyDescent="0.25">
      <c r="A575" s="118" t="s">
        <v>8816</v>
      </c>
      <c r="B575" s="272" t="s">
        <v>10464</v>
      </c>
      <c r="C575" s="259" t="s">
        <v>10465</v>
      </c>
    </row>
    <row r="576" spans="1:3" ht="14.1" customHeight="1" x14ac:dyDescent="0.25">
      <c r="A576" s="118" t="s">
        <v>8816</v>
      </c>
      <c r="B576" s="272" t="s">
        <v>10466</v>
      </c>
      <c r="C576" s="259" t="s">
        <v>10467</v>
      </c>
    </row>
    <row r="577" spans="1:3" ht="14.1" customHeight="1" x14ac:dyDescent="0.25">
      <c r="A577" s="118" t="s">
        <v>8816</v>
      </c>
      <c r="B577" s="272" t="s">
        <v>10468</v>
      </c>
      <c r="C577" s="259" t="s">
        <v>10469</v>
      </c>
    </row>
    <row r="578" spans="1:3" ht="14.1" customHeight="1" x14ac:dyDescent="0.25">
      <c r="A578" s="118" t="s">
        <v>8816</v>
      </c>
      <c r="B578" s="272" t="s">
        <v>10470</v>
      </c>
      <c r="C578" s="259" t="s">
        <v>10471</v>
      </c>
    </row>
    <row r="579" spans="1:3" ht="14.1" customHeight="1" x14ac:dyDescent="0.25">
      <c r="A579" s="118" t="s">
        <v>8816</v>
      </c>
      <c r="B579" s="272" t="s">
        <v>10472</v>
      </c>
      <c r="C579" s="259" t="s">
        <v>10473</v>
      </c>
    </row>
    <row r="580" spans="1:3" ht="14.1" customHeight="1" x14ac:dyDescent="0.25">
      <c r="A580" s="118" t="s">
        <v>8816</v>
      </c>
      <c r="B580" s="272" t="s">
        <v>10474</v>
      </c>
      <c r="C580" s="259" t="s">
        <v>10475</v>
      </c>
    </row>
    <row r="581" spans="1:3" ht="14.1" customHeight="1" x14ac:dyDescent="0.25">
      <c r="A581" s="118" t="s">
        <v>8816</v>
      </c>
      <c r="B581" s="272" t="s">
        <v>10476</v>
      </c>
      <c r="C581" s="259" t="s">
        <v>10477</v>
      </c>
    </row>
    <row r="582" spans="1:3" ht="14.1" customHeight="1" x14ac:dyDescent="0.25">
      <c r="A582" s="118" t="s">
        <v>8816</v>
      </c>
      <c r="B582" s="272" t="s">
        <v>10478</v>
      </c>
      <c r="C582" s="259" t="s">
        <v>10479</v>
      </c>
    </row>
    <row r="583" spans="1:3" ht="14.1" customHeight="1" x14ac:dyDescent="0.25">
      <c r="A583" s="118" t="s">
        <v>8816</v>
      </c>
      <c r="B583" s="272" t="s">
        <v>10480</v>
      </c>
      <c r="C583" s="259" t="s">
        <v>10481</v>
      </c>
    </row>
    <row r="584" spans="1:3" ht="14.1" customHeight="1" x14ac:dyDescent="0.25">
      <c r="A584" s="118" t="s">
        <v>8816</v>
      </c>
      <c r="B584" s="272" t="s">
        <v>10482</v>
      </c>
      <c r="C584" s="259" t="s">
        <v>10483</v>
      </c>
    </row>
    <row r="585" spans="1:3" ht="14.1" customHeight="1" x14ac:dyDescent="0.25">
      <c r="A585" s="118" t="s">
        <v>8816</v>
      </c>
      <c r="B585" s="272" t="s">
        <v>10484</v>
      </c>
      <c r="C585" s="259" t="s">
        <v>10485</v>
      </c>
    </row>
    <row r="586" spans="1:3" ht="14.1" customHeight="1" x14ac:dyDescent="0.25">
      <c r="A586" s="118" t="s">
        <v>8816</v>
      </c>
      <c r="B586" s="272" t="s">
        <v>10486</v>
      </c>
      <c r="C586" s="259" t="s">
        <v>10487</v>
      </c>
    </row>
    <row r="587" spans="1:3" ht="14.1" customHeight="1" x14ac:dyDescent="0.25">
      <c r="A587" s="118" t="s">
        <v>8816</v>
      </c>
      <c r="B587" s="272" t="s">
        <v>10488</v>
      </c>
      <c r="C587" s="259" t="s">
        <v>10489</v>
      </c>
    </row>
    <row r="588" spans="1:3" ht="14.1" customHeight="1" x14ac:dyDescent="0.25">
      <c r="A588" s="118" t="s">
        <v>8816</v>
      </c>
      <c r="B588" s="272" t="s">
        <v>10490</v>
      </c>
      <c r="C588" s="259" t="s">
        <v>10491</v>
      </c>
    </row>
    <row r="589" spans="1:3" ht="14.1" customHeight="1" x14ac:dyDescent="0.25">
      <c r="A589" s="118" t="s">
        <v>8816</v>
      </c>
      <c r="B589" s="272" t="s">
        <v>10492</v>
      </c>
      <c r="C589" s="259" t="s">
        <v>10493</v>
      </c>
    </row>
    <row r="590" spans="1:3" ht="14.1" customHeight="1" x14ac:dyDescent="0.25">
      <c r="A590" s="118" t="s">
        <v>8816</v>
      </c>
      <c r="B590" s="272" t="s">
        <v>10494</v>
      </c>
      <c r="C590" s="259" t="s">
        <v>10495</v>
      </c>
    </row>
    <row r="591" spans="1:3" ht="14.1" customHeight="1" x14ac:dyDescent="0.25">
      <c r="A591" s="118" t="s">
        <v>8816</v>
      </c>
      <c r="B591" s="272" t="s">
        <v>10496</v>
      </c>
      <c r="C591" s="259" t="s">
        <v>10497</v>
      </c>
    </row>
    <row r="592" spans="1:3" ht="14.1" customHeight="1" x14ac:dyDescent="0.25">
      <c r="A592" s="118" t="s">
        <v>8816</v>
      </c>
      <c r="B592" s="272" t="s">
        <v>10498</v>
      </c>
      <c r="C592" s="259" t="s">
        <v>10499</v>
      </c>
    </row>
    <row r="593" spans="1:3" ht="14.1" customHeight="1" x14ac:dyDescent="0.25">
      <c r="A593" s="118" t="s">
        <v>8816</v>
      </c>
      <c r="B593" s="272" t="s">
        <v>10500</v>
      </c>
      <c r="C593" s="259" t="s">
        <v>10501</v>
      </c>
    </row>
    <row r="594" spans="1:3" ht="14.1" customHeight="1" x14ac:dyDescent="0.25">
      <c r="A594" s="118" t="s">
        <v>8816</v>
      </c>
      <c r="B594" s="272" t="s">
        <v>10502</v>
      </c>
      <c r="C594" s="259" t="s">
        <v>10503</v>
      </c>
    </row>
    <row r="595" spans="1:3" ht="14.1" customHeight="1" x14ac:dyDescent="0.25">
      <c r="A595" s="118" t="s">
        <v>8816</v>
      </c>
      <c r="B595" s="272" t="s">
        <v>10504</v>
      </c>
      <c r="C595" s="259" t="s">
        <v>10505</v>
      </c>
    </row>
    <row r="596" spans="1:3" ht="14.1" customHeight="1" x14ac:dyDescent="0.25">
      <c r="A596" s="118" t="s">
        <v>8816</v>
      </c>
      <c r="B596" s="272" t="s">
        <v>10506</v>
      </c>
      <c r="C596" s="259" t="s">
        <v>10507</v>
      </c>
    </row>
    <row r="597" spans="1:3" ht="14.1" customHeight="1" x14ac:dyDescent="0.25">
      <c r="A597" s="118" t="s">
        <v>8816</v>
      </c>
      <c r="B597" s="272" t="s">
        <v>10508</v>
      </c>
      <c r="C597" s="259" t="s">
        <v>10509</v>
      </c>
    </row>
    <row r="598" spans="1:3" ht="14.1" customHeight="1" x14ac:dyDescent="0.25">
      <c r="A598" s="118" t="s">
        <v>8816</v>
      </c>
      <c r="B598" s="272" t="s">
        <v>10510</v>
      </c>
      <c r="C598" s="259" t="s">
        <v>10511</v>
      </c>
    </row>
    <row r="599" spans="1:3" ht="14.1" customHeight="1" x14ac:dyDescent="0.25">
      <c r="A599" s="118" t="s">
        <v>8816</v>
      </c>
      <c r="B599" s="272" t="s">
        <v>10512</v>
      </c>
      <c r="C599" s="259" t="s">
        <v>10513</v>
      </c>
    </row>
    <row r="600" spans="1:3" ht="14.1" customHeight="1" x14ac:dyDescent="0.25">
      <c r="A600" s="118" t="s">
        <v>8816</v>
      </c>
      <c r="B600" s="272" t="s">
        <v>10514</v>
      </c>
      <c r="C600" s="259" t="s">
        <v>10515</v>
      </c>
    </row>
    <row r="601" spans="1:3" ht="14.1" customHeight="1" x14ac:dyDescent="0.25">
      <c r="A601" s="118" t="s">
        <v>8816</v>
      </c>
      <c r="B601" s="272" t="s">
        <v>10516</v>
      </c>
      <c r="C601" s="259" t="s">
        <v>10517</v>
      </c>
    </row>
    <row r="602" spans="1:3" ht="14.1" customHeight="1" x14ac:dyDescent="0.25">
      <c r="A602" s="118" t="s">
        <v>8816</v>
      </c>
      <c r="B602" s="272" t="s">
        <v>10518</v>
      </c>
      <c r="C602" s="259" t="s">
        <v>10519</v>
      </c>
    </row>
    <row r="603" spans="1:3" ht="14.1" customHeight="1" x14ac:dyDescent="0.25">
      <c r="A603" s="118" t="s">
        <v>8816</v>
      </c>
      <c r="B603" s="272" t="s">
        <v>10520</v>
      </c>
      <c r="C603" s="259" t="s">
        <v>10521</v>
      </c>
    </row>
    <row r="604" spans="1:3" ht="14.1" customHeight="1" x14ac:dyDescent="0.25">
      <c r="A604" s="118" t="s">
        <v>8816</v>
      </c>
      <c r="B604" s="272" t="s">
        <v>10522</v>
      </c>
      <c r="C604" s="259" t="s">
        <v>10523</v>
      </c>
    </row>
    <row r="605" spans="1:3" ht="14.1" customHeight="1" x14ac:dyDescent="0.25">
      <c r="A605" s="118" t="s">
        <v>8816</v>
      </c>
      <c r="B605" s="272" t="s">
        <v>10524</v>
      </c>
      <c r="C605" s="259" t="s">
        <v>10525</v>
      </c>
    </row>
    <row r="606" spans="1:3" ht="14.1" customHeight="1" x14ac:dyDescent="0.25">
      <c r="A606" s="118" t="s">
        <v>8816</v>
      </c>
      <c r="B606" s="272" t="s">
        <v>10526</v>
      </c>
      <c r="C606" s="259" t="s">
        <v>10527</v>
      </c>
    </row>
    <row r="607" spans="1:3" ht="14.1" customHeight="1" x14ac:dyDescent="0.25">
      <c r="A607" s="118" t="s">
        <v>8816</v>
      </c>
      <c r="B607" s="272" t="s">
        <v>10528</v>
      </c>
      <c r="C607" s="259" t="s">
        <v>10529</v>
      </c>
    </row>
    <row r="608" spans="1:3" ht="14.1" customHeight="1" x14ac:dyDescent="0.25">
      <c r="A608" s="118" t="s">
        <v>8816</v>
      </c>
      <c r="B608" s="272" t="s">
        <v>10530</v>
      </c>
      <c r="C608" s="259" t="s">
        <v>10531</v>
      </c>
    </row>
    <row r="609" spans="1:3" ht="14.1" customHeight="1" x14ac:dyDescent="0.25">
      <c r="A609" s="118" t="s">
        <v>8816</v>
      </c>
      <c r="B609" s="272" t="s">
        <v>10532</v>
      </c>
      <c r="C609" s="259" t="s">
        <v>10533</v>
      </c>
    </row>
    <row r="610" spans="1:3" ht="14.1" customHeight="1" x14ac:dyDescent="0.25">
      <c r="A610" s="118" t="s">
        <v>8816</v>
      </c>
      <c r="B610" s="272" t="s">
        <v>10534</v>
      </c>
      <c r="C610" s="259" t="s">
        <v>10535</v>
      </c>
    </row>
    <row r="611" spans="1:3" ht="14.1" customHeight="1" x14ac:dyDescent="0.25">
      <c r="A611" s="118" t="s">
        <v>8816</v>
      </c>
      <c r="B611" s="272" t="s">
        <v>10536</v>
      </c>
      <c r="C611" s="259" t="s">
        <v>10537</v>
      </c>
    </row>
    <row r="612" spans="1:3" ht="14.1" customHeight="1" x14ac:dyDescent="0.25">
      <c r="A612" s="118" t="s">
        <v>8816</v>
      </c>
      <c r="B612" s="272" t="s">
        <v>10538</v>
      </c>
      <c r="C612" s="259" t="s">
        <v>10539</v>
      </c>
    </row>
    <row r="613" spans="1:3" ht="14.1" customHeight="1" x14ac:dyDescent="0.25">
      <c r="A613" s="118" t="s">
        <v>8816</v>
      </c>
      <c r="B613" s="272" t="s">
        <v>10540</v>
      </c>
      <c r="C613" s="259" t="s">
        <v>10541</v>
      </c>
    </row>
    <row r="614" spans="1:3" ht="14.1" customHeight="1" x14ac:dyDescent="0.25">
      <c r="A614" s="118" t="s">
        <v>8816</v>
      </c>
      <c r="B614" s="272" t="s">
        <v>10542</v>
      </c>
      <c r="C614" s="259" t="s">
        <v>10543</v>
      </c>
    </row>
    <row r="615" spans="1:3" ht="14.1" customHeight="1" x14ac:dyDescent="0.25">
      <c r="A615" s="118" t="s">
        <v>8816</v>
      </c>
      <c r="B615" s="272" t="s">
        <v>10544</v>
      </c>
      <c r="C615" s="259" t="s">
        <v>10545</v>
      </c>
    </row>
    <row r="616" spans="1:3" ht="14.1" customHeight="1" x14ac:dyDescent="0.25">
      <c r="A616" s="118" t="s">
        <v>8816</v>
      </c>
      <c r="B616" s="272" t="s">
        <v>10546</v>
      </c>
      <c r="C616" s="259" t="s">
        <v>10547</v>
      </c>
    </row>
    <row r="617" spans="1:3" ht="14.1" customHeight="1" x14ac:dyDescent="0.25">
      <c r="A617" s="118" t="s">
        <v>8816</v>
      </c>
      <c r="B617" s="272" t="s">
        <v>10548</v>
      </c>
      <c r="C617" s="259" t="s">
        <v>10549</v>
      </c>
    </row>
    <row r="618" spans="1:3" ht="14.1" customHeight="1" x14ac:dyDescent="0.25">
      <c r="A618" s="118" t="s">
        <v>8816</v>
      </c>
      <c r="B618" s="272" t="s">
        <v>10550</v>
      </c>
      <c r="C618" s="259" t="s">
        <v>10551</v>
      </c>
    </row>
    <row r="619" spans="1:3" ht="14.1" customHeight="1" x14ac:dyDescent="0.25">
      <c r="A619" s="118" t="s">
        <v>8816</v>
      </c>
      <c r="B619" s="272" t="s">
        <v>10552</v>
      </c>
      <c r="C619" s="259" t="s">
        <v>10553</v>
      </c>
    </row>
    <row r="620" spans="1:3" ht="14.1" customHeight="1" x14ac:dyDescent="0.25">
      <c r="A620" s="118" t="s">
        <v>8816</v>
      </c>
      <c r="B620" s="272" t="s">
        <v>10554</v>
      </c>
      <c r="C620" s="259" t="s">
        <v>10555</v>
      </c>
    </row>
    <row r="621" spans="1:3" ht="14.1" customHeight="1" x14ac:dyDescent="0.25">
      <c r="A621" s="118" t="s">
        <v>8816</v>
      </c>
      <c r="B621" s="272" t="s">
        <v>10556</v>
      </c>
      <c r="C621" s="259" t="s">
        <v>10557</v>
      </c>
    </row>
    <row r="622" spans="1:3" ht="14.1" customHeight="1" x14ac:dyDescent="0.25">
      <c r="A622" s="118" t="s">
        <v>8816</v>
      </c>
      <c r="B622" s="272" t="s">
        <v>10558</v>
      </c>
      <c r="C622" s="259" t="s">
        <v>10559</v>
      </c>
    </row>
    <row r="623" spans="1:3" ht="14.1" customHeight="1" x14ac:dyDescent="0.25">
      <c r="A623" s="118" t="s">
        <v>8816</v>
      </c>
      <c r="B623" s="272" t="s">
        <v>10560</v>
      </c>
      <c r="C623" s="259" t="s">
        <v>10561</v>
      </c>
    </row>
    <row r="624" spans="1:3" ht="14.1" customHeight="1" x14ac:dyDescent="0.25">
      <c r="A624" s="118" t="s">
        <v>8816</v>
      </c>
      <c r="B624" s="272" t="s">
        <v>10562</v>
      </c>
      <c r="C624" s="259" t="s">
        <v>10563</v>
      </c>
    </row>
    <row r="625" spans="1:3" ht="14.1" customHeight="1" x14ac:dyDescent="0.25">
      <c r="A625" s="118" t="s">
        <v>8816</v>
      </c>
      <c r="B625" s="272" t="s">
        <v>10564</v>
      </c>
      <c r="C625" s="259" t="s">
        <v>10565</v>
      </c>
    </row>
    <row r="626" spans="1:3" ht="14.1" customHeight="1" x14ac:dyDescent="0.25">
      <c r="A626" s="118" t="s">
        <v>8816</v>
      </c>
      <c r="B626" s="272" t="s">
        <v>10566</v>
      </c>
      <c r="C626" s="259" t="s">
        <v>10567</v>
      </c>
    </row>
    <row r="627" spans="1:3" ht="14.1" customHeight="1" x14ac:dyDescent="0.25">
      <c r="A627" s="118" t="s">
        <v>8816</v>
      </c>
      <c r="B627" s="272" t="s">
        <v>10568</v>
      </c>
      <c r="C627" s="259" t="s">
        <v>10569</v>
      </c>
    </row>
    <row r="628" spans="1:3" ht="14.1" customHeight="1" x14ac:dyDescent="0.25">
      <c r="A628" s="118" t="s">
        <v>8816</v>
      </c>
      <c r="B628" s="272" t="s">
        <v>10570</v>
      </c>
      <c r="C628" s="259" t="s">
        <v>10571</v>
      </c>
    </row>
    <row r="629" spans="1:3" ht="14.1" customHeight="1" x14ac:dyDescent="0.25">
      <c r="A629" s="118" t="s">
        <v>8816</v>
      </c>
      <c r="B629" s="272" t="s">
        <v>10572</v>
      </c>
      <c r="C629" s="259" t="s">
        <v>10573</v>
      </c>
    </row>
    <row r="630" spans="1:3" ht="14.1" customHeight="1" x14ac:dyDescent="0.25">
      <c r="A630" s="118" t="s">
        <v>8816</v>
      </c>
      <c r="B630" s="272" t="s">
        <v>10574</v>
      </c>
      <c r="C630" s="259" t="s">
        <v>10575</v>
      </c>
    </row>
    <row r="631" spans="1:3" ht="14.1" customHeight="1" x14ac:dyDescent="0.25">
      <c r="A631" s="118" t="s">
        <v>8816</v>
      </c>
      <c r="B631" s="272" t="s">
        <v>10576</v>
      </c>
      <c r="C631" s="259" t="s">
        <v>10577</v>
      </c>
    </row>
    <row r="632" spans="1:3" ht="14.1" customHeight="1" x14ac:dyDescent="0.25">
      <c r="A632" s="118" t="s">
        <v>8816</v>
      </c>
      <c r="B632" s="272" t="s">
        <v>10578</v>
      </c>
      <c r="C632" s="259" t="s">
        <v>10579</v>
      </c>
    </row>
    <row r="633" spans="1:3" ht="14.1" customHeight="1" x14ac:dyDescent="0.25">
      <c r="A633" s="118" t="s">
        <v>8816</v>
      </c>
      <c r="B633" s="272" t="s">
        <v>10580</v>
      </c>
      <c r="C633" s="259" t="s">
        <v>10581</v>
      </c>
    </row>
    <row r="634" spans="1:3" ht="14.1" customHeight="1" x14ac:dyDescent="0.25">
      <c r="A634" s="118" t="s">
        <v>8816</v>
      </c>
      <c r="B634" s="272" t="s">
        <v>10582</v>
      </c>
      <c r="C634" s="259" t="s">
        <v>10583</v>
      </c>
    </row>
    <row r="635" spans="1:3" ht="14.1" customHeight="1" x14ac:dyDescent="0.25">
      <c r="B635" s="75"/>
      <c r="C635" s="75"/>
    </row>
    <row r="636" spans="1:3" ht="14.1" customHeight="1" x14ac:dyDescent="0.25">
      <c r="B636" s="75"/>
      <c r="C636" s="75"/>
    </row>
    <row r="637" spans="1:3" ht="14.1" customHeight="1" x14ac:dyDescent="0.25">
      <c r="B637" s="75"/>
      <c r="C637" s="75"/>
    </row>
    <row r="638" spans="1:3" ht="14.1" customHeight="1" x14ac:dyDescent="0.25">
      <c r="B638" s="75"/>
      <c r="C638" s="75"/>
    </row>
    <row r="639" spans="1:3" ht="14.1" customHeight="1" x14ac:dyDescent="0.25">
      <c r="B639" s="75"/>
      <c r="C639" s="75"/>
    </row>
    <row r="640" spans="1:3" ht="14.1" customHeight="1" x14ac:dyDescent="0.25">
      <c r="B640" s="75"/>
      <c r="C640" s="75"/>
    </row>
    <row r="641" spans="2:3" ht="14.1" customHeight="1" x14ac:dyDescent="0.25">
      <c r="B641" s="75"/>
      <c r="C641" s="75"/>
    </row>
    <row r="642" spans="2:3" ht="14.1" customHeight="1" x14ac:dyDescent="0.25">
      <c r="B642" s="75"/>
      <c r="C642" s="75"/>
    </row>
    <row r="643" spans="2:3" ht="14.1" customHeight="1" x14ac:dyDescent="0.25">
      <c r="B643" s="75"/>
      <c r="C643" s="75"/>
    </row>
    <row r="644" spans="2:3" ht="14.1" customHeight="1" x14ac:dyDescent="0.25">
      <c r="B644" s="75"/>
      <c r="C644" s="75"/>
    </row>
    <row r="645" spans="2:3" ht="14.1" customHeight="1" x14ac:dyDescent="0.25">
      <c r="B645" s="75"/>
      <c r="C645" s="75"/>
    </row>
    <row r="646" spans="2:3" ht="14.1" customHeight="1" x14ac:dyDescent="0.25">
      <c r="B646" s="75"/>
      <c r="C646" s="75"/>
    </row>
    <row r="647" spans="2:3" ht="14.1" customHeight="1" x14ac:dyDescent="0.25">
      <c r="B647" s="75"/>
      <c r="C647" s="75"/>
    </row>
    <row r="648" spans="2:3" ht="14.1" customHeight="1" x14ac:dyDescent="0.25">
      <c r="B648" s="75"/>
      <c r="C648" s="75"/>
    </row>
    <row r="649" spans="2:3" ht="14.1" customHeight="1" x14ac:dyDescent="0.25">
      <c r="B649" s="75"/>
      <c r="C649" s="75"/>
    </row>
    <row r="650" spans="2:3" ht="14.1" customHeight="1" x14ac:dyDescent="0.25">
      <c r="B650" s="75"/>
      <c r="C650" s="75"/>
    </row>
    <row r="651" spans="2:3" ht="14.1" customHeight="1" x14ac:dyDescent="0.25">
      <c r="B651" s="75"/>
      <c r="C651" s="75"/>
    </row>
    <row r="652" spans="2:3" ht="14.1" customHeight="1" x14ac:dyDescent="0.25">
      <c r="B652" s="75"/>
      <c r="C652" s="75"/>
    </row>
    <row r="653" spans="2:3" ht="14.1" customHeight="1" x14ac:dyDescent="0.25">
      <c r="B653" s="75"/>
      <c r="C653" s="75"/>
    </row>
    <row r="654" spans="2:3" ht="14.1" customHeight="1" x14ac:dyDescent="0.25">
      <c r="B654" s="75"/>
      <c r="C654" s="75"/>
    </row>
    <row r="655" spans="2:3" ht="14.1" customHeight="1" x14ac:dyDescent="0.25">
      <c r="B655" s="75"/>
      <c r="C655" s="75"/>
    </row>
    <row r="656" spans="2:3" ht="14.1" customHeight="1" x14ac:dyDescent="0.25">
      <c r="B656" s="75"/>
      <c r="C656" s="75"/>
    </row>
    <row r="657" spans="2:3" ht="14.1" customHeight="1" x14ac:dyDescent="0.25">
      <c r="B657" s="75"/>
      <c r="C657" s="75"/>
    </row>
    <row r="658" spans="2:3" ht="14.1" customHeight="1" x14ac:dyDescent="0.25">
      <c r="B658" s="75"/>
      <c r="C658" s="75"/>
    </row>
    <row r="659" spans="2:3" ht="14.1" customHeight="1" x14ac:dyDescent="0.25">
      <c r="B659" s="75"/>
      <c r="C659" s="75"/>
    </row>
    <row r="660" spans="2:3" ht="14.1" customHeight="1" x14ac:dyDescent="0.25">
      <c r="B660" s="75"/>
      <c r="C660" s="75"/>
    </row>
    <row r="661" spans="2:3" ht="14.1" customHeight="1" x14ac:dyDescent="0.25">
      <c r="B661" s="75"/>
      <c r="C661" s="75"/>
    </row>
    <row r="662" spans="2:3" ht="14.1" customHeight="1" x14ac:dyDescent="0.25">
      <c r="B662" s="75"/>
      <c r="C662" s="75"/>
    </row>
    <row r="663" spans="2:3" ht="14.1" customHeight="1" x14ac:dyDescent="0.25">
      <c r="B663" s="75"/>
      <c r="C663" s="75"/>
    </row>
    <row r="664" spans="2:3" ht="14.1" customHeight="1" x14ac:dyDescent="0.25">
      <c r="B664" s="75"/>
      <c r="C664" s="75"/>
    </row>
    <row r="665" spans="2:3" ht="14.1" customHeight="1" x14ac:dyDescent="0.25">
      <c r="B665" s="75"/>
      <c r="C665" s="75"/>
    </row>
    <row r="666" spans="2:3" ht="14.1" customHeight="1" x14ac:dyDescent="0.25">
      <c r="B666" s="75"/>
      <c r="C666" s="75"/>
    </row>
    <row r="667" spans="2:3" ht="14.1" customHeight="1" x14ac:dyDescent="0.25">
      <c r="B667" s="75"/>
      <c r="C667" s="75"/>
    </row>
    <row r="668" spans="2:3" ht="14.1" customHeight="1" x14ac:dyDescent="0.25">
      <c r="B668" s="75"/>
      <c r="C668" s="75"/>
    </row>
    <row r="669" spans="2:3" ht="14.1" customHeight="1" x14ac:dyDescent="0.25">
      <c r="B669" s="75"/>
      <c r="C669" s="75"/>
    </row>
    <row r="670" spans="2:3" ht="14.1" customHeight="1" x14ac:dyDescent="0.25">
      <c r="B670" s="75"/>
      <c r="C670" s="75"/>
    </row>
    <row r="671" spans="2:3" ht="14.1" customHeight="1" x14ac:dyDescent="0.25">
      <c r="B671" s="75"/>
      <c r="C671" s="75"/>
    </row>
    <row r="672" spans="2:3" ht="14.1" customHeight="1" x14ac:dyDescent="0.25">
      <c r="B672" s="75"/>
      <c r="C672" s="75"/>
    </row>
    <row r="673" spans="2:3" ht="14.1" customHeight="1" x14ac:dyDescent="0.25">
      <c r="B673" s="75"/>
      <c r="C673" s="75"/>
    </row>
    <row r="674" spans="2:3" ht="14.1" customHeight="1" x14ac:dyDescent="0.25">
      <c r="B674" s="75"/>
      <c r="C674" s="75"/>
    </row>
    <row r="675" spans="2:3" ht="14.1" customHeight="1" x14ac:dyDescent="0.25">
      <c r="B675" s="75"/>
      <c r="C675" s="75"/>
    </row>
    <row r="676" spans="2:3" ht="14.1" customHeight="1" x14ac:dyDescent="0.25">
      <c r="B676" s="75"/>
      <c r="C676" s="75"/>
    </row>
    <row r="677" spans="2:3" ht="14.1" customHeight="1" x14ac:dyDescent="0.25">
      <c r="B677" s="75"/>
      <c r="C677" s="75"/>
    </row>
    <row r="678" spans="2:3" ht="14.1" customHeight="1" x14ac:dyDescent="0.25">
      <c r="B678" s="75"/>
      <c r="C678" s="75"/>
    </row>
    <row r="679" spans="2:3" ht="14.1" customHeight="1" x14ac:dyDescent="0.25">
      <c r="B679" s="75"/>
      <c r="C679" s="75"/>
    </row>
    <row r="680" spans="2:3" ht="14.1" customHeight="1" x14ac:dyDescent="0.25">
      <c r="B680" s="75"/>
      <c r="C680" s="75"/>
    </row>
    <row r="681" spans="2:3" ht="14.1" customHeight="1" x14ac:dyDescent="0.25">
      <c r="B681" s="75"/>
      <c r="C681" s="75"/>
    </row>
    <row r="682" spans="2:3" ht="14.1" customHeight="1" x14ac:dyDescent="0.25">
      <c r="B682" s="75"/>
      <c r="C682" s="75"/>
    </row>
    <row r="683" spans="2:3" ht="14.1" customHeight="1" x14ac:dyDescent="0.25">
      <c r="B683" s="75"/>
      <c r="C683" s="75"/>
    </row>
    <row r="684" spans="2:3" ht="14.1" customHeight="1" x14ac:dyDescent="0.25">
      <c r="B684" s="75"/>
      <c r="C684" s="75"/>
    </row>
    <row r="685" spans="2:3" ht="14.1" customHeight="1" x14ac:dyDescent="0.25">
      <c r="B685" s="75"/>
      <c r="C685" s="75"/>
    </row>
    <row r="686" spans="2:3" ht="14.1" customHeight="1" x14ac:dyDescent="0.25">
      <c r="B686" s="75"/>
      <c r="C686" s="75"/>
    </row>
    <row r="687" spans="2:3" ht="14.1" customHeight="1" x14ac:dyDescent="0.25">
      <c r="B687" s="75"/>
      <c r="C687" s="75"/>
    </row>
    <row r="688" spans="2:3" ht="14.1" customHeight="1" x14ac:dyDescent="0.25">
      <c r="B688" s="75"/>
      <c r="C688" s="75"/>
    </row>
    <row r="689" spans="2:3" ht="14.1" customHeight="1" x14ac:dyDescent="0.25">
      <c r="B689" s="75"/>
      <c r="C689" s="75"/>
    </row>
    <row r="690" spans="2:3" ht="14.1" customHeight="1" x14ac:dyDescent="0.25">
      <c r="B690" s="75"/>
      <c r="C690" s="75"/>
    </row>
    <row r="691" spans="2:3" ht="14.1" customHeight="1" x14ac:dyDescent="0.25">
      <c r="B691" s="75"/>
      <c r="C691" s="75"/>
    </row>
    <row r="692" spans="2:3" ht="14.1" customHeight="1" x14ac:dyDescent="0.25">
      <c r="B692" s="75"/>
      <c r="C692" s="75"/>
    </row>
    <row r="693" spans="2:3" ht="14.1" customHeight="1" x14ac:dyDescent="0.25">
      <c r="B693" s="75"/>
      <c r="C693" s="75"/>
    </row>
    <row r="694" spans="2:3" ht="14.1" customHeight="1" x14ac:dyDescent="0.25">
      <c r="B694" s="75"/>
      <c r="C694" s="75"/>
    </row>
    <row r="695" spans="2:3" ht="14.1" customHeight="1" x14ac:dyDescent="0.25">
      <c r="B695" s="75"/>
      <c r="C695" s="75"/>
    </row>
    <row r="696" spans="2:3" ht="14.1" customHeight="1" x14ac:dyDescent="0.25">
      <c r="B696" s="75"/>
      <c r="C696" s="75"/>
    </row>
    <row r="697" spans="2:3" ht="14.1" customHeight="1" x14ac:dyDescent="0.25">
      <c r="B697" s="75"/>
      <c r="C697" s="75"/>
    </row>
    <row r="698" spans="2:3" ht="14.1" customHeight="1" x14ac:dyDescent="0.25">
      <c r="B698" s="75"/>
      <c r="C698" s="75"/>
    </row>
    <row r="699" spans="2:3" ht="14.1" customHeight="1" x14ac:dyDescent="0.25">
      <c r="B699" s="75"/>
      <c r="C699" s="75"/>
    </row>
    <row r="700" spans="2:3" ht="14.1" customHeight="1" x14ac:dyDescent="0.25">
      <c r="B700" s="75"/>
      <c r="C700" s="75"/>
    </row>
    <row r="701" spans="2:3" ht="14.1" customHeight="1" x14ac:dyDescent="0.25">
      <c r="B701" s="75"/>
      <c r="C701" s="75"/>
    </row>
    <row r="702" spans="2:3" ht="14.1" customHeight="1" x14ac:dyDescent="0.25">
      <c r="B702" s="75"/>
      <c r="C702" s="75"/>
    </row>
    <row r="703" spans="2:3" ht="14.1" customHeight="1" x14ac:dyDescent="0.25">
      <c r="B703" s="75"/>
      <c r="C703" s="75"/>
    </row>
    <row r="704" spans="2:3" ht="14.1" customHeight="1" x14ac:dyDescent="0.25">
      <c r="B704" s="75"/>
      <c r="C704" s="75"/>
    </row>
    <row r="705" spans="2:3" ht="14.1" customHeight="1" x14ac:dyDescent="0.25">
      <c r="B705" s="75"/>
      <c r="C705" s="75"/>
    </row>
    <row r="706" spans="2:3" ht="14.1" customHeight="1" x14ac:dyDescent="0.25">
      <c r="B706" s="75"/>
      <c r="C706" s="75"/>
    </row>
    <row r="707" spans="2:3" ht="14.1" customHeight="1" x14ac:dyDescent="0.25">
      <c r="B707" s="75"/>
      <c r="C707" s="75"/>
    </row>
    <row r="708" spans="2:3" ht="14.1" customHeight="1" x14ac:dyDescent="0.25">
      <c r="B708" s="75"/>
      <c r="C708" s="75"/>
    </row>
    <row r="709" spans="2:3" ht="14.1" customHeight="1" x14ac:dyDescent="0.25">
      <c r="B709" s="75"/>
      <c r="C709" s="75"/>
    </row>
    <row r="710" spans="2:3" ht="14.1" customHeight="1" x14ac:dyDescent="0.25">
      <c r="B710" s="75"/>
      <c r="C710" s="75"/>
    </row>
    <row r="711" spans="2:3" ht="14.1" customHeight="1" x14ac:dyDescent="0.25">
      <c r="B711" s="75"/>
      <c r="C711" s="75"/>
    </row>
    <row r="712" spans="2:3" ht="14.1" customHeight="1" x14ac:dyDescent="0.25">
      <c r="B712" s="75"/>
      <c r="C712" s="75"/>
    </row>
    <row r="713" spans="2:3" ht="14.1" customHeight="1" x14ac:dyDescent="0.25">
      <c r="B713" s="75"/>
      <c r="C713" s="75"/>
    </row>
    <row r="714" spans="2:3" ht="14.1" customHeight="1" x14ac:dyDescent="0.25">
      <c r="B714" s="75"/>
      <c r="C714" s="75"/>
    </row>
    <row r="715" spans="2:3" ht="14.1" customHeight="1" x14ac:dyDescent="0.25">
      <c r="B715" s="75"/>
      <c r="C715" s="75"/>
    </row>
    <row r="716" spans="2:3" ht="14.1" customHeight="1" x14ac:dyDescent="0.25">
      <c r="B716" s="75"/>
      <c r="C716" s="75"/>
    </row>
    <row r="717" spans="2:3" ht="14.1" customHeight="1" x14ac:dyDescent="0.25">
      <c r="B717" s="75"/>
      <c r="C717" s="75"/>
    </row>
    <row r="718" spans="2:3" ht="14.1" customHeight="1" x14ac:dyDescent="0.25">
      <c r="B718" s="75"/>
      <c r="C718" s="75"/>
    </row>
    <row r="719" spans="2:3" ht="14.1" customHeight="1" x14ac:dyDescent="0.25">
      <c r="B719" s="75"/>
      <c r="C719" s="75"/>
    </row>
    <row r="720" spans="2:3" ht="14.1" customHeight="1" x14ac:dyDescent="0.25">
      <c r="B720" s="75"/>
      <c r="C720" s="75"/>
    </row>
    <row r="721" spans="2:3" ht="14.1" customHeight="1" x14ac:dyDescent="0.25">
      <c r="B721" s="75"/>
      <c r="C721" s="75"/>
    </row>
    <row r="722" spans="2:3" ht="14.1" customHeight="1" x14ac:dyDescent="0.25">
      <c r="B722" s="75"/>
      <c r="C722" s="75"/>
    </row>
    <row r="723" spans="2:3" ht="14.1" customHeight="1" x14ac:dyDescent="0.25">
      <c r="B723" s="75"/>
      <c r="C723" s="75"/>
    </row>
    <row r="724" spans="2:3" ht="14.1" customHeight="1" x14ac:dyDescent="0.25">
      <c r="B724" s="75"/>
      <c r="C724" s="75"/>
    </row>
    <row r="725" spans="2:3" ht="14.1" customHeight="1" x14ac:dyDescent="0.25">
      <c r="B725" s="75"/>
      <c r="C725" s="75"/>
    </row>
    <row r="726" spans="2:3" ht="14.1" customHeight="1" x14ac:dyDescent="0.25">
      <c r="B726" s="75"/>
      <c r="C726" s="75"/>
    </row>
    <row r="727" spans="2:3" ht="14.1" customHeight="1" x14ac:dyDescent="0.25">
      <c r="B727" s="75"/>
      <c r="C727" s="75"/>
    </row>
    <row r="728" spans="2:3" ht="14.1" customHeight="1" x14ac:dyDescent="0.25">
      <c r="B728" s="75"/>
      <c r="C728" s="75"/>
    </row>
    <row r="729" spans="2:3" ht="14.1" customHeight="1" x14ac:dyDescent="0.25">
      <c r="B729" s="75"/>
      <c r="C729" s="75"/>
    </row>
    <row r="730" spans="2:3" ht="14.1" customHeight="1" x14ac:dyDescent="0.25">
      <c r="B730" s="75"/>
      <c r="C730" s="75"/>
    </row>
    <row r="731" spans="2:3" ht="14.1" customHeight="1" x14ac:dyDescent="0.25">
      <c r="B731" s="75"/>
      <c r="C731" s="75"/>
    </row>
    <row r="732" spans="2:3" ht="14.1" customHeight="1" x14ac:dyDescent="0.25">
      <c r="B732" s="75"/>
      <c r="C732" s="75"/>
    </row>
    <row r="733" spans="2:3" ht="14.1" customHeight="1" x14ac:dyDescent="0.25">
      <c r="B733" s="75"/>
      <c r="C733" s="75"/>
    </row>
    <row r="734" spans="2:3" ht="14.1" customHeight="1" x14ac:dyDescent="0.25">
      <c r="B734" s="75"/>
      <c r="C734" s="75"/>
    </row>
    <row r="735" spans="2:3" ht="14.1" customHeight="1" x14ac:dyDescent="0.25">
      <c r="B735" s="75"/>
      <c r="C735" s="75"/>
    </row>
    <row r="736" spans="2:3" ht="14.1" customHeight="1" x14ac:dyDescent="0.25">
      <c r="B736" s="75"/>
      <c r="C736" s="75"/>
    </row>
    <row r="737" spans="2:3" ht="14.1" customHeight="1" x14ac:dyDescent="0.25">
      <c r="B737" s="75"/>
      <c r="C737" s="75"/>
    </row>
    <row r="738" spans="2:3" ht="14.1" customHeight="1" x14ac:dyDescent="0.25">
      <c r="B738" s="75"/>
      <c r="C738" s="75"/>
    </row>
    <row r="739" spans="2:3" ht="14.1" customHeight="1" x14ac:dyDescent="0.25">
      <c r="B739" s="75"/>
      <c r="C739" s="75"/>
    </row>
    <row r="740" spans="2:3" ht="14.1" customHeight="1" x14ac:dyDescent="0.25">
      <c r="B740" s="75"/>
      <c r="C740" s="75"/>
    </row>
    <row r="741" spans="2:3" ht="14.1" customHeight="1" x14ac:dyDescent="0.25">
      <c r="B741" s="75"/>
      <c r="C741" s="75"/>
    </row>
    <row r="742" spans="2:3" ht="14.1" customHeight="1" x14ac:dyDescent="0.25">
      <c r="B742" s="75"/>
      <c r="C742" s="75"/>
    </row>
    <row r="743" spans="2:3" ht="14.1" customHeight="1" x14ac:dyDescent="0.25">
      <c r="B743" s="75"/>
      <c r="C743" s="75"/>
    </row>
    <row r="744" spans="2:3" ht="14.1" customHeight="1" x14ac:dyDescent="0.25">
      <c r="B744" s="75"/>
      <c r="C744" s="75"/>
    </row>
    <row r="745" spans="2:3" ht="14.1" customHeight="1" x14ac:dyDescent="0.25">
      <c r="B745" s="75"/>
      <c r="C745" s="75"/>
    </row>
    <row r="746" spans="2:3" ht="14.1" customHeight="1" x14ac:dyDescent="0.25">
      <c r="B746" s="75"/>
      <c r="C746" s="75"/>
    </row>
    <row r="747" spans="2:3" ht="14.1" customHeight="1" x14ac:dyDescent="0.25">
      <c r="B747" s="75"/>
      <c r="C747" s="75"/>
    </row>
    <row r="748" spans="2:3" ht="14.1" customHeight="1" x14ac:dyDescent="0.25">
      <c r="B748" s="75"/>
      <c r="C748" s="75"/>
    </row>
    <row r="749" spans="2:3" ht="14.1" customHeight="1" x14ac:dyDescent="0.25">
      <c r="B749" s="75"/>
      <c r="C749" s="75"/>
    </row>
    <row r="750" spans="2:3" ht="14.1" customHeight="1" x14ac:dyDescent="0.25">
      <c r="B750" s="75"/>
      <c r="C750" s="75"/>
    </row>
    <row r="751" spans="2:3" ht="14.1" customHeight="1" x14ac:dyDescent="0.25">
      <c r="B751" s="75"/>
      <c r="C751" s="75"/>
    </row>
    <row r="752" spans="2:3" ht="14.1" customHeight="1" x14ac:dyDescent="0.25">
      <c r="B752" s="75"/>
      <c r="C752" s="75"/>
    </row>
    <row r="753" spans="2:3" ht="14.1" customHeight="1" x14ac:dyDescent="0.25">
      <c r="B753" s="75"/>
      <c r="C753" s="75"/>
    </row>
    <row r="754" spans="2:3" ht="14.1" customHeight="1" x14ac:dyDescent="0.25">
      <c r="B754" s="75"/>
      <c r="C754" s="75"/>
    </row>
    <row r="755" spans="2:3" ht="14.1" customHeight="1" x14ac:dyDescent="0.25">
      <c r="B755" s="75"/>
      <c r="C755" s="75"/>
    </row>
    <row r="756" spans="2:3" ht="14.1" customHeight="1" x14ac:dyDescent="0.25">
      <c r="B756" s="75"/>
      <c r="C756" s="75"/>
    </row>
    <row r="757" spans="2:3" ht="14.1" customHeight="1" x14ac:dyDescent="0.25">
      <c r="B757" s="75"/>
      <c r="C757" s="75"/>
    </row>
    <row r="758" spans="2:3" ht="14.1" customHeight="1" x14ac:dyDescent="0.25">
      <c r="B758" s="75"/>
      <c r="C758" s="75"/>
    </row>
    <row r="759" spans="2:3" ht="14.1" customHeight="1" x14ac:dyDescent="0.25">
      <c r="B759" s="75"/>
      <c r="C759" s="75"/>
    </row>
    <row r="760" spans="2:3" ht="14.1" customHeight="1" x14ac:dyDescent="0.25">
      <c r="B760" s="75"/>
      <c r="C760" s="75"/>
    </row>
    <row r="761" spans="2:3" ht="14.1" customHeight="1" x14ac:dyDescent="0.25">
      <c r="B761" s="75"/>
      <c r="C761" s="75"/>
    </row>
    <row r="762" spans="2:3" ht="14.1" customHeight="1" x14ac:dyDescent="0.25">
      <c r="B762" s="75"/>
      <c r="C762" s="75"/>
    </row>
    <row r="763" spans="2:3" ht="14.1" customHeight="1" x14ac:dyDescent="0.25">
      <c r="B763" s="75"/>
      <c r="C763" s="75"/>
    </row>
    <row r="764" spans="2:3" ht="14.1" customHeight="1" x14ac:dyDescent="0.25">
      <c r="B764" s="75"/>
      <c r="C764" s="75"/>
    </row>
    <row r="765" spans="2:3" ht="14.1" customHeight="1" x14ac:dyDescent="0.25">
      <c r="B765" s="75"/>
      <c r="C765" s="75"/>
    </row>
    <row r="766" spans="2:3" ht="14.1" customHeight="1" x14ac:dyDescent="0.25">
      <c r="B766" s="75"/>
      <c r="C766" s="75"/>
    </row>
    <row r="767" spans="2:3" ht="14.1" customHeight="1" x14ac:dyDescent="0.25">
      <c r="B767" s="75"/>
      <c r="C767" s="75"/>
    </row>
    <row r="768" spans="2:3" ht="14.1" customHeight="1" x14ac:dyDescent="0.25">
      <c r="B768" s="75"/>
      <c r="C768" s="75"/>
    </row>
    <row r="769" spans="2:3" ht="14.1" customHeight="1" x14ac:dyDescent="0.25">
      <c r="B769" s="75"/>
      <c r="C769" s="75"/>
    </row>
    <row r="770" spans="2:3" ht="14.1" customHeight="1" x14ac:dyDescent="0.25">
      <c r="B770" s="75"/>
      <c r="C770" s="75"/>
    </row>
    <row r="771" spans="2:3" ht="14.1" customHeight="1" x14ac:dyDescent="0.25">
      <c r="B771" s="75"/>
      <c r="C771" s="75"/>
    </row>
    <row r="772" spans="2:3" ht="14.1" customHeight="1" x14ac:dyDescent="0.25">
      <c r="B772" s="75"/>
      <c r="C772" s="75"/>
    </row>
    <row r="773" spans="2:3" ht="14.1" customHeight="1" x14ac:dyDescent="0.25">
      <c r="B773" s="75"/>
      <c r="C773" s="75"/>
    </row>
    <row r="774" spans="2:3" ht="14.1" customHeight="1" x14ac:dyDescent="0.25">
      <c r="B774" s="75"/>
      <c r="C774" s="75"/>
    </row>
    <row r="775" spans="2:3" ht="14.1" customHeight="1" x14ac:dyDescent="0.25">
      <c r="B775" s="75"/>
      <c r="C775" s="75"/>
    </row>
    <row r="776" spans="2:3" ht="14.1" customHeight="1" x14ac:dyDescent="0.25">
      <c r="B776" s="75"/>
      <c r="C776" s="75"/>
    </row>
    <row r="777" spans="2:3" ht="14.1" customHeight="1" x14ac:dyDescent="0.25">
      <c r="B777" s="75"/>
      <c r="C777" s="75"/>
    </row>
    <row r="778" spans="2:3" ht="14.1" customHeight="1" x14ac:dyDescent="0.25">
      <c r="B778" s="75"/>
      <c r="C778" s="75"/>
    </row>
    <row r="779" spans="2:3" ht="14.1" customHeight="1" x14ac:dyDescent="0.25">
      <c r="B779" s="75"/>
      <c r="C779" s="75"/>
    </row>
    <row r="780" spans="2:3" ht="14.1" customHeight="1" x14ac:dyDescent="0.25">
      <c r="B780" s="75"/>
      <c r="C780" s="75"/>
    </row>
    <row r="781" spans="2:3" ht="14.1" customHeight="1" x14ac:dyDescent="0.25">
      <c r="B781" s="75"/>
      <c r="C781" s="75"/>
    </row>
    <row r="782" spans="2:3" ht="14.1" customHeight="1" x14ac:dyDescent="0.25">
      <c r="B782" s="75"/>
      <c r="C782" s="75"/>
    </row>
    <row r="783" spans="2:3" ht="14.1" customHeight="1" x14ac:dyDescent="0.25">
      <c r="B783" s="75"/>
      <c r="C783" s="75"/>
    </row>
    <row r="784" spans="2:3" ht="14.1" customHeight="1" x14ac:dyDescent="0.25">
      <c r="B784" s="75"/>
      <c r="C784" s="75"/>
    </row>
    <row r="785" spans="2:3" ht="14.1" customHeight="1" x14ac:dyDescent="0.25">
      <c r="B785" s="75"/>
      <c r="C785" s="75"/>
    </row>
    <row r="786" spans="2:3" ht="14.1" customHeight="1" x14ac:dyDescent="0.25">
      <c r="B786" s="75"/>
      <c r="C786" s="75"/>
    </row>
    <row r="787" spans="2:3" ht="14.1" customHeight="1" x14ac:dyDescent="0.25">
      <c r="B787" s="75"/>
      <c r="C787" s="75"/>
    </row>
    <row r="788" spans="2:3" ht="14.1" customHeight="1" x14ac:dyDescent="0.25">
      <c r="B788" s="75"/>
      <c r="C788" s="75"/>
    </row>
    <row r="789" spans="2:3" ht="14.1" customHeight="1" x14ac:dyDescent="0.25">
      <c r="B789" s="75"/>
      <c r="C789" s="75"/>
    </row>
    <row r="790" spans="2:3" ht="14.1" customHeight="1" x14ac:dyDescent="0.25">
      <c r="B790" s="75"/>
      <c r="C790" s="75"/>
    </row>
    <row r="791" spans="2:3" ht="14.1" customHeight="1" x14ac:dyDescent="0.25">
      <c r="B791" s="75"/>
      <c r="C791" s="75"/>
    </row>
    <row r="792" spans="2:3" ht="14.1" customHeight="1" x14ac:dyDescent="0.25">
      <c r="B792" s="75"/>
      <c r="C792" s="75"/>
    </row>
    <row r="793" spans="2:3" ht="14.1" customHeight="1" x14ac:dyDescent="0.25">
      <c r="B793" s="75"/>
      <c r="C793" s="75"/>
    </row>
    <row r="794" spans="2:3" ht="14.1" customHeight="1" x14ac:dyDescent="0.25">
      <c r="B794" s="75"/>
      <c r="C794" s="75"/>
    </row>
    <row r="795" spans="2:3" ht="14.1" customHeight="1" x14ac:dyDescent="0.25">
      <c r="B795" s="75"/>
      <c r="C795" s="75"/>
    </row>
    <row r="796" spans="2:3" ht="14.1" customHeight="1" x14ac:dyDescent="0.25">
      <c r="B796" s="75"/>
      <c r="C796" s="75"/>
    </row>
    <row r="797" spans="2:3" ht="14.1" customHeight="1" x14ac:dyDescent="0.25">
      <c r="B797" s="75"/>
      <c r="C797" s="75"/>
    </row>
    <row r="798" spans="2:3" ht="14.1" customHeight="1" x14ac:dyDescent="0.25">
      <c r="B798" s="75"/>
      <c r="C798" s="75"/>
    </row>
    <row r="799" spans="2:3" ht="14.1" customHeight="1" x14ac:dyDescent="0.25">
      <c r="B799" s="75"/>
      <c r="C799" s="75"/>
    </row>
    <row r="800" spans="2:3" ht="14.1" customHeight="1" x14ac:dyDescent="0.25">
      <c r="B800" s="75"/>
      <c r="C800" s="75"/>
    </row>
    <row r="801" spans="2:3" ht="14.1" customHeight="1" x14ac:dyDescent="0.25">
      <c r="B801" s="75"/>
      <c r="C801" s="75"/>
    </row>
    <row r="802" spans="2:3" ht="14.1" customHeight="1" x14ac:dyDescent="0.25">
      <c r="B802" s="75"/>
      <c r="C802" s="75"/>
    </row>
    <row r="803" spans="2:3" ht="14.1" customHeight="1" x14ac:dyDescent="0.25">
      <c r="B803" s="75"/>
      <c r="C803" s="75"/>
    </row>
    <row r="804" spans="2:3" ht="14.1" customHeight="1" x14ac:dyDescent="0.25">
      <c r="B804" s="75"/>
      <c r="C804" s="75"/>
    </row>
    <row r="805" spans="2:3" ht="14.1" customHeight="1" x14ac:dyDescent="0.25">
      <c r="B805" s="75"/>
      <c r="C805" s="75"/>
    </row>
    <row r="806" spans="2:3" ht="14.1" customHeight="1" x14ac:dyDescent="0.25">
      <c r="B806" s="75"/>
      <c r="C806" s="75"/>
    </row>
    <row r="807" spans="2:3" ht="14.1" customHeight="1" x14ac:dyDescent="0.25">
      <c r="B807" s="75"/>
      <c r="C807" s="75"/>
    </row>
    <row r="808" spans="2:3" ht="14.1" customHeight="1" x14ac:dyDescent="0.25">
      <c r="B808" s="75"/>
      <c r="C808" s="75"/>
    </row>
    <row r="809" spans="2:3" ht="14.1" customHeight="1" x14ac:dyDescent="0.25">
      <c r="B809" s="75"/>
      <c r="C809" s="75"/>
    </row>
    <row r="810" spans="2:3" ht="14.1" customHeight="1" x14ac:dyDescent="0.25">
      <c r="B810" s="75"/>
      <c r="C810" s="75"/>
    </row>
    <row r="811" spans="2:3" ht="14.1" customHeight="1" x14ac:dyDescent="0.25">
      <c r="B811" s="75"/>
      <c r="C811" s="75"/>
    </row>
    <row r="812" spans="2:3" ht="14.1" customHeight="1" x14ac:dyDescent="0.25">
      <c r="B812" s="75"/>
      <c r="C812" s="75"/>
    </row>
    <row r="813" spans="2:3" ht="14.1" customHeight="1" x14ac:dyDescent="0.25">
      <c r="B813" s="75"/>
      <c r="C813" s="75"/>
    </row>
    <row r="814" spans="2:3" ht="14.1" customHeight="1" x14ac:dyDescent="0.25">
      <c r="B814" s="75"/>
      <c r="C814" s="75"/>
    </row>
    <row r="815" spans="2:3" ht="14.1" customHeight="1" x14ac:dyDescent="0.25">
      <c r="B815" s="75"/>
      <c r="C815" s="75"/>
    </row>
    <row r="816" spans="2:3" ht="14.1" customHeight="1" x14ac:dyDescent="0.25">
      <c r="B816" s="75"/>
      <c r="C816" s="75"/>
    </row>
    <row r="817" spans="2:3" ht="14.1" customHeight="1" x14ac:dyDescent="0.25">
      <c r="B817" s="75"/>
      <c r="C817" s="75"/>
    </row>
    <row r="818" spans="2:3" ht="14.1" customHeight="1" x14ac:dyDescent="0.25">
      <c r="B818" s="75"/>
      <c r="C818" s="75"/>
    </row>
    <row r="819" spans="2:3" ht="14.1" customHeight="1" x14ac:dyDescent="0.25">
      <c r="B819" s="75"/>
      <c r="C819" s="75"/>
    </row>
    <row r="820" spans="2:3" ht="14.1" customHeight="1" x14ac:dyDescent="0.25">
      <c r="B820" s="75"/>
      <c r="C820" s="75"/>
    </row>
    <row r="821" spans="2:3" ht="14.1" customHeight="1" x14ac:dyDescent="0.25">
      <c r="B821" s="75"/>
      <c r="C821" s="75"/>
    </row>
    <row r="822" spans="2:3" ht="14.1" customHeight="1" x14ac:dyDescent="0.25">
      <c r="B822" s="75"/>
      <c r="C822" s="75"/>
    </row>
    <row r="823" spans="2:3" ht="14.1" customHeight="1" x14ac:dyDescent="0.25">
      <c r="B823" s="75"/>
      <c r="C823" s="75"/>
    </row>
    <row r="824" spans="2:3" ht="14.1" customHeight="1" x14ac:dyDescent="0.25">
      <c r="B824" s="75"/>
      <c r="C824" s="75"/>
    </row>
    <row r="825" spans="2:3" ht="14.1" customHeight="1" x14ac:dyDescent="0.25">
      <c r="B825" s="75"/>
      <c r="C825" s="75"/>
    </row>
    <row r="826" spans="2:3" ht="14.1" customHeight="1" x14ac:dyDescent="0.25">
      <c r="B826" s="75"/>
      <c r="C826" s="75"/>
    </row>
    <row r="827" spans="2:3" ht="14.1" customHeight="1" x14ac:dyDescent="0.25">
      <c r="B827" s="75"/>
      <c r="C827" s="75"/>
    </row>
    <row r="828" spans="2:3" ht="14.1" customHeight="1" x14ac:dyDescent="0.25">
      <c r="B828" s="75"/>
      <c r="C828" s="75"/>
    </row>
    <row r="829" spans="2:3" ht="14.1" customHeight="1" x14ac:dyDescent="0.25">
      <c r="B829" s="75"/>
      <c r="C829" s="75"/>
    </row>
    <row r="830" spans="2:3" ht="14.1" customHeight="1" x14ac:dyDescent="0.25">
      <c r="B830" s="75"/>
      <c r="C830" s="75"/>
    </row>
    <row r="831" spans="2:3" ht="14.1" customHeight="1" x14ac:dyDescent="0.25">
      <c r="B831" s="75"/>
      <c r="C831" s="75"/>
    </row>
    <row r="832" spans="2:3" ht="14.1" customHeight="1" x14ac:dyDescent="0.25">
      <c r="B832" s="75"/>
      <c r="C832" s="75"/>
    </row>
    <row r="833" spans="2:3" ht="14.1" customHeight="1" x14ac:dyDescent="0.25">
      <c r="B833" s="75"/>
      <c r="C833" s="75"/>
    </row>
    <row r="834" spans="2:3" ht="14.1" customHeight="1" x14ac:dyDescent="0.25">
      <c r="B834" s="75"/>
      <c r="C834" s="75"/>
    </row>
    <row r="835" spans="2:3" ht="14.1" customHeight="1" x14ac:dyDescent="0.25">
      <c r="B835" s="75"/>
      <c r="C835" s="75"/>
    </row>
    <row r="836" spans="2:3" ht="14.1" customHeight="1" x14ac:dyDescent="0.25">
      <c r="B836" s="75"/>
      <c r="C836" s="75"/>
    </row>
    <row r="837" spans="2:3" ht="14.1" customHeight="1" x14ac:dyDescent="0.25">
      <c r="B837" s="75"/>
      <c r="C837" s="75"/>
    </row>
    <row r="838" spans="2:3" ht="14.1" customHeight="1" x14ac:dyDescent="0.25">
      <c r="B838" s="75"/>
      <c r="C838" s="75"/>
    </row>
    <row r="839" spans="2:3" ht="14.1" customHeight="1" x14ac:dyDescent="0.25">
      <c r="B839" s="75"/>
      <c r="C839" s="75"/>
    </row>
    <row r="840" spans="2:3" ht="14.1" customHeight="1" x14ac:dyDescent="0.25">
      <c r="B840" s="75"/>
      <c r="C840" s="75"/>
    </row>
    <row r="841" spans="2:3" ht="14.1" customHeight="1" x14ac:dyDescent="0.25">
      <c r="B841" s="75"/>
      <c r="C841" s="75"/>
    </row>
    <row r="842" spans="2:3" ht="14.1" customHeight="1" x14ac:dyDescent="0.25">
      <c r="B842" s="75"/>
      <c r="C842" s="75"/>
    </row>
    <row r="843" spans="2:3" ht="14.1" customHeight="1" x14ac:dyDescent="0.25">
      <c r="B843" s="75"/>
      <c r="C843" s="75"/>
    </row>
    <row r="844" spans="2:3" ht="14.1" customHeight="1" x14ac:dyDescent="0.25">
      <c r="B844" s="75"/>
      <c r="C844" s="75"/>
    </row>
    <row r="845" spans="2:3" ht="14.1" customHeight="1" x14ac:dyDescent="0.25">
      <c r="B845" s="75"/>
      <c r="C845" s="75"/>
    </row>
    <row r="846" spans="2:3" ht="14.1" customHeight="1" x14ac:dyDescent="0.25">
      <c r="B846" s="75"/>
      <c r="C846" s="75"/>
    </row>
    <row r="847" spans="2:3" ht="14.1" customHeight="1" x14ac:dyDescent="0.25">
      <c r="B847" s="75"/>
      <c r="C847" s="75"/>
    </row>
    <row r="848" spans="2:3" ht="14.1" customHeight="1" x14ac:dyDescent="0.25">
      <c r="B848" s="75"/>
      <c r="C848" s="75"/>
    </row>
    <row r="849" spans="2:3" ht="14.1" customHeight="1" x14ac:dyDescent="0.25">
      <c r="B849" s="75"/>
      <c r="C849" s="75"/>
    </row>
    <row r="850" spans="2:3" ht="14.1" customHeight="1" x14ac:dyDescent="0.25">
      <c r="B850" s="75"/>
      <c r="C850" s="75"/>
    </row>
    <row r="851" spans="2:3" ht="14.1" customHeight="1" x14ac:dyDescent="0.25">
      <c r="B851" s="75"/>
      <c r="C851" s="75"/>
    </row>
    <row r="852" spans="2:3" ht="14.1" customHeight="1" x14ac:dyDescent="0.25">
      <c r="B852" s="75"/>
      <c r="C852" s="75"/>
    </row>
    <row r="853" spans="2:3" ht="14.1" customHeight="1" x14ac:dyDescent="0.25">
      <c r="B853" s="75"/>
      <c r="C853" s="75"/>
    </row>
    <row r="854" spans="2:3" ht="14.1" customHeight="1" x14ac:dyDescent="0.25">
      <c r="B854" s="75"/>
      <c r="C854" s="75"/>
    </row>
    <row r="855" spans="2:3" ht="14.1" customHeight="1" x14ac:dyDescent="0.25">
      <c r="B855" s="75"/>
      <c r="C855" s="75"/>
    </row>
    <row r="856" spans="2:3" ht="14.1" customHeight="1" x14ac:dyDescent="0.25">
      <c r="B856" s="75"/>
      <c r="C856" s="75"/>
    </row>
    <row r="857" spans="2:3" ht="14.1" customHeight="1" x14ac:dyDescent="0.25">
      <c r="B857" s="75"/>
      <c r="C857" s="75"/>
    </row>
    <row r="858" spans="2:3" ht="14.1" customHeight="1" x14ac:dyDescent="0.25">
      <c r="B858" s="75"/>
      <c r="C858" s="75"/>
    </row>
    <row r="859" spans="2:3" ht="14.1" customHeight="1" x14ac:dyDescent="0.25">
      <c r="B859" s="75"/>
      <c r="C859" s="75"/>
    </row>
    <row r="860" spans="2:3" ht="14.1" customHeight="1" x14ac:dyDescent="0.25">
      <c r="B860" s="75"/>
      <c r="C860" s="75"/>
    </row>
    <row r="861" spans="2:3" ht="14.1" customHeight="1" x14ac:dyDescent="0.25">
      <c r="B861" s="75"/>
      <c r="C861" s="75"/>
    </row>
    <row r="862" spans="2:3" ht="14.1" customHeight="1" x14ac:dyDescent="0.25">
      <c r="B862" s="75"/>
      <c r="C862" s="75"/>
    </row>
    <row r="863" spans="2:3" ht="14.1" customHeight="1" x14ac:dyDescent="0.25">
      <c r="B863" s="75"/>
      <c r="C863" s="75"/>
    </row>
    <row r="864" spans="2:3" ht="14.1" customHeight="1" x14ac:dyDescent="0.25">
      <c r="B864" s="75"/>
      <c r="C864" s="75"/>
    </row>
    <row r="865" spans="2:3" ht="14.1" customHeight="1" x14ac:dyDescent="0.25">
      <c r="B865" s="75"/>
      <c r="C865" s="75"/>
    </row>
    <row r="866" spans="2:3" ht="14.1" customHeight="1" x14ac:dyDescent="0.25">
      <c r="B866" s="75"/>
      <c r="C866" s="75"/>
    </row>
    <row r="867" spans="2:3" ht="14.1" customHeight="1" x14ac:dyDescent="0.25">
      <c r="B867" s="75"/>
      <c r="C867" s="75"/>
    </row>
    <row r="868" spans="2:3" ht="14.1" customHeight="1" x14ac:dyDescent="0.25">
      <c r="B868" s="75"/>
      <c r="C868" s="75"/>
    </row>
    <row r="869" spans="2:3" ht="14.1" customHeight="1" x14ac:dyDescent="0.25">
      <c r="B869" s="75"/>
      <c r="C869" s="75"/>
    </row>
    <row r="870" spans="2:3" ht="14.1" customHeight="1" x14ac:dyDescent="0.25">
      <c r="B870" s="75"/>
      <c r="C870" s="75"/>
    </row>
    <row r="871" spans="2:3" ht="14.1" customHeight="1" x14ac:dyDescent="0.25">
      <c r="B871" s="75"/>
      <c r="C871" s="75"/>
    </row>
    <row r="872" spans="2:3" ht="14.1" customHeight="1" x14ac:dyDescent="0.25">
      <c r="B872" s="75"/>
      <c r="C872" s="75"/>
    </row>
    <row r="873" spans="2:3" ht="14.1" customHeight="1" x14ac:dyDescent="0.25">
      <c r="B873" s="75"/>
      <c r="C873" s="75"/>
    </row>
    <row r="874" spans="2:3" ht="14.1" customHeight="1" x14ac:dyDescent="0.25">
      <c r="B874" s="75"/>
      <c r="C874" s="75"/>
    </row>
    <row r="875" spans="2:3" ht="14.1" customHeight="1" x14ac:dyDescent="0.25">
      <c r="B875" s="75"/>
      <c r="C875" s="75"/>
    </row>
    <row r="876" spans="2:3" ht="14.1" customHeight="1" x14ac:dyDescent="0.25">
      <c r="B876" s="75"/>
      <c r="C876" s="75"/>
    </row>
    <row r="877" spans="2:3" ht="14.1" customHeight="1" x14ac:dyDescent="0.25">
      <c r="B877" s="75"/>
      <c r="C877" s="75"/>
    </row>
    <row r="878" spans="2:3" ht="14.1" customHeight="1" x14ac:dyDescent="0.25">
      <c r="B878" s="75"/>
      <c r="C878" s="75"/>
    </row>
    <row r="879" spans="2:3" ht="14.1" customHeight="1" x14ac:dyDescent="0.25">
      <c r="B879" s="75"/>
      <c r="C879" s="75"/>
    </row>
    <row r="880" spans="2:3" ht="14.1" customHeight="1" x14ac:dyDescent="0.25">
      <c r="B880" s="75"/>
      <c r="C880" s="75"/>
    </row>
    <row r="881" spans="2:3" ht="14.1" customHeight="1" x14ac:dyDescent="0.25">
      <c r="B881" s="75"/>
      <c r="C881" s="75"/>
    </row>
    <row r="882" spans="2:3" ht="14.1" customHeight="1" x14ac:dyDescent="0.25">
      <c r="B882" s="75"/>
      <c r="C882" s="75"/>
    </row>
    <row r="883" spans="2:3" ht="14.1" customHeight="1" x14ac:dyDescent="0.25">
      <c r="B883" s="75"/>
      <c r="C883" s="75"/>
    </row>
    <row r="884" spans="2:3" ht="14.1" customHeight="1" x14ac:dyDescent="0.25">
      <c r="B884" s="75"/>
      <c r="C884" s="75"/>
    </row>
    <row r="885" spans="2:3" ht="14.1" customHeight="1" x14ac:dyDescent="0.25">
      <c r="B885" s="75"/>
      <c r="C885" s="75"/>
    </row>
    <row r="886" spans="2:3" ht="14.1" customHeight="1" x14ac:dyDescent="0.25">
      <c r="B886" s="75"/>
      <c r="C886" s="75"/>
    </row>
    <row r="887" spans="2:3" ht="14.1" customHeight="1" x14ac:dyDescent="0.25">
      <c r="B887" s="75"/>
      <c r="C887" s="75"/>
    </row>
    <row r="888" spans="2:3" ht="14.1" customHeight="1" x14ac:dyDescent="0.25">
      <c r="B888" s="75"/>
      <c r="C888" s="75"/>
    </row>
    <row r="889" spans="2:3" ht="14.1" customHeight="1" x14ac:dyDescent="0.25">
      <c r="B889" s="75"/>
      <c r="C889" s="75"/>
    </row>
    <row r="890" spans="2:3" ht="14.1" customHeight="1" x14ac:dyDescent="0.25">
      <c r="B890" s="75"/>
      <c r="C890" s="75"/>
    </row>
    <row r="891" spans="2:3" ht="14.1" customHeight="1" x14ac:dyDescent="0.25">
      <c r="B891" s="75"/>
      <c r="C891" s="75"/>
    </row>
    <row r="892" spans="2:3" ht="14.1" customHeight="1" x14ac:dyDescent="0.25">
      <c r="B892" s="75"/>
      <c r="C892" s="75"/>
    </row>
    <row r="893" spans="2:3" ht="14.1" customHeight="1" x14ac:dyDescent="0.25">
      <c r="B893" s="75"/>
      <c r="C893" s="75"/>
    </row>
    <row r="894" spans="2:3" ht="14.1" customHeight="1" x14ac:dyDescent="0.25">
      <c r="B894" s="75"/>
      <c r="C894" s="75"/>
    </row>
    <row r="895" spans="2:3" ht="14.1" customHeight="1" x14ac:dyDescent="0.25">
      <c r="B895" s="75"/>
      <c r="C895" s="75"/>
    </row>
    <row r="896" spans="2:3" ht="14.1" customHeight="1" x14ac:dyDescent="0.25">
      <c r="B896" s="75"/>
      <c r="C896" s="75"/>
    </row>
    <row r="897" spans="2:3" ht="14.1" customHeight="1" x14ac:dyDescent="0.25">
      <c r="B897" s="75"/>
      <c r="C897" s="75"/>
    </row>
    <row r="898" spans="2:3" ht="14.1" customHeight="1" x14ac:dyDescent="0.25">
      <c r="B898" s="75"/>
      <c r="C898" s="75"/>
    </row>
    <row r="899" spans="2:3" ht="14.1" customHeight="1" x14ac:dyDescent="0.25">
      <c r="B899" s="75"/>
      <c r="C899" s="75"/>
    </row>
    <row r="900" spans="2:3" ht="14.1" customHeight="1" x14ac:dyDescent="0.25">
      <c r="B900" s="75"/>
      <c r="C900" s="75"/>
    </row>
    <row r="901" spans="2:3" ht="14.1" customHeight="1" x14ac:dyDescent="0.25">
      <c r="B901" s="75"/>
      <c r="C901" s="75"/>
    </row>
    <row r="902" spans="2:3" ht="14.1" customHeight="1" x14ac:dyDescent="0.25">
      <c r="B902" s="75"/>
      <c r="C902" s="75"/>
    </row>
    <row r="903" spans="2:3" ht="14.1" customHeight="1" x14ac:dyDescent="0.25">
      <c r="B903" s="75"/>
      <c r="C903" s="75"/>
    </row>
    <row r="904" spans="2:3" ht="14.1" customHeight="1" x14ac:dyDescent="0.25">
      <c r="B904" s="75"/>
      <c r="C904" s="75"/>
    </row>
    <row r="905" spans="2:3" ht="14.1" customHeight="1" x14ac:dyDescent="0.25">
      <c r="B905" s="75"/>
      <c r="C905" s="75"/>
    </row>
    <row r="906" spans="2:3" ht="14.1" customHeight="1" x14ac:dyDescent="0.25">
      <c r="B906" s="75"/>
      <c r="C906" s="75"/>
    </row>
    <row r="907" spans="2:3" ht="14.1" customHeight="1" x14ac:dyDescent="0.25">
      <c r="B907" s="75"/>
      <c r="C907" s="75"/>
    </row>
    <row r="908" spans="2:3" ht="14.1" customHeight="1" x14ac:dyDescent="0.25">
      <c r="B908" s="75"/>
      <c r="C908" s="75"/>
    </row>
    <row r="909" spans="2:3" ht="14.1" customHeight="1" x14ac:dyDescent="0.25">
      <c r="B909" s="75"/>
      <c r="C909" s="75"/>
    </row>
    <row r="910" spans="2:3" ht="14.1" customHeight="1" x14ac:dyDescent="0.25">
      <c r="B910" s="75"/>
      <c r="C910" s="75"/>
    </row>
    <row r="911" spans="2:3" ht="14.1" customHeight="1" x14ac:dyDescent="0.25">
      <c r="B911" s="75"/>
      <c r="C911" s="75"/>
    </row>
    <row r="912" spans="2:3" ht="14.1" customHeight="1" x14ac:dyDescent="0.25">
      <c r="B912" s="75"/>
      <c r="C912" s="75"/>
    </row>
    <row r="913" spans="2:3" ht="14.1" customHeight="1" x14ac:dyDescent="0.25">
      <c r="B913" s="75"/>
      <c r="C913" s="75"/>
    </row>
    <row r="914" spans="2:3" ht="14.1" customHeight="1" x14ac:dyDescent="0.25">
      <c r="B914" s="75"/>
      <c r="C914" s="75"/>
    </row>
    <row r="915" spans="2:3" ht="14.1" customHeight="1" x14ac:dyDescent="0.25">
      <c r="B915" s="75"/>
      <c r="C915" s="75"/>
    </row>
    <row r="916" spans="2:3" ht="14.1" customHeight="1" x14ac:dyDescent="0.25">
      <c r="B916" s="75"/>
      <c r="C916" s="75"/>
    </row>
    <row r="917" spans="2:3" ht="14.1" customHeight="1" x14ac:dyDescent="0.25">
      <c r="B917" s="75"/>
      <c r="C917" s="75"/>
    </row>
    <row r="918" spans="2:3" ht="14.1" customHeight="1" x14ac:dyDescent="0.25">
      <c r="B918" s="75"/>
      <c r="C918" s="75"/>
    </row>
    <row r="919" spans="2:3" ht="14.1" customHeight="1" x14ac:dyDescent="0.25">
      <c r="B919" s="75"/>
      <c r="C919" s="75"/>
    </row>
    <row r="920" spans="2:3" ht="14.1" customHeight="1" x14ac:dyDescent="0.25">
      <c r="B920" s="75"/>
      <c r="C920" s="75"/>
    </row>
    <row r="921" spans="2:3" ht="14.1" customHeight="1" x14ac:dyDescent="0.25">
      <c r="B921" s="75"/>
      <c r="C921" s="75"/>
    </row>
    <row r="922" spans="2:3" ht="14.1" customHeight="1" x14ac:dyDescent="0.25">
      <c r="B922" s="75"/>
      <c r="C922" s="75"/>
    </row>
    <row r="923" spans="2:3" ht="14.1" customHeight="1" x14ac:dyDescent="0.25">
      <c r="B923" s="75"/>
      <c r="C923" s="75"/>
    </row>
    <row r="924" spans="2:3" ht="14.1" customHeight="1" x14ac:dyDescent="0.25">
      <c r="B924" s="75"/>
      <c r="C924" s="75"/>
    </row>
    <row r="925" spans="2:3" ht="14.1" customHeight="1" x14ac:dyDescent="0.25">
      <c r="B925" s="75"/>
      <c r="C925" s="75"/>
    </row>
    <row r="926" spans="2:3" ht="14.1" customHeight="1" x14ac:dyDescent="0.25">
      <c r="B926" s="75"/>
      <c r="C926" s="75"/>
    </row>
    <row r="927" spans="2:3" ht="14.1" customHeight="1" x14ac:dyDescent="0.25">
      <c r="B927" s="75"/>
      <c r="C927" s="75"/>
    </row>
    <row r="928" spans="2:3" ht="14.1" customHeight="1" x14ac:dyDescent="0.25">
      <c r="B928" s="75"/>
      <c r="C928" s="75"/>
    </row>
    <row r="929" spans="2:3" ht="14.1" customHeight="1" x14ac:dyDescent="0.25">
      <c r="B929" s="75"/>
      <c r="C929" s="75"/>
    </row>
    <row r="930" spans="2:3" ht="14.1" customHeight="1" x14ac:dyDescent="0.25">
      <c r="B930" s="75"/>
      <c r="C930" s="75"/>
    </row>
    <row r="931" spans="2:3" ht="14.1" customHeight="1" x14ac:dyDescent="0.25">
      <c r="B931" s="75"/>
      <c r="C931" s="75"/>
    </row>
    <row r="932" spans="2:3" ht="14.1" customHeight="1" x14ac:dyDescent="0.25">
      <c r="B932" s="75"/>
      <c r="C932" s="75"/>
    </row>
    <row r="933" spans="2:3" ht="14.1" customHeight="1" x14ac:dyDescent="0.25">
      <c r="B933" s="75"/>
      <c r="C933" s="75"/>
    </row>
    <row r="934" spans="2:3" ht="14.1" customHeight="1" x14ac:dyDescent="0.25">
      <c r="B934" s="75"/>
      <c r="C934" s="75"/>
    </row>
    <row r="935" spans="2:3" ht="14.1" customHeight="1" x14ac:dyDescent="0.25">
      <c r="B935" s="75"/>
      <c r="C935" s="75"/>
    </row>
    <row r="936" spans="2:3" ht="14.1" customHeight="1" x14ac:dyDescent="0.25">
      <c r="B936" s="75"/>
      <c r="C936" s="75"/>
    </row>
    <row r="937" spans="2:3" ht="14.1" customHeight="1" x14ac:dyDescent="0.25">
      <c r="B937" s="75"/>
      <c r="C937" s="75"/>
    </row>
    <row r="938" spans="2:3" ht="14.1" customHeight="1" x14ac:dyDescent="0.25">
      <c r="B938" s="75"/>
      <c r="C938" s="75"/>
    </row>
    <row r="939" spans="2:3" ht="14.1" customHeight="1" x14ac:dyDescent="0.25">
      <c r="B939" s="75"/>
      <c r="C939" s="75"/>
    </row>
    <row r="940" spans="2:3" ht="14.1" customHeight="1" x14ac:dyDescent="0.25">
      <c r="B940" s="75"/>
      <c r="C940" s="75"/>
    </row>
    <row r="941" spans="2:3" ht="14.1" customHeight="1" x14ac:dyDescent="0.25">
      <c r="B941" s="75"/>
      <c r="C941" s="75"/>
    </row>
    <row r="942" spans="2:3" ht="14.1" customHeight="1" x14ac:dyDescent="0.25">
      <c r="B942" s="75"/>
      <c r="C942" s="75"/>
    </row>
    <row r="943" spans="2:3" ht="14.1" customHeight="1" x14ac:dyDescent="0.25">
      <c r="B943" s="75"/>
      <c r="C943" s="75"/>
    </row>
    <row r="944" spans="2:3" ht="14.1" customHeight="1" x14ac:dyDescent="0.25">
      <c r="B944" s="75"/>
      <c r="C944" s="75"/>
    </row>
    <row r="945" spans="2:3" ht="14.1" customHeight="1" x14ac:dyDescent="0.25">
      <c r="B945" s="75"/>
      <c r="C945" s="75"/>
    </row>
    <row r="946" spans="2:3" ht="14.1" customHeight="1" x14ac:dyDescent="0.25">
      <c r="B946" s="75"/>
      <c r="C946" s="75"/>
    </row>
    <row r="947" spans="2:3" ht="14.1" customHeight="1" x14ac:dyDescent="0.25">
      <c r="B947" s="75"/>
      <c r="C947" s="75"/>
    </row>
    <row r="948" spans="2:3" ht="14.1" customHeight="1" x14ac:dyDescent="0.25">
      <c r="B948" s="75"/>
      <c r="C948" s="75"/>
    </row>
    <row r="949" spans="2:3" ht="14.1" customHeight="1" x14ac:dyDescent="0.25">
      <c r="B949" s="75"/>
      <c r="C949" s="75"/>
    </row>
    <row r="950" spans="2:3" ht="14.1" customHeight="1" x14ac:dyDescent="0.25">
      <c r="B950" s="75"/>
      <c r="C950" s="75"/>
    </row>
    <row r="951" spans="2:3" ht="14.1" customHeight="1" x14ac:dyDescent="0.25">
      <c r="B951" s="75"/>
      <c r="C951" s="75"/>
    </row>
    <row r="952" spans="2:3" ht="14.1" customHeight="1" x14ac:dyDescent="0.25">
      <c r="B952" s="75"/>
      <c r="C952" s="75"/>
    </row>
    <row r="953" spans="2:3" ht="14.1" customHeight="1" x14ac:dyDescent="0.25">
      <c r="B953" s="75"/>
      <c r="C953" s="75"/>
    </row>
    <row r="954" spans="2:3" ht="14.1" customHeight="1" x14ac:dyDescent="0.25">
      <c r="B954" s="75"/>
      <c r="C954" s="75"/>
    </row>
    <row r="955" spans="2:3" ht="14.1" customHeight="1" x14ac:dyDescent="0.25">
      <c r="B955" s="75"/>
      <c r="C955" s="75"/>
    </row>
    <row r="956" spans="2:3" ht="14.1" customHeight="1" x14ac:dyDescent="0.25">
      <c r="B956" s="75"/>
      <c r="C956" s="75"/>
    </row>
    <row r="957" spans="2:3" ht="14.1" customHeight="1" x14ac:dyDescent="0.25">
      <c r="B957" s="75"/>
      <c r="C957" s="75"/>
    </row>
    <row r="958" spans="2:3" ht="14.1" customHeight="1" x14ac:dyDescent="0.25">
      <c r="B958" s="75"/>
      <c r="C958" s="75"/>
    </row>
    <row r="959" spans="2:3" ht="14.1" customHeight="1" x14ac:dyDescent="0.25">
      <c r="B959" s="75"/>
      <c r="C959" s="75"/>
    </row>
    <row r="960" spans="2:3" ht="14.1" customHeight="1" x14ac:dyDescent="0.25">
      <c r="B960" s="75"/>
      <c r="C960" s="75"/>
    </row>
    <row r="961" spans="2:3" ht="14.1" customHeight="1" x14ac:dyDescent="0.25">
      <c r="B961" s="75"/>
      <c r="C961" s="75"/>
    </row>
    <row r="962" spans="2:3" ht="14.1" customHeight="1" x14ac:dyDescent="0.25">
      <c r="B962" s="75"/>
      <c r="C962" s="75"/>
    </row>
    <row r="963" spans="2:3" ht="14.1" customHeight="1" x14ac:dyDescent="0.25">
      <c r="B963" s="75"/>
      <c r="C963" s="75"/>
    </row>
    <row r="964" spans="2:3" ht="14.1" customHeight="1" x14ac:dyDescent="0.25">
      <c r="B964" s="75"/>
      <c r="C964" s="75"/>
    </row>
    <row r="965" spans="2:3" ht="14.1" customHeight="1" x14ac:dyDescent="0.25">
      <c r="B965" s="75"/>
      <c r="C965" s="75"/>
    </row>
    <row r="966" spans="2:3" ht="14.1" customHeight="1" x14ac:dyDescent="0.25">
      <c r="B966" s="75"/>
      <c r="C966" s="75"/>
    </row>
    <row r="967" spans="2:3" ht="14.1" customHeight="1" x14ac:dyDescent="0.25">
      <c r="B967" s="75"/>
      <c r="C967" s="75"/>
    </row>
    <row r="968" spans="2:3" ht="14.1" customHeight="1" x14ac:dyDescent="0.25">
      <c r="B968" s="75"/>
      <c r="C968" s="75"/>
    </row>
    <row r="969" spans="2:3" ht="14.1" customHeight="1" x14ac:dyDescent="0.25">
      <c r="B969" s="75"/>
      <c r="C969" s="75"/>
    </row>
    <row r="970" spans="2:3" ht="14.1" customHeight="1" x14ac:dyDescent="0.25">
      <c r="B970" s="75"/>
      <c r="C970" s="75"/>
    </row>
    <row r="971" spans="2:3" ht="14.1" customHeight="1" x14ac:dyDescent="0.25">
      <c r="B971" s="75"/>
      <c r="C971" s="75"/>
    </row>
    <row r="972" spans="2:3" ht="14.1" customHeight="1" x14ac:dyDescent="0.25">
      <c r="B972" s="75"/>
      <c r="C972" s="75"/>
    </row>
    <row r="973" spans="2:3" ht="14.1" customHeight="1" x14ac:dyDescent="0.25">
      <c r="B973" s="75"/>
      <c r="C973" s="75"/>
    </row>
    <row r="974" spans="2:3" ht="14.1" customHeight="1" x14ac:dyDescent="0.25">
      <c r="B974" s="75"/>
      <c r="C974" s="75"/>
    </row>
    <row r="975" spans="2:3" ht="14.1" customHeight="1" x14ac:dyDescent="0.25">
      <c r="B975" s="75"/>
      <c r="C975" s="75"/>
    </row>
    <row r="976" spans="2:3" ht="14.1" customHeight="1" x14ac:dyDescent="0.25">
      <c r="B976" s="75"/>
      <c r="C976" s="75"/>
    </row>
    <row r="977" spans="2:3" ht="14.1" customHeight="1" x14ac:dyDescent="0.25">
      <c r="B977" s="75"/>
      <c r="C977" s="75"/>
    </row>
    <row r="978" spans="2:3" ht="14.1" customHeight="1" x14ac:dyDescent="0.25">
      <c r="B978" s="75"/>
      <c r="C978" s="75"/>
    </row>
    <row r="979" spans="2:3" ht="14.1" customHeight="1" x14ac:dyDescent="0.25">
      <c r="B979" s="75"/>
      <c r="C979" s="75"/>
    </row>
    <row r="980" spans="2:3" ht="14.1" customHeight="1" x14ac:dyDescent="0.25">
      <c r="B980" s="75"/>
      <c r="C980" s="75"/>
    </row>
    <row r="981" spans="2:3" ht="14.1" customHeight="1" x14ac:dyDescent="0.25">
      <c r="B981" s="75"/>
      <c r="C981" s="75"/>
    </row>
    <row r="982" spans="2:3" ht="14.1" customHeight="1" x14ac:dyDescent="0.25">
      <c r="B982" s="75"/>
      <c r="C982" s="75"/>
    </row>
    <row r="983" spans="2:3" ht="14.1" customHeight="1" x14ac:dyDescent="0.25">
      <c r="B983" s="75"/>
      <c r="C983" s="75"/>
    </row>
    <row r="984" spans="2:3" ht="14.1" customHeight="1" x14ac:dyDescent="0.25">
      <c r="B984" s="75"/>
      <c r="C984" s="75"/>
    </row>
    <row r="985" spans="2:3" ht="14.1" customHeight="1" x14ac:dyDescent="0.25">
      <c r="B985" s="75"/>
      <c r="C985" s="75"/>
    </row>
    <row r="986" spans="2:3" ht="14.1" customHeight="1" x14ac:dyDescent="0.25">
      <c r="B986" s="75"/>
      <c r="C986" s="75"/>
    </row>
    <row r="987" spans="2:3" ht="14.1" customHeight="1" x14ac:dyDescent="0.25">
      <c r="B987" s="75"/>
      <c r="C987" s="75"/>
    </row>
    <row r="988" spans="2:3" ht="14.1" customHeight="1" x14ac:dyDescent="0.25">
      <c r="B988" s="75"/>
      <c r="C988" s="75"/>
    </row>
    <row r="989" spans="2:3" ht="14.1" customHeight="1" x14ac:dyDescent="0.25">
      <c r="B989" s="75"/>
      <c r="C989" s="75"/>
    </row>
    <row r="990" spans="2:3" ht="14.1" customHeight="1" x14ac:dyDescent="0.25">
      <c r="B990" s="75"/>
      <c r="C990" s="75"/>
    </row>
    <row r="991" spans="2:3" ht="14.1" customHeight="1" x14ac:dyDescent="0.25">
      <c r="B991" s="75"/>
      <c r="C991" s="75"/>
    </row>
    <row r="992" spans="2:3" ht="14.1" customHeight="1" x14ac:dyDescent="0.25">
      <c r="B992" s="75"/>
      <c r="C992" s="75"/>
    </row>
    <row r="993" spans="2:3" ht="14.1" customHeight="1" x14ac:dyDescent="0.25">
      <c r="B993" s="75"/>
      <c r="C993" s="75"/>
    </row>
    <row r="994" spans="2:3" ht="14.1" customHeight="1" x14ac:dyDescent="0.25">
      <c r="B994" s="75"/>
      <c r="C994" s="75"/>
    </row>
    <row r="995" spans="2:3" ht="14.1" customHeight="1" x14ac:dyDescent="0.25">
      <c r="B995" s="75"/>
      <c r="C995" s="75"/>
    </row>
    <row r="996" spans="2:3" ht="14.1" customHeight="1" x14ac:dyDescent="0.25">
      <c r="B996" s="75"/>
      <c r="C996" s="75"/>
    </row>
    <row r="997" spans="2:3" ht="14.1" customHeight="1" x14ac:dyDescent="0.25">
      <c r="B997" s="75"/>
      <c r="C997" s="75"/>
    </row>
    <row r="998" spans="2:3" ht="14.1" customHeight="1" x14ac:dyDescent="0.25">
      <c r="B998" s="75"/>
      <c r="C998" s="75"/>
    </row>
    <row r="999" spans="2:3" ht="14.1" customHeight="1" x14ac:dyDescent="0.25">
      <c r="B999" s="75"/>
      <c r="C999" s="75"/>
    </row>
    <row r="1000" spans="2:3" ht="14.1" customHeight="1" x14ac:dyDescent="0.25">
      <c r="B1000" s="75"/>
      <c r="C1000" s="75"/>
    </row>
    <row r="1001" spans="2:3" ht="14.1" customHeight="1" x14ac:dyDescent="0.25">
      <c r="B1001" s="75"/>
      <c r="C1001" s="75"/>
    </row>
    <row r="1002" spans="2:3" ht="14.1" customHeight="1" x14ac:dyDescent="0.25">
      <c r="B1002" s="75"/>
      <c r="C1002" s="75"/>
    </row>
    <row r="1003" spans="2:3" ht="14.1" customHeight="1" x14ac:dyDescent="0.25">
      <c r="B1003" s="75"/>
      <c r="C1003" s="75"/>
    </row>
    <row r="1004" spans="2:3" ht="14.1" customHeight="1" x14ac:dyDescent="0.25">
      <c r="B1004" s="75"/>
      <c r="C1004" s="75"/>
    </row>
    <row r="1005" spans="2:3" ht="14.1" customHeight="1" x14ac:dyDescent="0.25">
      <c r="B1005" s="75"/>
      <c r="C1005" s="75"/>
    </row>
    <row r="1006" spans="2:3" ht="14.1" customHeight="1" x14ac:dyDescent="0.25">
      <c r="B1006" s="75"/>
      <c r="C1006" s="75"/>
    </row>
    <row r="1007" spans="2:3" ht="14.1" customHeight="1" x14ac:dyDescent="0.25">
      <c r="B1007" s="75"/>
      <c r="C1007" s="75"/>
    </row>
    <row r="1008" spans="2:3" ht="14.1" customHeight="1" x14ac:dyDescent="0.25">
      <c r="B1008" s="75"/>
      <c r="C1008" s="75"/>
    </row>
    <row r="1009" spans="2:3" ht="14.1" customHeight="1" x14ac:dyDescent="0.25">
      <c r="B1009" s="75"/>
      <c r="C1009" s="75"/>
    </row>
    <row r="1010" spans="2:3" ht="14.1" customHeight="1" x14ac:dyDescent="0.25">
      <c r="B1010" s="75"/>
      <c r="C1010" s="75"/>
    </row>
    <row r="1011" spans="2:3" ht="14.1" customHeight="1" x14ac:dyDescent="0.25">
      <c r="B1011" s="75"/>
      <c r="C1011" s="75"/>
    </row>
    <row r="1012" spans="2:3" ht="14.1" customHeight="1" x14ac:dyDescent="0.25">
      <c r="B1012" s="75"/>
      <c r="C1012" s="75"/>
    </row>
    <row r="1013" spans="2:3" ht="14.1" customHeight="1" x14ac:dyDescent="0.25">
      <c r="B1013" s="75"/>
      <c r="C1013" s="75"/>
    </row>
    <row r="1014" spans="2:3" ht="14.1" customHeight="1" x14ac:dyDescent="0.25">
      <c r="B1014" s="75"/>
      <c r="C1014" s="75"/>
    </row>
    <row r="1015" spans="2:3" ht="14.1" customHeight="1" x14ac:dyDescent="0.25">
      <c r="B1015" s="75"/>
      <c r="C1015" s="75"/>
    </row>
    <row r="1016" spans="2:3" ht="14.1" customHeight="1" x14ac:dyDescent="0.25">
      <c r="B1016" s="75"/>
      <c r="C1016" s="75"/>
    </row>
    <row r="1017" spans="2:3" ht="14.1" customHeight="1" x14ac:dyDescent="0.25">
      <c r="B1017" s="75"/>
      <c r="C1017" s="75"/>
    </row>
    <row r="1018" spans="2:3" ht="14.1" customHeight="1" x14ac:dyDescent="0.25">
      <c r="B1018" s="75"/>
      <c r="C1018" s="75"/>
    </row>
    <row r="1019" spans="2:3" ht="14.1" customHeight="1" x14ac:dyDescent="0.25">
      <c r="B1019" s="75"/>
      <c r="C1019" s="75"/>
    </row>
    <row r="1020" spans="2:3" ht="14.1" customHeight="1" x14ac:dyDescent="0.25">
      <c r="B1020" s="75"/>
      <c r="C1020" s="75"/>
    </row>
    <row r="1021" spans="2:3" ht="14.1" customHeight="1" x14ac:dyDescent="0.25">
      <c r="B1021" s="75"/>
      <c r="C1021" s="75"/>
    </row>
    <row r="1022" spans="2:3" ht="14.1" customHeight="1" x14ac:dyDescent="0.25">
      <c r="B1022" s="75"/>
      <c r="C1022" s="75"/>
    </row>
    <row r="1023" spans="2:3" ht="14.1" customHeight="1" x14ac:dyDescent="0.25">
      <c r="B1023" s="75"/>
      <c r="C1023" s="75"/>
    </row>
    <row r="1024" spans="2:3" ht="14.1" customHeight="1" x14ac:dyDescent="0.25">
      <c r="B1024" s="75"/>
      <c r="C1024" s="75"/>
    </row>
    <row r="1025" spans="2:3" ht="14.1" customHeight="1" x14ac:dyDescent="0.25">
      <c r="B1025" s="75"/>
      <c r="C1025" s="75"/>
    </row>
    <row r="1026" spans="2:3" ht="14.1" customHeight="1" x14ac:dyDescent="0.25">
      <c r="B1026" s="75"/>
      <c r="C1026" s="75"/>
    </row>
    <row r="1027" spans="2:3" ht="14.1" customHeight="1" x14ac:dyDescent="0.25">
      <c r="B1027" s="75"/>
      <c r="C1027" s="75"/>
    </row>
    <row r="1028" spans="2:3" ht="14.1" customHeight="1" x14ac:dyDescent="0.25">
      <c r="B1028" s="75"/>
      <c r="C1028" s="75"/>
    </row>
    <row r="1029" spans="2:3" ht="14.1" customHeight="1" x14ac:dyDescent="0.25">
      <c r="B1029" s="75"/>
      <c r="C1029" s="75"/>
    </row>
    <row r="1030" spans="2:3" ht="14.1" customHeight="1" x14ac:dyDescent="0.25">
      <c r="B1030" s="75"/>
      <c r="C1030" s="75"/>
    </row>
    <row r="1031" spans="2:3" ht="14.1" customHeight="1" x14ac:dyDescent="0.25">
      <c r="B1031" s="75"/>
      <c r="C1031" s="75"/>
    </row>
    <row r="1032" spans="2:3" ht="14.1" customHeight="1" x14ac:dyDescent="0.25">
      <c r="B1032" s="75"/>
      <c r="C1032" s="75"/>
    </row>
    <row r="1033" spans="2:3" ht="14.1" customHeight="1" x14ac:dyDescent="0.25">
      <c r="B1033" s="75"/>
      <c r="C1033" s="75"/>
    </row>
    <row r="1034" spans="2:3" ht="14.1" customHeight="1" x14ac:dyDescent="0.25">
      <c r="B1034" s="75"/>
      <c r="C1034" s="75"/>
    </row>
    <row r="1035" spans="2:3" ht="14.1" customHeight="1" x14ac:dyDescent="0.25">
      <c r="B1035" s="75"/>
      <c r="C1035" s="75"/>
    </row>
    <row r="1036" spans="2:3" ht="14.1" customHeight="1" x14ac:dyDescent="0.25">
      <c r="B1036" s="75"/>
      <c r="C1036" s="75"/>
    </row>
    <row r="1037" spans="2:3" ht="14.1" customHeight="1" x14ac:dyDescent="0.25">
      <c r="B1037" s="75"/>
      <c r="C1037" s="75"/>
    </row>
    <row r="1038" spans="2:3" ht="14.1" customHeight="1" x14ac:dyDescent="0.25">
      <c r="B1038" s="75"/>
      <c r="C1038" s="75"/>
    </row>
    <row r="1039" spans="2:3" ht="14.1" customHeight="1" x14ac:dyDescent="0.25">
      <c r="B1039" s="75"/>
      <c r="C1039" s="75"/>
    </row>
    <row r="1040" spans="2:3" ht="14.1" customHeight="1" x14ac:dyDescent="0.25">
      <c r="B1040" s="75"/>
      <c r="C1040" s="75"/>
    </row>
    <row r="1041" spans="2:3" ht="14.1" customHeight="1" x14ac:dyDescent="0.25">
      <c r="B1041" s="75"/>
      <c r="C1041" s="75"/>
    </row>
    <row r="1042" spans="2:3" ht="14.1" customHeight="1" x14ac:dyDescent="0.25">
      <c r="B1042" s="75"/>
      <c r="C1042" s="75"/>
    </row>
    <row r="1043" spans="2:3" ht="14.1" customHeight="1" x14ac:dyDescent="0.25">
      <c r="B1043" s="75"/>
      <c r="C1043" s="75"/>
    </row>
    <row r="1044" spans="2:3" ht="14.1" customHeight="1" x14ac:dyDescent="0.25">
      <c r="B1044" s="75"/>
      <c r="C1044" s="75"/>
    </row>
    <row r="1045" spans="2:3" ht="14.1" customHeight="1" x14ac:dyDescent="0.25">
      <c r="B1045" s="75"/>
      <c r="C1045" s="75"/>
    </row>
    <row r="1046" spans="2:3" ht="14.1" customHeight="1" x14ac:dyDescent="0.25">
      <c r="B1046" s="75"/>
      <c r="C1046" s="75"/>
    </row>
    <row r="1047" spans="2:3" ht="14.1" customHeight="1" x14ac:dyDescent="0.25">
      <c r="B1047" s="75"/>
      <c r="C1047" s="75"/>
    </row>
    <row r="1048" spans="2:3" ht="14.1" customHeight="1" x14ac:dyDescent="0.25">
      <c r="B1048" s="75"/>
      <c r="C1048" s="75"/>
    </row>
    <row r="1049" spans="2:3" ht="14.1" customHeight="1" x14ac:dyDescent="0.25">
      <c r="B1049" s="75"/>
      <c r="C1049" s="75"/>
    </row>
    <row r="1050" spans="2:3" ht="14.1" customHeight="1" x14ac:dyDescent="0.25">
      <c r="B1050" s="75"/>
      <c r="C1050" s="75"/>
    </row>
    <row r="1051" spans="2:3" ht="14.1" customHeight="1" x14ac:dyDescent="0.25">
      <c r="B1051" s="75"/>
      <c r="C1051" s="75"/>
    </row>
    <row r="1052" spans="2:3" ht="14.1" customHeight="1" x14ac:dyDescent="0.25">
      <c r="B1052" s="75"/>
      <c r="C1052" s="75"/>
    </row>
    <row r="1053" spans="2:3" ht="14.1" customHeight="1" x14ac:dyDescent="0.25">
      <c r="B1053" s="75"/>
      <c r="C1053" s="75"/>
    </row>
    <row r="1054" spans="2:3" ht="14.1" customHeight="1" x14ac:dyDescent="0.25">
      <c r="B1054" s="75"/>
      <c r="C1054" s="75"/>
    </row>
    <row r="1055" spans="2:3" ht="14.1" customHeight="1" x14ac:dyDescent="0.25">
      <c r="B1055" s="75"/>
      <c r="C1055" s="75"/>
    </row>
    <row r="1056" spans="2:3" ht="14.1" customHeight="1" x14ac:dyDescent="0.25">
      <c r="B1056" s="75"/>
      <c r="C1056" s="75"/>
    </row>
    <row r="1057" spans="2:3" ht="14.1" customHeight="1" x14ac:dyDescent="0.25">
      <c r="B1057" s="75"/>
      <c r="C1057" s="75"/>
    </row>
    <row r="1058" spans="2:3" ht="14.1" customHeight="1" x14ac:dyDescent="0.25">
      <c r="B1058" s="75"/>
      <c r="C1058" s="75"/>
    </row>
    <row r="1059" spans="2:3" ht="14.1" customHeight="1" x14ac:dyDescent="0.25">
      <c r="B1059" s="75"/>
      <c r="C1059" s="75"/>
    </row>
    <row r="1060" spans="2:3" ht="14.1" customHeight="1" x14ac:dyDescent="0.25">
      <c r="B1060" s="75"/>
      <c r="C1060" s="75"/>
    </row>
    <row r="1061" spans="2:3" ht="14.1" customHeight="1" x14ac:dyDescent="0.25">
      <c r="B1061" s="75"/>
      <c r="C1061" s="75"/>
    </row>
    <row r="1062" spans="2:3" ht="14.1" customHeight="1" x14ac:dyDescent="0.25">
      <c r="B1062" s="75"/>
      <c r="C1062" s="75"/>
    </row>
    <row r="1063" spans="2:3" ht="14.1" customHeight="1" x14ac:dyDescent="0.25">
      <c r="B1063" s="75"/>
      <c r="C1063" s="75"/>
    </row>
    <row r="1064" spans="2:3" ht="14.1" customHeight="1" x14ac:dyDescent="0.25">
      <c r="B1064" s="75"/>
      <c r="C1064" s="75"/>
    </row>
    <row r="1065" spans="2:3" ht="14.1" customHeight="1" x14ac:dyDescent="0.25">
      <c r="B1065" s="75"/>
      <c r="C1065" s="75"/>
    </row>
    <row r="1066" spans="2:3" ht="14.1" customHeight="1" x14ac:dyDescent="0.25">
      <c r="B1066" s="75"/>
      <c r="C1066" s="75"/>
    </row>
    <row r="1067" spans="2:3" ht="14.1" customHeight="1" x14ac:dyDescent="0.25">
      <c r="B1067" s="75"/>
      <c r="C1067" s="75"/>
    </row>
    <row r="1068" spans="2:3" ht="14.1" customHeight="1" x14ac:dyDescent="0.25">
      <c r="B1068" s="75"/>
      <c r="C1068" s="75"/>
    </row>
    <row r="1069" spans="2:3" ht="14.1" customHeight="1" x14ac:dyDescent="0.25">
      <c r="B1069" s="75"/>
      <c r="C1069" s="75"/>
    </row>
    <row r="1070" spans="2:3" ht="14.1" customHeight="1" x14ac:dyDescent="0.25">
      <c r="B1070" s="75"/>
      <c r="C1070" s="75"/>
    </row>
    <row r="1071" spans="2:3" ht="14.1" customHeight="1" x14ac:dyDescent="0.25">
      <c r="B1071" s="75"/>
      <c r="C1071" s="75"/>
    </row>
    <row r="1072" spans="2:3" ht="14.1" customHeight="1" x14ac:dyDescent="0.25">
      <c r="B1072" s="75"/>
      <c r="C1072" s="75"/>
    </row>
    <row r="1073" spans="2:3" ht="14.1" customHeight="1" x14ac:dyDescent="0.25">
      <c r="B1073" s="75"/>
      <c r="C1073" s="75"/>
    </row>
    <row r="1074" spans="2:3" ht="14.1" customHeight="1" x14ac:dyDescent="0.25">
      <c r="B1074" s="75"/>
      <c r="C1074" s="75"/>
    </row>
    <row r="1075" spans="2:3" ht="14.1" customHeight="1" x14ac:dyDescent="0.25">
      <c r="B1075" s="75"/>
      <c r="C1075" s="75"/>
    </row>
    <row r="1076" spans="2:3" ht="14.1" customHeight="1" x14ac:dyDescent="0.25">
      <c r="B1076" s="75"/>
      <c r="C1076" s="75"/>
    </row>
    <row r="1077" spans="2:3" ht="14.1" customHeight="1" x14ac:dyDescent="0.25">
      <c r="B1077" s="75"/>
      <c r="C1077" s="75"/>
    </row>
    <row r="1078" spans="2:3" ht="14.1" customHeight="1" x14ac:dyDescent="0.25">
      <c r="B1078" s="75"/>
      <c r="C1078" s="75"/>
    </row>
    <row r="1079" spans="2:3" ht="14.1" customHeight="1" x14ac:dyDescent="0.25">
      <c r="B1079" s="75"/>
      <c r="C1079" s="75"/>
    </row>
    <row r="1080" spans="2:3" ht="14.1" customHeight="1" x14ac:dyDescent="0.25">
      <c r="B1080" s="75"/>
      <c r="C1080" s="75"/>
    </row>
    <row r="1081" spans="2:3" ht="14.1" customHeight="1" x14ac:dyDescent="0.25">
      <c r="B1081" s="75"/>
      <c r="C1081" s="75"/>
    </row>
    <row r="1082" spans="2:3" ht="14.1" customHeight="1" x14ac:dyDescent="0.25">
      <c r="B1082" s="75"/>
      <c r="C1082" s="75"/>
    </row>
    <row r="1083" spans="2:3" ht="14.1" customHeight="1" x14ac:dyDescent="0.25">
      <c r="B1083" s="75"/>
      <c r="C1083" s="75"/>
    </row>
    <row r="1084" spans="2:3" ht="14.1" customHeight="1" x14ac:dyDescent="0.25">
      <c r="B1084" s="75"/>
      <c r="C1084" s="75"/>
    </row>
    <row r="1085" spans="2:3" ht="14.1" customHeight="1" x14ac:dyDescent="0.25">
      <c r="B1085" s="75"/>
      <c r="C1085" s="75"/>
    </row>
    <row r="1086" spans="2:3" ht="14.1" customHeight="1" x14ac:dyDescent="0.25">
      <c r="B1086" s="75"/>
      <c r="C1086" s="75"/>
    </row>
    <row r="1087" spans="2:3" ht="14.1" customHeight="1" x14ac:dyDescent="0.25">
      <c r="B1087" s="75"/>
      <c r="C1087" s="75"/>
    </row>
    <row r="1088" spans="2:3" ht="14.1" customHeight="1" x14ac:dyDescent="0.25">
      <c r="B1088" s="75"/>
      <c r="C1088" s="75"/>
    </row>
    <row r="1089" spans="2:3" ht="14.1" customHeight="1" x14ac:dyDescent="0.25">
      <c r="B1089" s="75"/>
      <c r="C1089" s="75"/>
    </row>
    <row r="1090" spans="2:3" ht="14.1" customHeight="1" x14ac:dyDescent="0.25">
      <c r="B1090" s="75"/>
      <c r="C1090" s="75"/>
    </row>
    <row r="1091" spans="2:3" ht="14.1" customHeight="1" x14ac:dyDescent="0.25">
      <c r="B1091" s="75"/>
      <c r="C1091" s="75"/>
    </row>
    <row r="1092" spans="2:3" ht="14.1" customHeight="1" x14ac:dyDescent="0.25">
      <c r="B1092" s="75"/>
      <c r="C1092" s="75"/>
    </row>
    <row r="1093" spans="2:3" ht="14.1" customHeight="1" x14ac:dyDescent="0.25">
      <c r="B1093" s="75"/>
      <c r="C1093" s="75"/>
    </row>
    <row r="1094" spans="2:3" ht="14.1" customHeight="1" x14ac:dyDescent="0.25">
      <c r="B1094" s="75"/>
      <c r="C1094" s="75"/>
    </row>
    <row r="1095" spans="2:3" ht="14.1" customHeight="1" x14ac:dyDescent="0.25">
      <c r="B1095" s="75"/>
      <c r="C1095" s="75"/>
    </row>
    <row r="1096" spans="2:3" ht="14.1" customHeight="1" x14ac:dyDescent="0.25">
      <c r="B1096" s="75"/>
      <c r="C1096" s="75"/>
    </row>
    <row r="1097" spans="2:3" ht="14.1" customHeight="1" x14ac:dyDescent="0.25">
      <c r="B1097" s="75"/>
      <c r="C1097" s="75"/>
    </row>
    <row r="1098" spans="2:3" ht="14.1" customHeight="1" x14ac:dyDescent="0.25">
      <c r="B1098" s="75"/>
      <c r="C1098" s="75"/>
    </row>
    <row r="1099" spans="2:3" ht="14.1" customHeight="1" x14ac:dyDescent="0.25">
      <c r="B1099" s="75"/>
      <c r="C1099" s="75"/>
    </row>
    <row r="1100" spans="2:3" ht="14.1" customHeight="1" x14ac:dyDescent="0.25">
      <c r="B1100" s="75"/>
      <c r="C1100" s="75"/>
    </row>
    <row r="1101" spans="2:3" ht="14.1" customHeight="1" x14ac:dyDescent="0.25">
      <c r="B1101" s="75"/>
      <c r="C1101" s="75"/>
    </row>
    <row r="1102" spans="2:3" ht="14.1" customHeight="1" x14ac:dyDescent="0.25">
      <c r="B1102" s="75"/>
      <c r="C1102" s="75"/>
    </row>
    <row r="1103" spans="2:3" ht="14.1" customHeight="1" x14ac:dyDescent="0.25">
      <c r="B1103" s="75"/>
      <c r="C1103" s="75"/>
    </row>
    <row r="1104" spans="2:3" ht="14.1" customHeight="1" x14ac:dyDescent="0.25">
      <c r="B1104" s="75"/>
      <c r="C1104" s="75"/>
    </row>
    <row r="1105" spans="2:3" ht="14.1" customHeight="1" x14ac:dyDescent="0.25">
      <c r="B1105" s="75"/>
      <c r="C1105" s="75"/>
    </row>
    <row r="1106" spans="2:3" ht="14.1" customHeight="1" x14ac:dyDescent="0.25">
      <c r="B1106" s="75"/>
      <c r="C1106" s="75"/>
    </row>
    <row r="1107" spans="2:3" ht="14.1" customHeight="1" x14ac:dyDescent="0.25">
      <c r="B1107" s="75"/>
      <c r="C1107" s="75"/>
    </row>
    <row r="1108" spans="2:3" ht="14.1" customHeight="1" x14ac:dyDescent="0.25">
      <c r="B1108" s="75"/>
      <c r="C1108" s="75"/>
    </row>
    <row r="1109" spans="2:3" ht="14.1" customHeight="1" x14ac:dyDescent="0.25">
      <c r="B1109" s="75"/>
      <c r="C1109" s="75"/>
    </row>
    <row r="1110" spans="2:3" ht="14.1" customHeight="1" x14ac:dyDescent="0.25">
      <c r="B1110" s="75"/>
      <c r="C1110" s="75"/>
    </row>
    <row r="1111" spans="2:3" ht="14.1" customHeight="1" x14ac:dyDescent="0.25">
      <c r="B1111" s="75"/>
      <c r="C1111" s="75"/>
    </row>
    <row r="1112" spans="2:3" ht="14.1" customHeight="1" x14ac:dyDescent="0.25">
      <c r="B1112" s="75"/>
      <c r="C1112" s="75"/>
    </row>
    <row r="1113" spans="2:3" ht="14.1" customHeight="1" x14ac:dyDescent="0.25">
      <c r="B1113" s="75"/>
      <c r="C1113" s="75"/>
    </row>
    <row r="1114" spans="2:3" ht="14.1" customHeight="1" x14ac:dyDescent="0.25">
      <c r="B1114" s="75"/>
      <c r="C1114" s="75"/>
    </row>
    <row r="1115" spans="2:3" ht="14.1" customHeight="1" x14ac:dyDescent="0.25">
      <c r="B1115" s="75"/>
      <c r="C1115" s="75"/>
    </row>
    <row r="1116" spans="2:3" ht="14.1" customHeight="1" x14ac:dyDescent="0.25">
      <c r="B1116" s="75"/>
      <c r="C1116" s="75"/>
    </row>
    <row r="1117" spans="2:3" ht="14.1" customHeight="1" x14ac:dyDescent="0.25">
      <c r="B1117" s="75"/>
      <c r="C1117" s="75"/>
    </row>
    <row r="1118" spans="2:3" ht="14.1" customHeight="1" x14ac:dyDescent="0.25">
      <c r="B1118" s="75"/>
      <c r="C1118" s="75"/>
    </row>
    <row r="1119" spans="2:3" ht="14.1" customHeight="1" x14ac:dyDescent="0.25">
      <c r="B1119" s="75"/>
      <c r="C1119" s="75"/>
    </row>
    <row r="1120" spans="2:3" ht="14.1" customHeight="1" x14ac:dyDescent="0.25">
      <c r="B1120" s="75"/>
      <c r="C1120" s="75"/>
    </row>
    <row r="1121" spans="2:3" ht="14.1" customHeight="1" x14ac:dyDescent="0.25">
      <c r="B1121" s="75"/>
      <c r="C1121" s="75"/>
    </row>
    <row r="1122" spans="2:3" ht="14.1" customHeight="1" x14ac:dyDescent="0.25">
      <c r="B1122" s="75"/>
      <c r="C1122" s="75"/>
    </row>
    <row r="1123" spans="2:3" ht="14.1" customHeight="1" x14ac:dyDescent="0.25">
      <c r="B1123" s="75"/>
      <c r="C1123" s="75"/>
    </row>
    <row r="1124" spans="2:3" ht="14.1" customHeight="1" x14ac:dyDescent="0.25">
      <c r="B1124" s="75"/>
      <c r="C1124" s="75"/>
    </row>
    <row r="1125" spans="2:3" ht="14.1" customHeight="1" x14ac:dyDescent="0.25">
      <c r="B1125" s="75"/>
      <c r="C1125" s="75"/>
    </row>
    <row r="1126" spans="2:3" ht="14.1" customHeight="1" x14ac:dyDescent="0.25">
      <c r="B1126" s="75"/>
      <c r="C1126" s="75"/>
    </row>
    <row r="1127" spans="2:3" ht="14.1" customHeight="1" x14ac:dyDescent="0.25">
      <c r="B1127" s="75"/>
      <c r="C1127" s="75"/>
    </row>
    <row r="1128" spans="2:3" ht="14.1" customHeight="1" x14ac:dyDescent="0.25">
      <c r="B1128" s="75"/>
      <c r="C1128" s="75"/>
    </row>
    <row r="1129" spans="2:3" ht="14.1" customHeight="1" x14ac:dyDescent="0.25">
      <c r="B1129" s="75"/>
      <c r="C1129" s="75"/>
    </row>
    <row r="1130" spans="2:3" ht="14.1" customHeight="1" x14ac:dyDescent="0.25">
      <c r="B1130" s="75"/>
      <c r="C1130" s="75"/>
    </row>
    <row r="1131" spans="2:3" ht="14.1" customHeight="1" x14ac:dyDescent="0.25">
      <c r="B1131" s="75"/>
      <c r="C1131" s="75"/>
    </row>
    <row r="1132" spans="2:3" ht="14.1" customHeight="1" x14ac:dyDescent="0.25">
      <c r="B1132" s="75"/>
      <c r="C1132" s="75"/>
    </row>
    <row r="1133" spans="2:3" ht="14.1" customHeight="1" x14ac:dyDescent="0.25">
      <c r="B1133" s="75"/>
      <c r="C1133" s="75"/>
    </row>
    <row r="1134" spans="2:3" ht="14.1" customHeight="1" x14ac:dyDescent="0.25">
      <c r="B1134" s="75"/>
      <c r="C1134" s="75"/>
    </row>
    <row r="1135" spans="2:3" ht="14.1" customHeight="1" x14ac:dyDescent="0.25">
      <c r="B1135" s="75"/>
      <c r="C1135" s="75"/>
    </row>
    <row r="1136" spans="2:3" ht="14.1" customHeight="1" x14ac:dyDescent="0.25">
      <c r="B1136" s="75"/>
      <c r="C1136" s="75"/>
    </row>
    <row r="1137" spans="2:3" ht="14.1" customHeight="1" x14ac:dyDescent="0.25">
      <c r="B1137" s="75"/>
      <c r="C1137" s="75"/>
    </row>
    <row r="1138" spans="2:3" ht="14.1" customHeight="1" x14ac:dyDescent="0.25">
      <c r="B1138" s="75"/>
      <c r="C1138" s="75"/>
    </row>
    <row r="1139" spans="2:3" ht="14.1" customHeight="1" x14ac:dyDescent="0.25">
      <c r="B1139" s="75"/>
      <c r="C1139" s="75"/>
    </row>
    <row r="1140" spans="2:3" ht="14.1" customHeight="1" x14ac:dyDescent="0.25">
      <c r="B1140" s="75"/>
      <c r="C1140" s="75"/>
    </row>
    <row r="1141" spans="2:3" ht="14.1" customHeight="1" x14ac:dyDescent="0.25">
      <c r="B1141" s="75"/>
      <c r="C1141" s="75"/>
    </row>
    <row r="1142" spans="2:3" ht="14.1" customHeight="1" x14ac:dyDescent="0.25">
      <c r="B1142" s="75"/>
      <c r="C1142" s="75"/>
    </row>
    <row r="1143" spans="2:3" ht="14.1" customHeight="1" x14ac:dyDescent="0.25">
      <c r="B1143" s="75"/>
      <c r="C1143" s="75"/>
    </row>
    <row r="1144" spans="2:3" ht="14.1" customHeight="1" x14ac:dyDescent="0.25">
      <c r="B1144" s="75"/>
      <c r="C1144" s="75"/>
    </row>
    <row r="1145" spans="2:3" ht="14.1" customHeight="1" x14ac:dyDescent="0.25">
      <c r="B1145" s="75"/>
      <c r="C1145" s="75"/>
    </row>
    <row r="1146" spans="2:3" ht="14.1" customHeight="1" x14ac:dyDescent="0.25">
      <c r="B1146" s="75"/>
      <c r="C1146" s="75"/>
    </row>
    <row r="1147" spans="2:3" ht="14.1" customHeight="1" x14ac:dyDescent="0.25">
      <c r="B1147" s="75"/>
      <c r="C1147" s="75"/>
    </row>
    <row r="1148" spans="2:3" ht="14.1" customHeight="1" x14ac:dyDescent="0.25">
      <c r="B1148" s="75"/>
      <c r="C1148" s="75"/>
    </row>
    <row r="1149" spans="2:3" ht="14.1" customHeight="1" x14ac:dyDescent="0.25">
      <c r="B1149" s="75"/>
      <c r="C1149" s="75"/>
    </row>
    <row r="1150" spans="2:3" ht="14.1" customHeight="1" x14ac:dyDescent="0.25">
      <c r="B1150" s="75"/>
      <c r="C1150" s="75"/>
    </row>
    <row r="1151" spans="2:3" ht="14.1" customHeight="1" x14ac:dyDescent="0.25">
      <c r="B1151" s="75"/>
      <c r="C1151" s="75"/>
    </row>
    <row r="1152" spans="2:3" ht="14.1" customHeight="1" x14ac:dyDescent="0.25">
      <c r="B1152" s="75"/>
      <c r="C1152" s="75"/>
    </row>
    <row r="1153" spans="2:3" ht="14.1" customHeight="1" x14ac:dyDescent="0.25">
      <c r="B1153" s="75"/>
      <c r="C1153" s="75"/>
    </row>
    <row r="1154" spans="2:3" ht="14.1" customHeight="1" x14ac:dyDescent="0.25">
      <c r="B1154" s="75"/>
      <c r="C1154" s="75"/>
    </row>
    <row r="1155" spans="2:3" ht="14.1" customHeight="1" x14ac:dyDescent="0.25">
      <c r="B1155" s="75"/>
      <c r="C1155" s="75"/>
    </row>
    <row r="1156" spans="2:3" ht="14.1" customHeight="1" x14ac:dyDescent="0.25">
      <c r="B1156" s="75"/>
      <c r="C1156" s="75"/>
    </row>
    <row r="1157" spans="2:3" ht="14.1" customHeight="1" x14ac:dyDescent="0.25">
      <c r="B1157" s="75"/>
      <c r="C1157" s="75"/>
    </row>
    <row r="1158" spans="2:3" ht="14.1" customHeight="1" x14ac:dyDescent="0.25">
      <c r="B1158" s="75"/>
      <c r="C1158" s="75"/>
    </row>
    <row r="1159" spans="2:3" ht="14.1" customHeight="1" x14ac:dyDescent="0.25">
      <c r="B1159" s="75"/>
      <c r="C1159" s="75"/>
    </row>
    <row r="1160" spans="2:3" ht="14.1" customHeight="1" x14ac:dyDescent="0.25">
      <c r="B1160" s="75"/>
      <c r="C1160" s="75"/>
    </row>
    <row r="1161" spans="2:3" ht="14.1" customHeight="1" x14ac:dyDescent="0.25">
      <c r="B1161" s="75"/>
      <c r="C1161" s="75"/>
    </row>
    <row r="1162" spans="2:3" ht="14.1" customHeight="1" x14ac:dyDescent="0.25">
      <c r="B1162" s="75"/>
      <c r="C1162" s="75"/>
    </row>
    <row r="1163" spans="2:3" ht="14.1" customHeight="1" x14ac:dyDescent="0.25">
      <c r="B1163" s="75"/>
      <c r="C1163" s="75"/>
    </row>
    <row r="1164" spans="2:3" ht="14.1" customHeight="1" x14ac:dyDescent="0.25">
      <c r="B1164" s="75"/>
      <c r="C1164" s="75"/>
    </row>
    <row r="1165" spans="2:3" ht="14.1" customHeight="1" x14ac:dyDescent="0.25">
      <c r="B1165" s="75"/>
      <c r="C1165" s="75"/>
    </row>
    <row r="1166" spans="2:3" ht="14.1" customHeight="1" x14ac:dyDescent="0.25">
      <c r="B1166" s="75"/>
      <c r="C1166" s="75"/>
    </row>
    <row r="1167" spans="2:3" ht="14.1" customHeight="1" x14ac:dyDescent="0.25">
      <c r="B1167" s="75"/>
      <c r="C1167" s="75"/>
    </row>
    <row r="1168" spans="2:3" ht="14.1" customHeight="1" x14ac:dyDescent="0.25">
      <c r="B1168" s="75"/>
      <c r="C1168" s="75"/>
    </row>
    <row r="1169" spans="2:3" ht="14.1" customHeight="1" x14ac:dyDescent="0.25">
      <c r="B1169" s="75"/>
      <c r="C1169" s="75"/>
    </row>
    <row r="1170" spans="2:3" ht="14.1" customHeight="1" x14ac:dyDescent="0.25">
      <c r="B1170" s="75"/>
      <c r="C1170" s="75"/>
    </row>
    <row r="1171" spans="2:3" ht="14.1" customHeight="1" x14ac:dyDescent="0.25">
      <c r="B1171" s="75"/>
      <c r="C1171" s="75"/>
    </row>
    <row r="1172" spans="2:3" ht="14.1" customHeight="1" x14ac:dyDescent="0.25">
      <c r="B1172" s="75"/>
      <c r="C1172" s="75"/>
    </row>
    <row r="1173" spans="2:3" ht="14.1" customHeight="1" x14ac:dyDescent="0.25">
      <c r="B1173" s="75"/>
      <c r="C1173" s="75"/>
    </row>
    <row r="1174" spans="2:3" ht="14.1" customHeight="1" x14ac:dyDescent="0.25">
      <c r="B1174" s="75"/>
      <c r="C1174" s="75"/>
    </row>
    <row r="1175" spans="2:3" ht="14.1" customHeight="1" x14ac:dyDescent="0.25">
      <c r="B1175" s="75"/>
      <c r="C1175" s="75"/>
    </row>
    <row r="1176" spans="2:3" ht="14.1" customHeight="1" x14ac:dyDescent="0.25">
      <c r="B1176" s="75"/>
      <c r="C1176" s="75"/>
    </row>
    <row r="1177" spans="2:3" ht="14.1" customHeight="1" x14ac:dyDescent="0.25">
      <c r="B1177" s="75"/>
      <c r="C1177" s="75"/>
    </row>
    <row r="1178" spans="2:3" ht="14.1" customHeight="1" x14ac:dyDescent="0.25">
      <c r="B1178" s="75"/>
      <c r="C1178" s="75"/>
    </row>
    <row r="1179" spans="2:3" ht="14.1" customHeight="1" x14ac:dyDescent="0.25">
      <c r="B1179" s="75"/>
      <c r="C1179" s="75"/>
    </row>
    <row r="1180" spans="2:3" ht="14.1" customHeight="1" x14ac:dyDescent="0.25">
      <c r="B1180" s="75"/>
      <c r="C1180" s="75"/>
    </row>
    <row r="1181" spans="2:3" ht="14.1" customHeight="1" x14ac:dyDescent="0.25">
      <c r="B1181" s="75"/>
      <c r="C1181" s="75"/>
    </row>
    <row r="1182" spans="2:3" ht="14.1" customHeight="1" x14ac:dyDescent="0.25">
      <c r="B1182" s="75"/>
      <c r="C1182" s="75"/>
    </row>
    <row r="1183" spans="2:3" ht="14.1" customHeight="1" x14ac:dyDescent="0.25">
      <c r="B1183" s="75"/>
      <c r="C1183" s="75"/>
    </row>
    <row r="1184" spans="2:3" ht="14.1" customHeight="1" x14ac:dyDescent="0.25">
      <c r="B1184" s="75"/>
      <c r="C1184" s="75"/>
    </row>
    <row r="1185" spans="2:3" ht="14.1" customHeight="1" x14ac:dyDescent="0.25">
      <c r="B1185" s="75"/>
      <c r="C1185" s="75"/>
    </row>
    <row r="1186" spans="2:3" ht="14.1" customHeight="1" x14ac:dyDescent="0.25">
      <c r="B1186" s="75"/>
      <c r="C1186" s="75"/>
    </row>
    <row r="1187" spans="2:3" ht="14.1" customHeight="1" x14ac:dyDescent="0.25">
      <c r="B1187" s="75"/>
      <c r="C1187" s="75"/>
    </row>
    <row r="1188" spans="2:3" ht="14.1" customHeight="1" x14ac:dyDescent="0.25">
      <c r="B1188" s="75"/>
      <c r="C1188" s="75"/>
    </row>
    <row r="1189" spans="2:3" ht="14.1" customHeight="1" x14ac:dyDescent="0.25">
      <c r="B1189" s="75"/>
      <c r="C1189" s="75"/>
    </row>
    <row r="1190" spans="2:3" ht="14.1" customHeight="1" x14ac:dyDescent="0.25">
      <c r="B1190" s="75"/>
      <c r="C1190" s="75"/>
    </row>
    <row r="1191" spans="2:3" ht="14.1" customHeight="1" x14ac:dyDescent="0.25">
      <c r="B1191" s="75"/>
      <c r="C1191" s="75"/>
    </row>
    <row r="1192" spans="2:3" ht="14.1" customHeight="1" x14ac:dyDescent="0.25">
      <c r="B1192" s="75"/>
      <c r="C1192" s="75"/>
    </row>
    <row r="1193" spans="2:3" ht="14.1" customHeight="1" x14ac:dyDescent="0.25">
      <c r="B1193" s="75"/>
      <c r="C1193" s="75"/>
    </row>
    <row r="1194" spans="2:3" ht="14.1" customHeight="1" x14ac:dyDescent="0.25">
      <c r="B1194" s="75"/>
      <c r="C1194" s="75"/>
    </row>
    <row r="1195" spans="2:3" ht="14.1" customHeight="1" x14ac:dyDescent="0.25">
      <c r="B1195" s="75"/>
      <c r="C1195" s="75"/>
    </row>
    <row r="1196" spans="2:3" ht="14.1" customHeight="1" x14ac:dyDescent="0.25">
      <c r="B1196" s="75"/>
      <c r="C1196" s="75"/>
    </row>
    <row r="1197" spans="2:3" ht="14.1" customHeight="1" x14ac:dyDescent="0.25">
      <c r="B1197" s="75"/>
      <c r="C1197" s="75"/>
    </row>
    <row r="1198" spans="2:3" ht="14.1" customHeight="1" x14ac:dyDescent="0.25">
      <c r="B1198" s="75"/>
      <c r="C1198" s="75"/>
    </row>
    <row r="1199" spans="2:3" ht="14.1" customHeight="1" x14ac:dyDescent="0.25">
      <c r="B1199" s="75"/>
      <c r="C1199" s="75"/>
    </row>
    <row r="1200" spans="2:3" ht="14.1" customHeight="1" x14ac:dyDescent="0.25">
      <c r="B1200" s="75"/>
      <c r="C1200" s="75"/>
    </row>
    <row r="1201" spans="2:3" ht="14.1" customHeight="1" x14ac:dyDescent="0.25">
      <c r="B1201" s="75"/>
      <c r="C1201" s="75"/>
    </row>
    <row r="1202" spans="2:3" ht="14.1" customHeight="1" x14ac:dyDescent="0.25">
      <c r="B1202" s="75"/>
      <c r="C1202" s="75"/>
    </row>
    <row r="1203" spans="2:3" ht="14.1" customHeight="1" x14ac:dyDescent="0.25">
      <c r="B1203" s="75"/>
      <c r="C1203" s="75"/>
    </row>
    <row r="1204" spans="2:3" ht="14.1" customHeight="1" x14ac:dyDescent="0.25">
      <c r="B1204" s="75"/>
      <c r="C1204" s="75"/>
    </row>
    <row r="1205" spans="2:3" ht="14.1" customHeight="1" x14ac:dyDescent="0.25">
      <c r="B1205" s="75"/>
      <c r="C1205" s="75"/>
    </row>
    <row r="1206" spans="2:3" ht="14.1" customHeight="1" x14ac:dyDescent="0.25">
      <c r="B1206" s="75"/>
      <c r="C1206" s="75"/>
    </row>
    <row r="1207" spans="2:3" ht="14.1" customHeight="1" x14ac:dyDescent="0.25">
      <c r="B1207" s="75"/>
      <c r="C1207" s="75"/>
    </row>
    <row r="1208" spans="2:3" ht="14.1" customHeight="1" x14ac:dyDescent="0.25">
      <c r="B1208" s="75"/>
      <c r="C1208" s="75"/>
    </row>
    <row r="1209" spans="2:3" ht="14.1" customHeight="1" x14ac:dyDescent="0.25">
      <c r="B1209" s="75"/>
      <c r="C1209" s="75"/>
    </row>
    <row r="1210" spans="2:3" ht="14.1" customHeight="1" x14ac:dyDescent="0.25">
      <c r="B1210" s="75"/>
      <c r="C1210" s="75"/>
    </row>
    <row r="1211" spans="2:3" ht="14.1" customHeight="1" x14ac:dyDescent="0.25">
      <c r="B1211" s="75"/>
      <c r="C1211" s="75"/>
    </row>
    <row r="1212" spans="2:3" ht="14.1" customHeight="1" x14ac:dyDescent="0.25">
      <c r="B1212" s="75"/>
      <c r="C1212" s="75"/>
    </row>
    <row r="1213" spans="2:3" ht="14.1" customHeight="1" x14ac:dyDescent="0.25">
      <c r="B1213" s="75"/>
      <c r="C1213" s="75"/>
    </row>
    <row r="1214" spans="2:3" ht="14.1" customHeight="1" x14ac:dyDescent="0.25">
      <c r="B1214" s="75"/>
      <c r="C1214" s="75"/>
    </row>
    <row r="1215" spans="2:3" ht="14.1" customHeight="1" x14ac:dyDescent="0.25">
      <c r="B1215" s="75"/>
      <c r="C1215" s="75"/>
    </row>
    <row r="1216" spans="2:3" ht="14.1" customHeight="1" x14ac:dyDescent="0.25">
      <c r="B1216" s="75"/>
      <c r="C1216" s="75"/>
    </row>
    <row r="1217" spans="2:3" ht="14.1" customHeight="1" x14ac:dyDescent="0.25">
      <c r="B1217" s="75"/>
      <c r="C1217" s="75"/>
    </row>
    <row r="1218" spans="2:3" ht="14.1" customHeight="1" x14ac:dyDescent="0.25">
      <c r="B1218" s="75"/>
      <c r="C1218" s="75"/>
    </row>
    <row r="1219" spans="2:3" ht="14.1" customHeight="1" x14ac:dyDescent="0.25">
      <c r="B1219" s="75"/>
      <c r="C1219" s="75"/>
    </row>
    <row r="1220" spans="2:3" ht="14.1" customHeight="1" x14ac:dyDescent="0.25">
      <c r="B1220" s="75"/>
      <c r="C1220" s="75"/>
    </row>
    <row r="1221" spans="2:3" ht="14.1" customHeight="1" x14ac:dyDescent="0.25">
      <c r="B1221" s="75"/>
      <c r="C1221" s="75"/>
    </row>
    <row r="1222" spans="2:3" ht="14.1" customHeight="1" x14ac:dyDescent="0.25">
      <c r="B1222" s="75"/>
      <c r="C1222" s="75"/>
    </row>
    <row r="1223" spans="2:3" ht="14.1" customHeight="1" x14ac:dyDescent="0.25">
      <c r="B1223" s="75"/>
      <c r="C1223" s="75"/>
    </row>
    <row r="1224" spans="2:3" ht="14.1" customHeight="1" x14ac:dyDescent="0.25">
      <c r="B1224" s="75"/>
      <c r="C1224" s="75"/>
    </row>
    <row r="1225" spans="2:3" ht="14.1" customHeight="1" x14ac:dyDescent="0.25">
      <c r="B1225" s="75"/>
      <c r="C1225" s="75"/>
    </row>
    <row r="1226" spans="2:3" ht="14.1" customHeight="1" x14ac:dyDescent="0.25">
      <c r="B1226" s="75"/>
      <c r="C1226" s="75"/>
    </row>
    <row r="1227" spans="2:3" ht="14.1" customHeight="1" x14ac:dyDescent="0.25">
      <c r="B1227" s="75"/>
      <c r="C1227" s="75"/>
    </row>
    <row r="1228" spans="2:3" ht="14.1" customHeight="1" x14ac:dyDescent="0.25">
      <c r="B1228" s="75"/>
      <c r="C1228" s="75"/>
    </row>
    <row r="1229" spans="2:3" ht="14.1" customHeight="1" x14ac:dyDescent="0.25">
      <c r="B1229" s="75"/>
      <c r="C1229" s="75"/>
    </row>
    <row r="1230" spans="2:3" ht="14.1" customHeight="1" x14ac:dyDescent="0.25">
      <c r="B1230" s="75"/>
      <c r="C1230" s="75"/>
    </row>
    <row r="1231" spans="2:3" ht="14.1" customHeight="1" x14ac:dyDescent="0.25">
      <c r="B1231" s="75"/>
      <c r="C1231" s="75"/>
    </row>
    <row r="1232" spans="2:3" ht="14.1" customHeight="1" x14ac:dyDescent="0.25">
      <c r="B1232" s="75"/>
      <c r="C1232" s="75"/>
    </row>
    <row r="1233" spans="2:3" ht="14.1" customHeight="1" x14ac:dyDescent="0.25">
      <c r="B1233" s="75"/>
      <c r="C1233" s="75"/>
    </row>
    <row r="1234" spans="2:3" ht="14.1" customHeight="1" x14ac:dyDescent="0.25">
      <c r="B1234" s="75"/>
      <c r="C1234" s="75"/>
    </row>
    <row r="1235" spans="2:3" ht="14.1" customHeight="1" x14ac:dyDescent="0.25">
      <c r="B1235" s="75"/>
      <c r="C1235" s="75"/>
    </row>
    <row r="1236" spans="2:3" ht="14.1" customHeight="1" x14ac:dyDescent="0.25">
      <c r="B1236" s="75"/>
      <c r="C1236" s="75"/>
    </row>
    <row r="1237" spans="2:3" ht="14.1" customHeight="1" x14ac:dyDescent="0.25">
      <c r="B1237" s="75"/>
      <c r="C1237" s="75"/>
    </row>
    <row r="1238" spans="2:3" ht="14.1" customHeight="1" x14ac:dyDescent="0.25">
      <c r="B1238" s="75"/>
      <c r="C1238" s="75"/>
    </row>
    <row r="1239" spans="2:3" ht="14.1" customHeight="1" x14ac:dyDescent="0.25">
      <c r="B1239" s="75"/>
      <c r="C1239" s="75"/>
    </row>
    <row r="1240" spans="2:3" ht="14.1" customHeight="1" x14ac:dyDescent="0.25">
      <c r="B1240" s="75"/>
      <c r="C1240" s="75"/>
    </row>
    <row r="1241" spans="2:3" ht="14.1" customHeight="1" x14ac:dyDescent="0.25">
      <c r="B1241" s="75"/>
      <c r="C1241" s="75"/>
    </row>
    <row r="1242" spans="2:3" ht="14.1" customHeight="1" x14ac:dyDescent="0.25">
      <c r="B1242" s="75"/>
      <c r="C1242" s="75"/>
    </row>
    <row r="1243" spans="2:3" ht="14.1" customHeight="1" x14ac:dyDescent="0.25">
      <c r="B1243" s="75"/>
      <c r="C1243" s="75"/>
    </row>
    <row r="1244" spans="2:3" ht="14.1" customHeight="1" x14ac:dyDescent="0.25">
      <c r="B1244" s="75"/>
      <c r="C1244" s="75"/>
    </row>
    <row r="1245" spans="2:3" ht="14.1" customHeight="1" x14ac:dyDescent="0.25">
      <c r="B1245" s="75"/>
      <c r="C1245" s="75"/>
    </row>
    <row r="1246" spans="2:3" ht="14.1" customHeight="1" x14ac:dyDescent="0.25">
      <c r="B1246" s="75"/>
      <c r="C1246" s="75"/>
    </row>
    <row r="1247" spans="2:3" ht="14.1" customHeight="1" x14ac:dyDescent="0.25">
      <c r="B1247" s="75"/>
      <c r="C1247" s="75"/>
    </row>
    <row r="1248" spans="2:3" ht="14.1" customHeight="1" x14ac:dyDescent="0.25">
      <c r="B1248" s="75"/>
      <c r="C1248" s="75"/>
    </row>
    <row r="1249" spans="2:3" ht="14.1" customHeight="1" x14ac:dyDescent="0.25">
      <c r="B1249" s="75"/>
      <c r="C1249" s="75"/>
    </row>
    <row r="1250" spans="2:3" ht="14.1" customHeight="1" x14ac:dyDescent="0.25">
      <c r="B1250" s="75"/>
      <c r="C1250" s="75"/>
    </row>
    <row r="1251" spans="2:3" ht="14.1" customHeight="1" x14ac:dyDescent="0.25">
      <c r="B1251" s="75"/>
      <c r="C1251" s="75"/>
    </row>
    <row r="1252" spans="2:3" ht="14.1" customHeight="1" x14ac:dyDescent="0.25">
      <c r="B1252" s="75"/>
      <c r="C1252" s="75"/>
    </row>
    <row r="1253" spans="2:3" ht="14.1" customHeight="1" x14ac:dyDescent="0.25">
      <c r="B1253" s="75"/>
      <c r="C1253" s="75"/>
    </row>
    <row r="1254" spans="2:3" ht="14.1" customHeight="1" x14ac:dyDescent="0.25">
      <c r="B1254" s="75"/>
      <c r="C1254" s="75"/>
    </row>
    <row r="1255" spans="2:3" ht="14.1" customHeight="1" x14ac:dyDescent="0.25">
      <c r="B1255" s="75"/>
      <c r="C1255" s="75"/>
    </row>
    <row r="1256" spans="2:3" ht="14.1" customHeight="1" x14ac:dyDescent="0.25">
      <c r="B1256" s="75"/>
      <c r="C1256" s="75"/>
    </row>
    <row r="1257" spans="2:3" ht="14.1" customHeight="1" x14ac:dyDescent="0.25">
      <c r="B1257" s="75"/>
      <c r="C1257" s="75"/>
    </row>
    <row r="1258" spans="2:3" ht="14.1" customHeight="1" x14ac:dyDescent="0.25">
      <c r="B1258" s="75"/>
      <c r="C1258" s="75"/>
    </row>
    <row r="1259" spans="2:3" ht="14.1" customHeight="1" x14ac:dyDescent="0.25">
      <c r="B1259" s="75"/>
      <c r="C1259" s="75"/>
    </row>
    <row r="1260" spans="2:3" ht="14.1" customHeight="1" x14ac:dyDescent="0.25">
      <c r="B1260" s="75"/>
      <c r="C1260" s="75"/>
    </row>
    <row r="1261" spans="2:3" ht="14.1" customHeight="1" x14ac:dyDescent="0.25">
      <c r="B1261" s="75"/>
      <c r="C1261" s="75"/>
    </row>
    <row r="1262" spans="2:3" ht="14.1" customHeight="1" x14ac:dyDescent="0.25">
      <c r="B1262" s="75"/>
      <c r="C1262" s="75"/>
    </row>
    <row r="1263" spans="2:3" ht="14.1" customHeight="1" x14ac:dyDescent="0.25">
      <c r="B1263" s="75"/>
      <c r="C1263" s="75"/>
    </row>
    <row r="1264" spans="2:3" ht="14.1" customHeight="1" x14ac:dyDescent="0.25">
      <c r="B1264" s="75"/>
      <c r="C1264" s="75"/>
    </row>
    <row r="1265" spans="2:3" ht="14.1" customHeight="1" x14ac:dyDescent="0.25">
      <c r="B1265" s="75"/>
      <c r="C1265" s="75"/>
    </row>
    <row r="1266" spans="2:3" ht="14.1" customHeight="1" x14ac:dyDescent="0.25">
      <c r="B1266" s="75"/>
      <c r="C1266" s="75"/>
    </row>
    <row r="1267" spans="2:3" ht="14.1" customHeight="1" x14ac:dyDescent="0.25">
      <c r="B1267" s="75"/>
      <c r="C1267" s="75"/>
    </row>
    <row r="1268" spans="2:3" ht="14.1" customHeight="1" x14ac:dyDescent="0.25">
      <c r="B1268" s="75"/>
      <c r="C1268" s="75"/>
    </row>
    <row r="1269" spans="2:3" ht="14.1" customHeight="1" x14ac:dyDescent="0.25">
      <c r="B1269" s="75"/>
      <c r="C1269" s="75"/>
    </row>
    <row r="1270" spans="2:3" ht="14.1" customHeight="1" x14ac:dyDescent="0.25">
      <c r="B1270" s="75"/>
      <c r="C1270" s="75"/>
    </row>
    <row r="1271" spans="2:3" ht="14.1" customHeight="1" x14ac:dyDescent="0.25">
      <c r="B1271" s="75"/>
      <c r="C1271" s="75"/>
    </row>
    <row r="1272" spans="2:3" ht="14.1" customHeight="1" x14ac:dyDescent="0.25">
      <c r="B1272" s="75"/>
      <c r="C1272" s="75"/>
    </row>
    <row r="1273" spans="2:3" ht="14.1" customHeight="1" x14ac:dyDescent="0.25">
      <c r="B1273" s="75"/>
      <c r="C1273" s="75"/>
    </row>
    <row r="1274" spans="2:3" ht="14.1" customHeight="1" x14ac:dyDescent="0.25">
      <c r="B1274" s="75"/>
      <c r="C1274" s="75"/>
    </row>
    <row r="1275" spans="2:3" ht="14.1" customHeight="1" x14ac:dyDescent="0.25">
      <c r="B1275" s="75"/>
      <c r="C1275" s="75"/>
    </row>
    <row r="1276" spans="2:3" ht="14.1" customHeight="1" x14ac:dyDescent="0.25">
      <c r="B1276" s="75"/>
      <c r="C1276" s="75"/>
    </row>
    <row r="1277" spans="2:3" ht="14.1" customHeight="1" x14ac:dyDescent="0.25">
      <c r="B1277" s="75"/>
      <c r="C1277" s="75"/>
    </row>
    <row r="1278" spans="2:3" ht="14.1" customHeight="1" x14ac:dyDescent="0.25">
      <c r="B1278" s="75"/>
      <c r="C1278" s="75"/>
    </row>
    <row r="1279" spans="2:3" ht="14.1" customHeight="1" x14ac:dyDescent="0.25">
      <c r="B1279" s="75"/>
      <c r="C1279" s="75"/>
    </row>
    <row r="1280" spans="2:3" ht="14.1" customHeight="1" x14ac:dyDescent="0.25">
      <c r="B1280" s="75"/>
      <c r="C1280" s="75"/>
    </row>
    <row r="1281" spans="2:3" ht="14.1" customHeight="1" x14ac:dyDescent="0.25">
      <c r="B1281" s="75"/>
      <c r="C1281" s="75"/>
    </row>
    <row r="1282" spans="2:3" ht="14.1" customHeight="1" x14ac:dyDescent="0.25">
      <c r="B1282" s="75"/>
      <c r="C1282" s="75"/>
    </row>
    <row r="1283" spans="2:3" ht="14.1" customHeight="1" x14ac:dyDescent="0.25">
      <c r="B1283" s="75"/>
      <c r="C1283" s="75"/>
    </row>
    <row r="1284" spans="2:3" ht="14.1" customHeight="1" x14ac:dyDescent="0.25">
      <c r="B1284" s="75"/>
      <c r="C1284" s="75"/>
    </row>
    <row r="1285" spans="2:3" ht="14.1" customHeight="1" x14ac:dyDescent="0.25">
      <c r="B1285" s="75"/>
      <c r="C1285" s="75"/>
    </row>
    <row r="1286" spans="2:3" ht="14.1" customHeight="1" x14ac:dyDescent="0.25">
      <c r="B1286" s="75"/>
      <c r="C1286" s="75"/>
    </row>
    <row r="1287" spans="2:3" ht="14.1" customHeight="1" x14ac:dyDescent="0.25">
      <c r="B1287" s="75"/>
      <c r="C1287" s="75"/>
    </row>
    <row r="1288" spans="2:3" ht="14.1" customHeight="1" x14ac:dyDescent="0.25">
      <c r="B1288" s="75"/>
      <c r="C1288" s="75"/>
    </row>
    <row r="1289" spans="2:3" ht="14.1" customHeight="1" x14ac:dyDescent="0.25">
      <c r="B1289" s="75"/>
      <c r="C1289" s="75"/>
    </row>
    <row r="1290" spans="2:3" ht="14.1" customHeight="1" x14ac:dyDescent="0.25">
      <c r="B1290" s="75"/>
      <c r="C1290" s="75"/>
    </row>
    <row r="1291" spans="2:3" ht="14.1" customHeight="1" x14ac:dyDescent="0.25">
      <c r="B1291" s="75"/>
      <c r="C1291" s="75"/>
    </row>
    <row r="1292" spans="2:3" ht="14.1" customHeight="1" x14ac:dyDescent="0.25">
      <c r="B1292" s="75"/>
      <c r="C1292" s="75"/>
    </row>
    <row r="1293" spans="2:3" ht="14.1" customHeight="1" x14ac:dyDescent="0.25">
      <c r="B1293" s="75"/>
      <c r="C1293" s="75"/>
    </row>
    <row r="1294" spans="2:3" ht="14.1" customHeight="1" x14ac:dyDescent="0.25">
      <c r="B1294" s="75"/>
      <c r="C1294" s="75"/>
    </row>
    <row r="1295" spans="2:3" ht="14.1" customHeight="1" x14ac:dyDescent="0.25">
      <c r="B1295" s="75"/>
      <c r="C1295" s="75"/>
    </row>
    <row r="1296" spans="2:3" ht="14.1" customHeight="1" x14ac:dyDescent="0.25">
      <c r="B1296" s="75"/>
      <c r="C1296" s="75"/>
    </row>
    <row r="1297" spans="2:3" ht="14.1" customHeight="1" x14ac:dyDescent="0.25">
      <c r="B1297" s="75"/>
      <c r="C1297" s="75"/>
    </row>
    <row r="1298" spans="2:3" ht="14.1" customHeight="1" x14ac:dyDescent="0.25">
      <c r="B1298" s="75"/>
      <c r="C1298" s="75"/>
    </row>
    <row r="1299" spans="2:3" ht="14.1" customHeight="1" x14ac:dyDescent="0.25">
      <c r="B1299" s="75"/>
      <c r="C1299" s="75"/>
    </row>
    <row r="1300" spans="2:3" ht="14.1" customHeight="1" x14ac:dyDescent="0.25">
      <c r="B1300" s="75"/>
      <c r="C1300" s="75"/>
    </row>
    <row r="1301" spans="2:3" ht="14.1" customHeight="1" x14ac:dyDescent="0.25">
      <c r="B1301" s="75"/>
      <c r="C1301" s="75"/>
    </row>
    <row r="1302" spans="2:3" ht="14.1" customHeight="1" x14ac:dyDescent="0.25">
      <c r="B1302" s="75"/>
      <c r="C1302" s="75"/>
    </row>
    <row r="1303" spans="2:3" ht="14.1" customHeight="1" x14ac:dyDescent="0.25">
      <c r="B1303" s="75"/>
      <c r="C1303" s="75"/>
    </row>
    <row r="1304" spans="2:3" ht="14.1" customHeight="1" x14ac:dyDescent="0.25">
      <c r="B1304" s="75"/>
      <c r="C1304" s="75"/>
    </row>
    <row r="1305" spans="2:3" ht="14.1" customHeight="1" x14ac:dyDescent="0.25">
      <c r="B1305" s="75"/>
      <c r="C1305" s="75"/>
    </row>
    <row r="1306" spans="2:3" ht="14.1" customHeight="1" x14ac:dyDescent="0.25">
      <c r="B1306" s="75"/>
      <c r="C1306" s="75"/>
    </row>
    <row r="1307" spans="2:3" ht="14.1" customHeight="1" x14ac:dyDescent="0.25">
      <c r="B1307" s="75"/>
      <c r="C1307" s="75"/>
    </row>
    <row r="1308" spans="2:3" ht="14.1" customHeight="1" x14ac:dyDescent="0.25">
      <c r="B1308" s="75"/>
      <c r="C1308" s="75"/>
    </row>
    <row r="1309" spans="2:3" ht="14.1" customHeight="1" x14ac:dyDescent="0.25">
      <c r="B1309" s="75"/>
      <c r="C1309" s="75"/>
    </row>
    <row r="1310" spans="2:3" ht="14.1" customHeight="1" x14ac:dyDescent="0.25">
      <c r="B1310" s="75"/>
      <c r="C1310" s="75"/>
    </row>
    <row r="1311" spans="2:3" ht="14.1" customHeight="1" x14ac:dyDescent="0.25">
      <c r="B1311" s="75"/>
      <c r="C1311" s="75"/>
    </row>
    <row r="1312" spans="2:3" ht="14.1" customHeight="1" x14ac:dyDescent="0.25">
      <c r="B1312" s="75"/>
      <c r="C1312" s="75"/>
    </row>
    <row r="1313" spans="2:3" ht="14.1" customHeight="1" x14ac:dyDescent="0.25">
      <c r="B1313" s="75"/>
      <c r="C1313" s="75"/>
    </row>
    <row r="1314" spans="2:3" ht="14.1" customHeight="1" x14ac:dyDescent="0.25">
      <c r="B1314" s="75"/>
      <c r="C1314" s="75"/>
    </row>
    <row r="1315" spans="2:3" ht="14.1" customHeight="1" x14ac:dyDescent="0.25">
      <c r="B1315" s="75"/>
      <c r="C1315" s="75"/>
    </row>
    <row r="1316" spans="2:3" ht="14.1" customHeight="1" x14ac:dyDescent="0.25">
      <c r="B1316" s="75"/>
      <c r="C1316" s="75"/>
    </row>
    <row r="1317" spans="2:3" ht="14.1" customHeight="1" x14ac:dyDescent="0.25">
      <c r="B1317" s="75"/>
      <c r="C1317" s="75"/>
    </row>
    <row r="1318" spans="2:3" ht="14.1" customHeight="1" x14ac:dyDescent="0.25">
      <c r="B1318" s="75"/>
      <c r="C1318" s="75"/>
    </row>
    <row r="1319" spans="2:3" ht="14.1" customHeight="1" x14ac:dyDescent="0.25">
      <c r="B1319" s="75"/>
      <c r="C1319" s="75"/>
    </row>
    <row r="1320" spans="2:3" ht="14.1" customHeight="1" x14ac:dyDescent="0.25">
      <c r="B1320" s="75"/>
      <c r="C1320" s="75"/>
    </row>
    <row r="1321" spans="2:3" ht="14.1" customHeight="1" x14ac:dyDescent="0.25">
      <c r="B1321" s="75"/>
      <c r="C1321" s="75"/>
    </row>
    <row r="1322" spans="2:3" ht="14.1" customHeight="1" x14ac:dyDescent="0.25">
      <c r="B1322" s="75"/>
      <c r="C1322" s="75"/>
    </row>
    <row r="1323" spans="2:3" ht="14.1" customHeight="1" x14ac:dyDescent="0.25">
      <c r="B1323" s="75"/>
      <c r="C1323" s="75"/>
    </row>
    <row r="1324" spans="2:3" ht="14.1" customHeight="1" x14ac:dyDescent="0.25">
      <c r="B1324" s="75"/>
      <c r="C1324" s="75"/>
    </row>
    <row r="1325" spans="2:3" ht="14.1" customHeight="1" x14ac:dyDescent="0.25">
      <c r="B1325" s="75"/>
      <c r="C1325" s="75"/>
    </row>
    <row r="1326" spans="2:3" ht="14.1" customHeight="1" x14ac:dyDescent="0.25">
      <c r="B1326" s="75"/>
      <c r="C1326" s="75"/>
    </row>
    <row r="1327" spans="2:3" ht="14.1" customHeight="1" x14ac:dyDescent="0.25">
      <c r="B1327" s="75"/>
      <c r="C1327" s="75"/>
    </row>
    <row r="1328" spans="2:3" ht="14.1" customHeight="1" x14ac:dyDescent="0.25">
      <c r="B1328" s="75"/>
      <c r="C1328" s="75"/>
    </row>
    <row r="1329" spans="2:3" ht="14.1" customHeight="1" x14ac:dyDescent="0.25">
      <c r="B1329" s="75"/>
      <c r="C1329" s="75"/>
    </row>
    <row r="1330" spans="2:3" ht="14.1" customHeight="1" x14ac:dyDescent="0.25">
      <c r="B1330" s="75"/>
      <c r="C1330" s="75"/>
    </row>
    <row r="1331" spans="2:3" ht="14.1" customHeight="1" x14ac:dyDescent="0.25">
      <c r="B1331" s="75"/>
      <c r="C1331" s="75"/>
    </row>
    <row r="1332" spans="2:3" ht="14.1" customHeight="1" x14ac:dyDescent="0.25">
      <c r="B1332" s="75"/>
      <c r="C1332" s="75"/>
    </row>
    <row r="1333" spans="2:3" ht="14.1" customHeight="1" x14ac:dyDescent="0.25">
      <c r="B1333" s="75"/>
      <c r="C1333" s="75"/>
    </row>
    <row r="1334" spans="2:3" ht="14.1" customHeight="1" x14ac:dyDescent="0.25">
      <c r="B1334" s="75"/>
      <c r="C1334" s="75"/>
    </row>
    <row r="1335" spans="2:3" ht="14.1" customHeight="1" x14ac:dyDescent="0.25">
      <c r="B1335" s="75"/>
      <c r="C1335" s="75"/>
    </row>
    <row r="1336" spans="2:3" ht="14.1" customHeight="1" x14ac:dyDescent="0.25">
      <c r="B1336" s="75"/>
      <c r="C1336" s="75"/>
    </row>
    <row r="1337" spans="2:3" ht="14.1" customHeight="1" x14ac:dyDescent="0.25">
      <c r="B1337" s="75"/>
      <c r="C1337" s="75"/>
    </row>
    <row r="1338" spans="2:3" ht="14.1" customHeight="1" x14ac:dyDescent="0.25">
      <c r="B1338" s="75"/>
      <c r="C1338" s="75"/>
    </row>
    <row r="1339" spans="2:3" ht="14.1" customHeight="1" x14ac:dyDescent="0.25">
      <c r="B1339" s="75"/>
      <c r="C1339" s="75"/>
    </row>
    <row r="1340" spans="2:3" ht="14.1" customHeight="1" x14ac:dyDescent="0.25">
      <c r="B1340" s="75"/>
      <c r="C1340" s="75"/>
    </row>
    <row r="1341" spans="2:3" ht="14.1" customHeight="1" x14ac:dyDescent="0.25">
      <c r="B1341" s="75"/>
      <c r="C1341" s="75"/>
    </row>
    <row r="1342" spans="2:3" ht="14.1" customHeight="1" x14ac:dyDescent="0.25">
      <c r="B1342" s="75"/>
      <c r="C1342" s="75"/>
    </row>
    <row r="1343" spans="2:3" ht="14.1" customHeight="1" x14ac:dyDescent="0.25">
      <c r="B1343" s="75"/>
      <c r="C1343" s="75"/>
    </row>
    <row r="1344" spans="2:3" ht="14.1" customHeight="1" x14ac:dyDescent="0.25">
      <c r="B1344" s="75"/>
      <c r="C1344" s="75"/>
    </row>
    <row r="1345" spans="2:3" ht="14.1" customHeight="1" x14ac:dyDescent="0.25">
      <c r="B1345" s="75"/>
      <c r="C1345" s="75"/>
    </row>
    <row r="1346" spans="2:3" ht="14.1" customHeight="1" x14ac:dyDescent="0.25">
      <c r="B1346" s="75"/>
      <c r="C1346" s="75"/>
    </row>
    <row r="1347" spans="2:3" ht="14.1" customHeight="1" x14ac:dyDescent="0.25">
      <c r="B1347" s="75"/>
      <c r="C1347" s="75"/>
    </row>
    <row r="1348" spans="2:3" ht="14.1" customHeight="1" x14ac:dyDescent="0.25">
      <c r="B1348" s="75"/>
      <c r="C1348" s="75"/>
    </row>
    <row r="1349" spans="2:3" ht="14.1" customHeight="1" x14ac:dyDescent="0.25">
      <c r="B1349" s="75"/>
      <c r="C1349" s="75"/>
    </row>
    <row r="1350" spans="2:3" ht="14.1" customHeight="1" x14ac:dyDescent="0.25">
      <c r="B1350" s="75"/>
      <c r="C1350" s="75"/>
    </row>
    <row r="1351" spans="2:3" ht="14.1" customHeight="1" x14ac:dyDescent="0.25">
      <c r="B1351" s="75"/>
      <c r="C1351" s="75"/>
    </row>
    <row r="1352" spans="2:3" ht="14.1" customHeight="1" x14ac:dyDescent="0.25">
      <c r="B1352" s="75"/>
      <c r="C1352" s="75"/>
    </row>
    <row r="1353" spans="2:3" ht="14.1" customHeight="1" x14ac:dyDescent="0.25">
      <c r="B1353" s="75"/>
      <c r="C1353" s="75"/>
    </row>
    <row r="1354" spans="2:3" ht="14.1" customHeight="1" x14ac:dyDescent="0.25">
      <c r="B1354" s="75"/>
      <c r="C1354" s="75"/>
    </row>
    <row r="1355" spans="2:3" ht="14.1" customHeight="1" x14ac:dyDescent="0.25">
      <c r="B1355" s="75"/>
      <c r="C1355" s="75"/>
    </row>
    <row r="1356" spans="2:3" ht="14.1" customHeight="1" x14ac:dyDescent="0.25">
      <c r="B1356" s="75"/>
      <c r="C1356" s="75"/>
    </row>
    <row r="1357" spans="2:3" ht="14.1" customHeight="1" x14ac:dyDescent="0.25">
      <c r="B1357" s="75"/>
      <c r="C1357" s="75"/>
    </row>
    <row r="1358" spans="2:3" ht="14.1" customHeight="1" x14ac:dyDescent="0.25">
      <c r="B1358" s="75"/>
      <c r="C1358" s="75"/>
    </row>
    <row r="1359" spans="2:3" ht="14.1" customHeight="1" x14ac:dyDescent="0.25">
      <c r="B1359" s="75"/>
      <c r="C1359" s="75"/>
    </row>
    <row r="1360" spans="2:3" ht="14.1" customHeight="1" x14ac:dyDescent="0.25">
      <c r="B1360" s="75"/>
      <c r="C1360" s="75"/>
    </row>
    <row r="1361" spans="2:3" ht="14.1" customHeight="1" x14ac:dyDescent="0.25">
      <c r="B1361" s="75"/>
      <c r="C1361" s="75"/>
    </row>
    <row r="1362" spans="2:3" ht="14.1" customHeight="1" x14ac:dyDescent="0.25">
      <c r="B1362" s="75"/>
      <c r="C1362" s="75"/>
    </row>
    <row r="1363" spans="2:3" ht="14.1" customHeight="1" x14ac:dyDescent="0.25">
      <c r="B1363" s="75"/>
      <c r="C1363" s="75"/>
    </row>
    <row r="1364" spans="2:3" ht="14.1" customHeight="1" x14ac:dyDescent="0.25">
      <c r="B1364" s="75"/>
      <c r="C1364" s="75"/>
    </row>
    <row r="1365" spans="2:3" ht="14.1" customHeight="1" x14ac:dyDescent="0.25">
      <c r="B1365" s="75"/>
      <c r="C1365" s="75"/>
    </row>
    <row r="1366" spans="2:3" ht="14.1" customHeight="1" x14ac:dyDescent="0.25">
      <c r="B1366" s="75"/>
      <c r="C1366" s="75"/>
    </row>
    <row r="1367" spans="2:3" ht="14.1" customHeight="1" x14ac:dyDescent="0.25">
      <c r="B1367" s="75"/>
      <c r="C1367" s="75"/>
    </row>
    <row r="1368" spans="2:3" ht="14.1" customHeight="1" x14ac:dyDescent="0.25">
      <c r="B1368" s="75"/>
      <c r="C1368" s="75"/>
    </row>
    <row r="1369" spans="2:3" ht="14.1" customHeight="1" x14ac:dyDescent="0.25">
      <c r="B1369" s="75"/>
      <c r="C1369" s="75"/>
    </row>
    <row r="1370" spans="2:3" ht="14.1" customHeight="1" x14ac:dyDescent="0.25">
      <c r="B1370" s="75"/>
      <c r="C1370" s="75"/>
    </row>
    <row r="1371" spans="2:3" ht="14.1" customHeight="1" x14ac:dyDescent="0.25">
      <c r="B1371" s="75"/>
      <c r="C1371" s="75"/>
    </row>
    <row r="1372" spans="2:3" ht="14.1" customHeight="1" x14ac:dyDescent="0.25">
      <c r="B1372" s="75"/>
      <c r="C1372" s="75"/>
    </row>
    <row r="1373" spans="2:3" ht="14.1" customHeight="1" x14ac:dyDescent="0.25">
      <c r="B1373" s="75"/>
      <c r="C1373" s="75"/>
    </row>
    <row r="1374" spans="2:3" ht="14.1" customHeight="1" x14ac:dyDescent="0.25">
      <c r="B1374" s="75"/>
      <c r="C1374" s="75"/>
    </row>
    <row r="1375" spans="2:3" ht="14.1" customHeight="1" x14ac:dyDescent="0.25">
      <c r="B1375" s="75"/>
      <c r="C1375" s="75"/>
    </row>
    <row r="1376" spans="2:3" ht="14.1" customHeight="1" x14ac:dyDescent="0.25">
      <c r="B1376" s="75"/>
      <c r="C1376" s="75"/>
    </row>
    <row r="1377" spans="2:3" ht="14.1" customHeight="1" x14ac:dyDescent="0.25">
      <c r="B1377" s="75"/>
      <c r="C1377" s="75"/>
    </row>
    <row r="1378" spans="2:3" ht="14.1" customHeight="1" x14ac:dyDescent="0.25">
      <c r="B1378" s="75"/>
      <c r="C1378" s="75"/>
    </row>
    <row r="1379" spans="2:3" ht="14.1" customHeight="1" x14ac:dyDescent="0.25">
      <c r="B1379" s="75"/>
      <c r="C1379" s="75"/>
    </row>
    <row r="1380" spans="2:3" ht="14.1" customHeight="1" x14ac:dyDescent="0.25">
      <c r="B1380" s="75"/>
      <c r="C1380" s="75"/>
    </row>
    <row r="1381" spans="2:3" ht="14.1" customHeight="1" x14ac:dyDescent="0.25">
      <c r="B1381" s="75"/>
      <c r="C1381" s="75"/>
    </row>
    <row r="1382" spans="2:3" ht="14.1" customHeight="1" x14ac:dyDescent="0.25">
      <c r="B1382" s="75"/>
      <c r="C1382" s="75"/>
    </row>
    <row r="1383" spans="2:3" ht="14.1" customHeight="1" x14ac:dyDescent="0.25">
      <c r="B1383" s="75"/>
      <c r="C1383" s="75"/>
    </row>
    <row r="1384" spans="2:3" ht="14.1" customHeight="1" x14ac:dyDescent="0.25">
      <c r="B1384" s="75"/>
      <c r="C1384" s="75"/>
    </row>
    <row r="1385" spans="2:3" ht="14.1" customHeight="1" x14ac:dyDescent="0.25">
      <c r="B1385" s="75"/>
      <c r="C1385" s="75"/>
    </row>
    <row r="1386" spans="2:3" ht="14.1" customHeight="1" x14ac:dyDescent="0.25">
      <c r="B1386" s="75"/>
      <c r="C1386" s="75"/>
    </row>
    <row r="1387" spans="2:3" ht="14.1" customHeight="1" x14ac:dyDescent="0.25">
      <c r="B1387" s="75"/>
      <c r="C1387" s="75"/>
    </row>
    <row r="1388" spans="2:3" ht="14.1" customHeight="1" x14ac:dyDescent="0.25">
      <c r="B1388" s="75"/>
      <c r="C1388" s="75"/>
    </row>
    <row r="1389" spans="2:3" ht="14.1" customHeight="1" x14ac:dyDescent="0.25">
      <c r="B1389" s="75"/>
      <c r="C1389" s="75"/>
    </row>
    <row r="1390" spans="2:3" ht="14.1" customHeight="1" x14ac:dyDescent="0.25">
      <c r="B1390" s="75"/>
      <c r="C1390" s="75"/>
    </row>
    <row r="1391" spans="2:3" ht="14.1" customHeight="1" x14ac:dyDescent="0.25">
      <c r="B1391" s="75"/>
      <c r="C1391" s="75"/>
    </row>
    <row r="1392" spans="2:3" ht="14.1" customHeight="1" x14ac:dyDescent="0.25">
      <c r="B1392" s="75"/>
      <c r="C1392" s="75"/>
    </row>
    <row r="1393" spans="2:3" ht="14.1" customHeight="1" x14ac:dyDescent="0.25">
      <c r="B1393" s="75"/>
      <c r="C1393" s="75"/>
    </row>
    <row r="1394" spans="2:3" ht="14.1" customHeight="1" x14ac:dyDescent="0.25">
      <c r="B1394" s="75"/>
      <c r="C1394" s="75"/>
    </row>
    <row r="1395" spans="2:3" ht="14.1" customHeight="1" x14ac:dyDescent="0.25">
      <c r="B1395" s="75"/>
      <c r="C1395" s="75"/>
    </row>
    <row r="1396" spans="2:3" ht="14.1" customHeight="1" x14ac:dyDescent="0.25">
      <c r="B1396" s="75"/>
      <c r="C1396" s="75"/>
    </row>
    <row r="1397" spans="2:3" ht="14.1" customHeight="1" x14ac:dyDescent="0.25">
      <c r="B1397" s="75"/>
      <c r="C1397" s="75"/>
    </row>
    <row r="1398" spans="2:3" ht="14.1" customHeight="1" x14ac:dyDescent="0.25">
      <c r="B1398" s="75"/>
      <c r="C1398" s="75"/>
    </row>
    <row r="1399" spans="2:3" ht="14.1" customHeight="1" x14ac:dyDescent="0.25">
      <c r="B1399" s="75"/>
      <c r="C1399" s="75"/>
    </row>
    <row r="1400" spans="2:3" ht="14.1" customHeight="1" x14ac:dyDescent="0.25">
      <c r="B1400" s="75"/>
      <c r="C1400" s="75"/>
    </row>
    <row r="1401" spans="2:3" ht="14.1" customHeight="1" x14ac:dyDescent="0.25">
      <c r="B1401" s="75"/>
      <c r="C1401" s="75"/>
    </row>
    <row r="1402" spans="2:3" ht="14.1" customHeight="1" x14ac:dyDescent="0.25">
      <c r="B1402" s="75"/>
      <c r="C1402" s="75"/>
    </row>
    <row r="1403" spans="2:3" ht="14.1" customHeight="1" x14ac:dyDescent="0.25">
      <c r="B1403" s="75"/>
      <c r="C1403" s="75"/>
    </row>
    <row r="1404" spans="2:3" ht="14.1" customHeight="1" x14ac:dyDescent="0.25">
      <c r="B1404" s="75"/>
      <c r="C1404" s="75"/>
    </row>
    <row r="1405" spans="2:3" ht="14.1" customHeight="1" x14ac:dyDescent="0.25">
      <c r="B1405" s="75"/>
      <c r="C1405" s="75"/>
    </row>
    <row r="1406" spans="2:3" ht="14.1" customHeight="1" x14ac:dyDescent="0.25">
      <c r="B1406" s="75"/>
      <c r="C1406" s="75"/>
    </row>
    <row r="1407" spans="2:3" ht="14.1" customHeight="1" x14ac:dyDescent="0.25">
      <c r="B1407" s="75"/>
      <c r="C1407" s="75"/>
    </row>
    <row r="1408" spans="2:3" ht="14.1" customHeight="1" x14ac:dyDescent="0.25">
      <c r="B1408" s="75"/>
      <c r="C1408" s="75"/>
    </row>
    <row r="1409" spans="2:3" ht="14.1" customHeight="1" x14ac:dyDescent="0.25">
      <c r="B1409" s="75"/>
      <c r="C1409" s="75"/>
    </row>
    <row r="1410" spans="2:3" ht="14.1" customHeight="1" x14ac:dyDescent="0.25">
      <c r="B1410" s="75"/>
      <c r="C1410" s="75"/>
    </row>
    <row r="1411" spans="2:3" ht="14.1" customHeight="1" x14ac:dyDescent="0.25">
      <c r="B1411" s="75"/>
      <c r="C1411" s="75"/>
    </row>
    <row r="1412" spans="2:3" ht="14.1" customHeight="1" x14ac:dyDescent="0.25">
      <c r="B1412" s="75"/>
      <c r="C1412" s="75"/>
    </row>
    <row r="1413" spans="2:3" ht="14.1" customHeight="1" x14ac:dyDescent="0.25">
      <c r="B1413" s="75"/>
      <c r="C1413" s="75"/>
    </row>
    <row r="1414" spans="2:3" ht="14.1" customHeight="1" x14ac:dyDescent="0.25">
      <c r="B1414" s="75"/>
      <c r="C1414" s="75"/>
    </row>
    <row r="1415" spans="2:3" ht="14.1" customHeight="1" x14ac:dyDescent="0.25">
      <c r="B1415" s="75"/>
      <c r="C1415" s="75"/>
    </row>
    <row r="1416" spans="2:3" ht="14.1" customHeight="1" x14ac:dyDescent="0.25">
      <c r="B1416" s="75"/>
      <c r="C1416" s="75"/>
    </row>
    <row r="1417" spans="2:3" ht="14.1" customHeight="1" x14ac:dyDescent="0.25">
      <c r="B1417" s="75"/>
      <c r="C1417" s="75"/>
    </row>
    <row r="1418" spans="2:3" ht="14.1" customHeight="1" x14ac:dyDescent="0.25">
      <c r="B1418" s="75"/>
      <c r="C1418" s="75"/>
    </row>
    <row r="1419" spans="2:3" ht="14.1" customHeight="1" x14ac:dyDescent="0.25">
      <c r="B1419" s="75"/>
      <c r="C1419" s="75"/>
    </row>
    <row r="1420" spans="2:3" ht="14.1" customHeight="1" x14ac:dyDescent="0.25">
      <c r="B1420" s="75"/>
      <c r="C1420" s="75"/>
    </row>
    <row r="1421" spans="2:3" ht="14.1" customHeight="1" x14ac:dyDescent="0.25">
      <c r="B1421" s="75"/>
      <c r="C1421" s="75"/>
    </row>
    <row r="1422" spans="2:3" ht="14.1" customHeight="1" x14ac:dyDescent="0.25">
      <c r="B1422" s="75"/>
      <c r="C1422" s="75"/>
    </row>
    <row r="1423" spans="2:3" ht="14.1" customHeight="1" x14ac:dyDescent="0.25">
      <c r="B1423" s="75"/>
      <c r="C1423" s="75"/>
    </row>
    <row r="1424" spans="2:3" ht="14.1" customHeight="1" x14ac:dyDescent="0.25">
      <c r="B1424" s="75"/>
      <c r="C1424" s="75"/>
    </row>
    <row r="1425" spans="2:3" ht="14.1" customHeight="1" x14ac:dyDescent="0.25">
      <c r="B1425" s="75"/>
      <c r="C1425" s="75"/>
    </row>
    <row r="1426" spans="2:3" ht="14.1" customHeight="1" x14ac:dyDescent="0.25">
      <c r="B1426" s="75"/>
      <c r="C1426" s="75"/>
    </row>
    <row r="1427" spans="2:3" ht="14.1" customHeight="1" x14ac:dyDescent="0.25">
      <c r="B1427" s="75"/>
      <c r="C1427" s="75"/>
    </row>
    <row r="1428" spans="2:3" ht="14.1" customHeight="1" x14ac:dyDescent="0.25">
      <c r="B1428" s="75"/>
      <c r="C1428" s="75"/>
    </row>
    <row r="1429" spans="2:3" ht="14.1" customHeight="1" x14ac:dyDescent="0.25">
      <c r="B1429" s="75"/>
      <c r="C1429" s="75"/>
    </row>
    <row r="1430" spans="2:3" ht="14.1" customHeight="1" x14ac:dyDescent="0.25">
      <c r="B1430" s="75"/>
      <c r="C1430" s="75"/>
    </row>
    <row r="1431" spans="2:3" ht="14.1" customHeight="1" x14ac:dyDescent="0.25">
      <c r="B1431" s="75"/>
      <c r="C1431" s="75"/>
    </row>
    <row r="1432" spans="2:3" ht="14.1" customHeight="1" x14ac:dyDescent="0.25">
      <c r="B1432" s="75"/>
      <c r="C1432" s="75"/>
    </row>
    <row r="1433" spans="2:3" ht="14.1" customHeight="1" x14ac:dyDescent="0.25">
      <c r="B1433" s="75"/>
      <c r="C1433" s="75"/>
    </row>
    <row r="1434" spans="2:3" ht="14.1" customHeight="1" x14ac:dyDescent="0.25">
      <c r="B1434" s="75"/>
      <c r="C1434" s="75"/>
    </row>
    <row r="1435" spans="2:3" ht="14.1" customHeight="1" x14ac:dyDescent="0.25">
      <c r="B1435" s="75"/>
      <c r="C1435" s="75"/>
    </row>
    <row r="1436" spans="2:3" ht="14.1" customHeight="1" x14ac:dyDescent="0.25">
      <c r="B1436" s="75"/>
      <c r="C1436" s="75"/>
    </row>
    <row r="1437" spans="2:3" ht="14.1" customHeight="1" x14ac:dyDescent="0.25">
      <c r="B1437" s="75"/>
      <c r="C1437" s="75"/>
    </row>
    <row r="1438" spans="2:3" ht="14.1" customHeight="1" x14ac:dyDescent="0.25">
      <c r="B1438" s="75"/>
      <c r="C1438" s="75"/>
    </row>
    <row r="1439" spans="2:3" ht="14.1" customHeight="1" x14ac:dyDescent="0.25">
      <c r="B1439" s="75"/>
      <c r="C1439" s="75"/>
    </row>
    <row r="1440" spans="2:3" ht="14.1" customHeight="1" x14ac:dyDescent="0.25">
      <c r="B1440" s="75"/>
      <c r="C1440" s="75"/>
    </row>
    <row r="1441" spans="2:3" ht="14.1" customHeight="1" x14ac:dyDescent="0.25">
      <c r="B1441" s="75"/>
      <c r="C1441" s="75"/>
    </row>
    <row r="1442" spans="2:3" ht="14.1" customHeight="1" x14ac:dyDescent="0.25">
      <c r="B1442" s="75"/>
      <c r="C1442" s="75"/>
    </row>
    <row r="1443" spans="2:3" ht="14.1" customHeight="1" x14ac:dyDescent="0.25">
      <c r="B1443" s="75"/>
      <c r="C1443" s="75"/>
    </row>
    <row r="1444" spans="2:3" ht="14.1" customHeight="1" x14ac:dyDescent="0.25">
      <c r="B1444" s="75"/>
      <c r="C1444" s="75"/>
    </row>
    <row r="1445" spans="2:3" ht="14.1" customHeight="1" x14ac:dyDescent="0.25">
      <c r="B1445" s="75"/>
      <c r="C1445" s="75"/>
    </row>
    <row r="1446" spans="2:3" ht="14.1" customHeight="1" x14ac:dyDescent="0.25">
      <c r="B1446" s="75"/>
      <c r="C1446" s="75"/>
    </row>
    <row r="1447" spans="2:3" ht="14.1" customHeight="1" x14ac:dyDescent="0.25">
      <c r="B1447" s="75"/>
      <c r="C1447" s="75"/>
    </row>
    <row r="1448" spans="2:3" ht="14.1" customHeight="1" x14ac:dyDescent="0.25">
      <c r="B1448" s="75"/>
      <c r="C1448" s="75"/>
    </row>
    <row r="1449" spans="2:3" ht="14.1" customHeight="1" x14ac:dyDescent="0.25">
      <c r="B1449" s="75"/>
      <c r="C1449" s="75"/>
    </row>
    <row r="1450" spans="2:3" ht="14.1" customHeight="1" x14ac:dyDescent="0.25">
      <c r="B1450" s="75"/>
      <c r="C1450" s="75"/>
    </row>
    <row r="1451" spans="2:3" ht="14.1" customHeight="1" x14ac:dyDescent="0.25">
      <c r="B1451" s="75"/>
      <c r="C1451" s="75"/>
    </row>
    <row r="1452" spans="2:3" ht="14.1" customHeight="1" x14ac:dyDescent="0.25">
      <c r="B1452" s="75"/>
      <c r="C1452" s="75"/>
    </row>
    <row r="1453" spans="2:3" ht="14.1" customHeight="1" x14ac:dyDescent="0.25">
      <c r="B1453" s="75"/>
      <c r="C1453" s="75"/>
    </row>
    <row r="1454" spans="2:3" ht="14.1" customHeight="1" x14ac:dyDescent="0.25">
      <c r="B1454" s="75"/>
      <c r="C1454" s="75"/>
    </row>
    <row r="1455" spans="2:3" ht="14.1" customHeight="1" x14ac:dyDescent="0.25">
      <c r="B1455" s="75"/>
      <c r="C1455" s="75"/>
    </row>
    <row r="1456" spans="2:3" ht="14.1" customHeight="1" x14ac:dyDescent="0.25">
      <c r="B1456" s="75"/>
      <c r="C1456" s="75"/>
    </row>
    <row r="1457" spans="2:3" ht="14.1" customHeight="1" x14ac:dyDescent="0.25">
      <c r="B1457" s="75"/>
      <c r="C1457" s="75"/>
    </row>
    <row r="1458" spans="2:3" ht="14.1" customHeight="1" x14ac:dyDescent="0.25">
      <c r="B1458" s="75"/>
      <c r="C1458" s="75"/>
    </row>
    <row r="1459" spans="2:3" ht="14.1" customHeight="1" x14ac:dyDescent="0.25">
      <c r="B1459" s="75"/>
      <c r="C1459" s="75"/>
    </row>
    <row r="1460" spans="2:3" ht="14.1" customHeight="1" x14ac:dyDescent="0.25">
      <c r="B1460" s="75"/>
      <c r="C1460" s="75"/>
    </row>
    <row r="1461" spans="2:3" ht="14.1" customHeight="1" x14ac:dyDescent="0.25">
      <c r="B1461" s="75"/>
      <c r="C1461" s="75"/>
    </row>
    <row r="1462" spans="2:3" ht="14.1" customHeight="1" x14ac:dyDescent="0.25">
      <c r="B1462" s="75"/>
      <c r="C1462" s="75"/>
    </row>
    <row r="1463" spans="2:3" ht="14.1" customHeight="1" x14ac:dyDescent="0.25">
      <c r="B1463" s="75"/>
      <c r="C1463" s="75"/>
    </row>
    <row r="1464" spans="2:3" ht="14.1" customHeight="1" x14ac:dyDescent="0.25">
      <c r="B1464" s="75"/>
      <c r="C1464" s="75"/>
    </row>
    <row r="1465" spans="2:3" ht="14.1" customHeight="1" x14ac:dyDescent="0.25">
      <c r="B1465" s="75"/>
      <c r="C1465" s="75"/>
    </row>
    <row r="1466" spans="2:3" ht="14.1" customHeight="1" x14ac:dyDescent="0.25">
      <c r="B1466" s="75"/>
      <c r="C1466" s="75"/>
    </row>
    <row r="1467" spans="2:3" ht="14.1" customHeight="1" x14ac:dyDescent="0.25">
      <c r="B1467" s="75"/>
      <c r="C1467" s="75"/>
    </row>
    <row r="1468" spans="2:3" ht="14.1" customHeight="1" x14ac:dyDescent="0.25">
      <c r="B1468" s="75"/>
      <c r="C1468" s="75"/>
    </row>
    <row r="1469" spans="2:3" ht="14.1" customHeight="1" x14ac:dyDescent="0.25">
      <c r="B1469" s="75"/>
      <c r="C1469" s="75"/>
    </row>
    <row r="1470" spans="2:3" ht="14.1" customHeight="1" x14ac:dyDescent="0.25">
      <c r="B1470" s="75"/>
      <c r="C1470" s="75"/>
    </row>
    <row r="1471" spans="2:3" ht="14.1" customHeight="1" x14ac:dyDescent="0.25">
      <c r="B1471" s="75"/>
      <c r="C1471" s="75"/>
    </row>
    <row r="1472" spans="2:3" ht="14.1" customHeight="1" x14ac:dyDescent="0.25">
      <c r="B1472" s="75"/>
      <c r="C1472" s="75"/>
    </row>
    <row r="1473" spans="2:3" ht="14.1" customHeight="1" x14ac:dyDescent="0.25">
      <c r="B1473" s="75"/>
      <c r="C1473" s="75"/>
    </row>
    <row r="1474" spans="2:3" ht="14.1" customHeight="1" x14ac:dyDescent="0.25">
      <c r="B1474" s="75"/>
      <c r="C1474" s="75"/>
    </row>
    <row r="1475" spans="2:3" ht="14.1" customHeight="1" x14ac:dyDescent="0.25">
      <c r="B1475" s="75"/>
      <c r="C1475" s="75"/>
    </row>
    <row r="1476" spans="2:3" ht="14.1" customHeight="1" x14ac:dyDescent="0.25">
      <c r="B1476" s="75"/>
      <c r="C1476" s="75"/>
    </row>
    <row r="1477" spans="2:3" ht="14.1" customHeight="1" x14ac:dyDescent="0.25">
      <c r="B1477" s="75"/>
      <c r="C1477" s="75"/>
    </row>
    <row r="1478" spans="2:3" ht="14.1" customHeight="1" x14ac:dyDescent="0.25">
      <c r="B1478" s="75"/>
      <c r="C1478" s="75"/>
    </row>
    <row r="1479" spans="2:3" ht="14.1" customHeight="1" x14ac:dyDescent="0.25">
      <c r="B1479" s="75"/>
      <c r="C1479" s="75"/>
    </row>
    <row r="1480" spans="2:3" ht="14.1" customHeight="1" x14ac:dyDescent="0.25">
      <c r="B1480" s="75"/>
      <c r="C1480" s="75"/>
    </row>
    <row r="1481" spans="2:3" ht="14.1" customHeight="1" x14ac:dyDescent="0.25">
      <c r="B1481" s="75"/>
      <c r="C1481" s="75"/>
    </row>
    <row r="1482" spans="2:3" ht="14.1" customHeight="1" x14ac:dyDescent="0.25">
      <c r="B1482" s="75"/>
      <c r="C1482" s="75"/>
    </row>
    <row r="1483" spans="2:3" ht="14.1" customHeight="1" x14ac:dyDescent="0.25">
      <c r="B1483" s="75"/>
      <c r="C1483" s="75"/>
    </row>
    <row r="1484" spans="2:3" ht="14.1" customHeight="1" x14ac:dyDescent="0.25">
      <c r="B1484" s="75"/>
      <c r="C1484" s="75"/>
    </row>
    <row r="1485" spans="2:3" ht="14.1" customHeight="1" x14ac:dyDescent="0.25">
      <c r="B1485" s="75"/>
      <c r="C1485" s="75"/>
    </row>
    <row r="1486" spans="2:3" ht="14.1" customHeight="1" x14ac:dyDescent="0.25">
      <c r="B1486" s="75"/>
      <c r="C1486" s="75"/>
    </row>
    <row r="1487" spans="2:3" ht="14.1" customHeight="1" x14ac:dyDescent="0.25">
      <c r="B1487" s="75"/>
      <c r="C1487" s="75"/>
    </row>
    <row r="1488" spans="2:3" ht="14.1" customHeight="1" x14ac:dyDescent="0.25">
      <c r="B1488" s="75"/>
      <c r="C1488" s="75"/>
    </row>
    <row r="1489" spans="2:3" ht="14.1" customHeight="1" x14ac:dyDescent="0.25">
      <c r="B1489" s="75"/>
      <c r="C1489" s="75"/>
    </row>
    <row r="1490" spans="2:3" ht="14.1" customHeight="1" x14ac:dyDescent="0.25">
      <c r="B1490" s="75"/>
      <c r="C1490" s="75"/>
    </row>
    <row r="1491" spans="2:3" ht="14.1" customHeight="1" x14ac:dyDescent="0.25">
      <c r="B1491" s="75"/>
      <c r="C1491" s="75"/>
    </row>
    <row r="1492" spans="2:3" ht="14.1" customHeight="1" x14ac:dyDescent="0.25">
      <c r="B1492" s="75"/>
      <c r="C1492" s="75"/>
    </row>
    <row r="1493" spans="2:3" ht="14.1" customHeight="1" x14ac:dyDescent="0.25">
      <c r="B1493" s="75"/>
      <c r="C1493" s="75"/>
    </row>
    <row r="1494" spans="2:3" ht="14.1" customHeight="1" x14ac:dyDescent="0.25">
      <c r="B1494" s="75"/>
      <c r="C1494" s="75"/>
    </row>
    <row r="1495" spans="2:3" ht="14.1" customHeight="1" x14ac:dyDescent="0.25">
      <c r="B1495" s="75"/>
      <c r="C1495" s="75"/>
    </row>
    <row r="1496" spans="2:3" ht="14.1" customHeight="1" x14ac:dyDescent="0.25">
      <c r="B1496" s="75"/>
      <c r="C1496" s="75"/>
    </row>
    <row r="1497" spans="2:3" ht="14.1" customHeight="1" x14ac:dyDescent="0.25">
      <c r="B1497" s="75"/>
      <c r="C1497" s="75"/>
    </row>
    <row r="1498" spans="2:3" ht="14.1" customHeight="1" x14ac:dyDescent="0.25">
      <c r="B1498" s="75"/>
      <c r="C1498" s="75"/>
    </row>
    <row r="1499" spans="2:3" ht="14.1" customHeight="1" x14ac:dyDescent="0.25">
      <c r="B1499" s="75"/>
      <c r="C1499" s="75"/>
    </row>
    <row r="1500" spans="2:3" ht="14.1" customHeight="1" x14ac:dyDescent="0.25">
      <c r="B1500" s="75"/>
      <c r="C1500" s="75"/>
    </row>
    <row r="1501" spans="2:3" ht="14.1" customHeight="1" x14ac:dyDescent="0.25">
      <c r="B1501" s="75"/>
      <c r="C1501" s="75"/>
    </row>
    <row r="1502" spans="2:3" ht="14.1" customHeight="1" x14ac:dyDescent="0.25">
      <c r="B1502" s="75"/>
      <c r="C1502" s="75"/>
    </row>
    <row r="1503" spans="2:3" ht="14.1" customHeight="1" x14ac:dyDescent="0.25">
      <c r="B1503" s="75"/>
      <c r="C1503" s="75"/>
    </row>
    <row r="1504" spans="2:3" ht="14.1" customHeight="1" x14ac:dyDescent="0.25">
      <c r="B1504" s="75"/>
      <c r="C1504" s="75"/>
    </row>
    <row r="1505" spans="2:3" ht="14.1" customHeight="1" x14ac:dyDescent="0.25">
      <c r="B1505" s="75"/>
      <c r="C1505" s="75"/>
    </row>
    <row r="1506" spans="2:3" ht="14.1" customHeight="1" x14ac:dyDescent="0.25">
      <c r="B1506" s="75"/>
      <c r="C1506" s="75"/>
    </row>
    <row r="1507" spans="2:3" ht="14.1" customHeight="1" x14ac:dyDescent="0.25">
      <c r="B1507" s="75"/>
      <c r="C1507" s="75"/>
    </row>
    <row r="1508" spans="2:3" ht="14.1" customHeight="1" x14ac:dyDescent="0.25">
      <c r="B1508" s="75"/>
      <c r="C1508" s="75"/>
    </row>
    <row r="1509" spans="2:3" ht="14.1" customHeight="1" x14ac:dyDescent="0.25">
      <c r="B1509" s="75"/>
      <c r="C1509" s="75"/>
    </row>
    <row r="1510" spans="2:3" ht="14.1" customHeight="1" x14ac:dyDescent="0.25">
      <c r="B1510" s="75"/>
      <c r="C1510" s="75"/>
    </row>
    <row r="1511" spans="2:3" ht="14.1" customHeight="1" x14ac:dyDescent="0.25">
      <c r="B1511" s="75"/>
      <c r="C1511" s="75"/>
    </row>
    <row r="1512" spans="2:3" ht="14.1" customHeight="1" x14ac:dyDescent="0.25">
      <c r="B1512" s="75"/>
      <c r="C1512" s="75"/>
    </row>
    <row r="1513" spans="2:3" ht="14.1" customHeight="1" x14ac:dyDescent="0.25">
      <c r="B1513" s="75"/>
      <c r="C1513" s="75"/>
    </row>
    <row r="1514" spans="2:3" ht="14.1" customHeight="1" x14ac:dyDescent="0.25">
      <c r="B1514" s="75"/>
      <c r="C1514" s="75"/>
    </row>
    <row r="1515" spans="2:3" ht="14.1" customHeight="1" x14ac:dyDescent="0.25">
      <c r="B1515" s="75"/>
      <c r="C1515" s="75"/>
    </row>
    <row r="1516" spans="2:3" ht="14.1" customHeight="1" x14ac:dyDescent="0.25">
      <c r="B1516" s="75"/>
      <c r="C1516" s="75"/>
    </row>
    <row r="1517" spans="2:3" ht="14.1" customHeight="1" x14ac:dyDescent="0.25">
      <c r="B1517" s="75"/>
      <c r="C1517" s="75"/>
    </row>
    <row r="1518" spans="2:3" ht="14.1" customHeight="1" x14ac:dyDescent="0.25">
      <c r="B1518" s="75"/>
      <c r="C1518" s="75"/>
    </row>
    <row r="1519" spans="2:3" ht="14.1" customHeight="1" x14ac:dyDescent="0.25">
      <c r="B1519" s="75"/>
      <c r="C1519" s="75"/>
    </row>
    <row r="1520" spans="2:3" ht="14.1" customHeight="1" x14ac:dyDescent="0.25">
      <c r="B1520" s="75"/>
      <c r="C1520" s="75"/>
    </row>
    <row r="1521" spans="2:3" ht="14.1" customHeight="1" x14ac:dyDescent="0.25">
      <c r="B1521" s="75"/>
      <c r="C1521" s="75"/>
    </row>
    <row r="1522" spans="2:3" ht="14.1" customHeight="1" x14ac:dyDescent="0.25">
      <c r="B1522" s="75"/>
      <c r="C1522" s="75"/>
    </row>
    <row r="1523" spans="2:3" ht="14.1" customHeight="1" x14ac:dyDescent="0.25">
      <c r="B1523" s="75"/>
      <c r="C1523" s="75"/>
    </row>
    <row r="1524" spans="2:3" ht="14.1" customHeight="1" x14ac:dyDescent="0.25">
      <c r="B1524" s="75"/>
      <c r="C1524" s="75"/>
    </row>
    <row r="1525" spans="2:3" ht="14.1" customHeight="1" x14ac:dyDescent="0.25">
      <c r="B1525" s="75"/>
      <c r="C1525" s="75"/>
    </row>
    <row r="1526" spans="2:3" ht="14.1" customHeight="1" x14ac:dyDescent="0.25">
      <c r="B1526" s="75"/>
      <c r="C1526" s="75"/>
    </row>
    <row r="1527" spans="2:3" ht="14.1" customHeight="1" x14ac:dyDescent="0.25">
      <c r="B1527" s="75"/>
      <c r="C1527" s="75"/>
    </row>
    <row r="1528" spans="2:3" ht="14.1" customHeight="1" x14ac:dyDescent="0.25">
      <c r="B1528" s="75"/>
      <c r="C1528" s="75"/>
    </row>
    <row r="1529" spans="2:3" ht="14.1" customHeight="1" x14ac:dyDescent="0.25">
      <c r="B1529" s="75"/>
      <c r="C1529" s="75"/>
    </row>
    <row r="1530" spans="2:3" ht="14.1" customHeight="1" x14ac:dyDescent="0.25">
      <c r="B1530" s="75"/>
      <c r="C1530" s="75"/>
    </row>
    <row r="1531" spans="2:3" ht="14.1" customHeight="1" x14ac:dyDescent="0.25">
      <c r="B1531" s="75"/>
      <c r="C1531" s="75"/>
    </row>
    <row r="1532" spans="2:3" ht="14.1" customHeight="1" x14ac:dyDescent="0.25">
      <c r="B1532" s="75"/>
      <c r="C1532" s="75"/>
    </row>
    <row r="1533" spans="2:3" ht="14.1" customHeight="1" x14ac:dyDescent="0.25">
      <c r="B1533" s="75"/>
      <c r="C1533" s="75"/>
    </row>
    <row r="1534" spans="2:3" ht="14.1" customHeight="1" x14ac:dyDescent="0.25">
      <c r="B1534" s="75"/>
      <c r="C1534" s="75"/>
    </row>
    <row r="1535" spans="2:3" ht="14.1" customHeight="1" x14ac:dyDescent="0.25">
      <c r="B1535" s="75"/>
      <c r="C1535" s="75"/>
    </row>
    <row r="1536" spans="2:3" ht="14.1" customHeight="1" x14ac:dyDescent="0.25">
      <c r="B1536" s="75"/>
      <c r="C1536" s="75"/>
    </row>
    <row r="1537" spans="2:3" ht="14.1" customHeight="1" x14ac:dyDescent="0.25">
      <c r="B1537" s="75"/>
      <c r="C1537" s="75"/>
    </row>
    <row r="1538" spans="2:3" ht="14.1" customHeight="1" x14ac:dyDescent="0.25">
      <c r="B1538" s="75"/>
      <c r="C1538" s="75"/>
    </row>
    <row r="1539" spans="2:3" ht="14.1" customHeight="1" x14ac:dyDescent="0.25">
      <c r="B1539" s="75"/>
      <c r="C1539" s="75"/>
    </row>
    <row r="1540" spans="2:3" ht="14.1" customHeight="1" x14ac:dyDescent="0.25">
      <c r="B1540" s="75"/>
      <c r="C1540" s="75"/>
    </row>
    <row r="1541" spans="2:3" ht="14.1" customHeight="1" x14ac:dyDescent="0.25">
      <c r="B1541" s="75"/>
      <c r="C1541" s="75"/>
    </row>
    <row r="1542" spans="2:3" ht="14.1" customHeight="1" x14ac:dyDescent="0.25">
      <c r="B1542" s="75"/>
      <c r="C1542" s="75"/>
    </row>
    <row r="1543" spans="2:3" ht="14.1" customHeight="1" x14ac:dyDescent="0.25">
      <c r="B1543" s="75"/>
      <c r="C1543" s="75"/>
    </row>
    <row r="1544" spans="2:3" ht="14.1" customHeight="1" x14ac:dyDescent="0.25">
      <c r="B1544" s="75"/>
      <c r="C1544" s="75"/>
    </row>
    <row r="1545" spans="2:3" ht="14.1" customHeight="1" x14ac:dyDescent="0.25">
      <c r="B1545" s="75"/>
      <c r="C1545" s="75"/>
    </row>
    <row r="1546" spans="2:3" ht="14.1" customHeight="1" x14ac:dyDescent="0.25">
      <c r="B1546" s="75"/>
      <c r="C1546" s="75"/>
    </row>
    <row r="1547" spans="2:3" ht="14.1" customHeight="1" x14ac:dyDescent="0.25">
      <c r="B1547" s="75"/>
      <c r="C1547" s="75"/>
    </row>
    <row r="1548" spans="2:3" ht="14.1" customHeight="1" x14ac:dyDescent="0.25">
      <c r="B1548" s="75"/>
      <c r="C1548" s="75"/>
    </row>
    <row r="1549" spans="2:3" ht="14.1" customHeight="1" x14ac:dyDescent="0.25">
      <c r="B1549" s="75"/>
      <c r="C1549" s="75"/>
    </row>
    <row r="1550" spans="2:3" ht="14.1" customHeight="1" x14ac:dyDescent="0.25">
      <c r="B1550" s="75"/>
      <c r="C1550" s="75"/>
    </row>
    <row r="1551" spans="2:3" ht="14.1" customHeight="1" x14ac:dyDescent="0.25">
      <c r="B1551" s="75"/>
      <c r="C1551" s="75"/>
    </row>
    <row r="1552" spans="2:3" ht="14.1" customHeight="1" x14ac:dyDescent="0.25">
      <c r="B1552" s="75"/>
      <c r="C1552" s="75"/>
    </row>
    <row r="1553" spans="2:3" ht="14.1" customHeight="1" x14ac:dyDescent="0.25">
      <c r="B1553" s="75"/>
      <c r="C1553" s="75"/>
    </row>
    <row r="1554" spans="2:3" ht="14.1" customHeight="1" x14ac:dyDescent="0.25">
      <c r="B1554" s="75"/>
      <c r="C1554" s="75"/>
    </row>
    <row r="1555" spans="2:3" ht="14.1" customHeight="1" x14ac:dyDescent="0.25">
      <c r="B1555" s="75"/>
      <c r="C1555" s="75"/>
    </row>
    <row r="1556" spans="2:3" ht="14.1" customHeight="1" x14ac:dyDescent="0.25">
      <c r="B1556" s="75"/>
      <c r="C1556" s="75"/>
    </row>
    <row r="1557" spans="2:3" ht="14.1" customHeight="1" x14ac:dyDescent="0.25">
      <c r="B1557" s="75"/>
      <c r="C1557" s="75"/>
    </row>
    <row r="1558" spans="2:3" ht="14.1" customHeight="1" x14ac:dyDescent="0.25">
      <c r="B1558" s="75"/>
      <c r="C1558" s="75"/>
    </row>
    <row r="1559" spans="2:3" ht="14.1" customHeight="1" x14ac:dyDescent="0.25">
      <c r="B1559" s="75"/>
      <c r="C1559" s="75"/>
    </row>
    <row r="1560" spans="2:3" ht="14.1" customHeight="1" x14ac:dyDescent="0.25">
      <c r="B1560" s="75"/>
      <c r="C1560" s="75"/>
    </row>
    <row r="1561" spans="2:3" ht="14.1" customHeight="1" x14ac:dyDescent="0.25">
      <c r="B1561" s="75"/>
      <c r="C1561" s="75"/>
    </row>
    <row r="1562" spans="2:3" ht="14.1" customHeight="1" x14ac:dyDescent="0.25">
      <c r="B1562" s="75"/>
      <c r="C1562" s="75"/>
    </row>
    <row r="1563" spans="2:3" ht="14.1" customHeight="1" x14ac:dyDescent="0.25">
      <c r="B1563" s="75"/>
      <c r="C1563" s="75"/>
    </row>
    <row r="1564" spans="2:3" ht="14.1" customHeight="1" x14ac:dyDescent="0.25">
      <c r="B1564" s="75"/>
      <c r="C1564" s="75"/>
    </row>
    <row r="1565" spans="2:3" ht="14.1" customHeight="1" x14ac:dyDescent="0.25">
      <c r="B1565" s="75"/>
      <c r="C1565" s="75"/>
    </row>
    <row r="1566" spans="2:3" ht="14.1" customHeight="1" x14ac:dyDescent="0.25">
      <c r="B1566" s="75"/>
      <c r="C1566" s="75"/>
    </row>
    <row r="1567" spans="2:3" ht="14.1" customHeight="1" x14ac:dyDescent="0.25">
      <c r="B1567" s="75"/>
      <c r="C1567" s="75"/>
    </row>
    <row r="1568" spans="2:3" ht="14.1" customHeight="1" x14ac:dyDescent="0.25">
      <c r="B1568" s="75"/>
      <c r="C1568" s="75"/>
    </row>
    <row r="1569" spans="2:3" ht="14.1" customHeight="1" x14ac:dyDescent="0.25">
      <c r="B1569" s="75"/>
      <c r="C1569" s="75"/>
    </row>
    <row r="1570" spans="2:3" ht="14.1" customHeight="1" x14ac:dyDescent="0.25">
      <c r="B1570" s="75"/>
      <c r="C1570" s="75"/>
    </row>
    <row r="1571" spans="2:3" ht="14.1" customHeight="1" x14ac:dyDescent="0.25">
      <c r="B1571" s="75"/>
      <c r="C1571" s="75"/>
    </row>
    <row r="1572" spans="2:3" ht="14.1" customHeight="1" x14ac:dyDescent="0.25">
      <c r="B1572" s="75"/>
      <c r="C1572" s="75"/>
    </row>
    <row r="1573" spans="2:3" ht="14.1" customHeight="1" x14ac:dyDescent="0.25">
      <c r="B1573" s="75"/>
      <c r="C1573" s="75"/>
    </row>
    <row r="1574" spans="2:3" ht="14.1" customHeight="1" x14ac:dyDescent="0.25">
      <c r="B1574" s="75"/>
      <c r="C1574" s="75"/>
    </row>
    <row r="1575" spans="2:3" ht="14.1" customHeight="1" x14ac:dyDescent="0.25">
      <c r="B1575" s="75"/>
      <c r="C1575" s="75"/>
    </row>
    <row r="1576" spans="2:3" ht="14.1" customHeight="1" x14ac:dyDescent="0.25">
      <c r="B1576" s="75"/>
      <c r="C1576" s="75"/>
    </row>
    <row r="1577" spans="2:3" ht="14.1" customHeight="1" x14ac:dyDescent="0.25">
      <c r="B1577" s="75"/>
      <c r="C1577" s="75"/>
    </row>
    <row r="1578" spans="2:3" ht="14.1" customHeight="1" x14ac:dyDescent="0.25">
      <c r="B1578" s="75"/>
      <c r="C1578" s="75"/>
    </row>
    <row r="1579" spans="2:3" ht="14.1" customHeight="1" x14ac:dyDescent="0.25">
      <c r="B1579" s="75"/>
      <c r="C1579" s="75"/>
    </row>
    <row r="1580" spans="2:3" ht="14.1" customHeight="1" x14ac:dyDescent="0.25">
      <c r="B1580" s="75"/>
      <c r="C1580" s="75"/>
    </row>
    <row r="1581" spans="2:3" ht="14.1" customHeight="1" x14ac:dyDescent="0.25">
      <c r="B1581" s="75"/>
      <c r="C1581" s="75"/>
    </row>
    <row r="1582" spans="2:3" ht="14.1" customHeight="1" x14ac:dyDescent="0.25">
      <c r="B1582" s="75"/>
      <c r="C1582" s="75"/>
    </row>
    <row r="1583" spans="2:3" ht="14.1" customHeight="1" x14ac:dyDescent="0.25">
      <c r="B1583" s="75"/>
      <c r="C1583" s="75"/>
    </row>
    <row r="1584" spans="2:3" ht="14.1" customHeight="1" x14ac:dyDescent="0.25">
      <c r="B1584" s="75"/>
      <c r="C1584" s="75"/>
    </row>
    <row r="1585" spans="2:3" ht="14.1" customHeight="1" x14ac:dyDescent="0.25">
      <c r="B1585" s="75"/>
      <c r="C1585" s="75"/>
    </row>
    <row r="1586" spans="2:3" ht="14.1" customHeight="1" x14ac:dyDescent="0.25">
      <c r="B1586" s="75"/>
      <c r="C1586" s="75"/>
    </row>
    <row r="1587" spans="2:3" ht="14.1" customHeight="1" x14ac:dyDescent="0.25">
      <c r="B1587" s="75"/>
      <c r="C1587" s="75"/>
    </row>
    <row r="1588" spans="2:3" ht="14.1" customHeight="1" x14ac:dyDescent="0.25">
      <c r="B1588" s="75"/>
      <c r="C1588" s="75"/>
    </row>
    <row r="1589" spans="2:3" ht="14.1" customHeight="1" x14ac:dyDescent="0.25">
      <c r="B1589" s="75"/>
      <c r="C1589" s="75"/>
    </row>
    <row r="1590" spans="2:3" ht="14.1" customHeight="1" x14ac:dyDescent="0.25">
      <c r="B1590" s="75"/>
      <c r="C1590" s="75"/>
    </row>
    <row r="1591" spans="2:3" ht="14.1" customHeight="1" x14ac:dyDescent="0.25">
      <c r="B1591" s="75"/>
      <c r="C1591" s="75"/>
    </row>
    <row r="1592" spans="2:3" ht="14.1" customHeight="1" x14ac:dyDescent="0.25">
      <c r="B1592" s="75"/>
      <c r="C1592" s="75"/>
    </row>
    <row r="1593" spans="2:3" ht="14.1" customHeight="1" x14ac:dyDescent="0.25">
      <c r="B1593" s="75"/>
      <c r="C1593" s="75"/>
    </row>
    <row r="1594" spans="2:3" ht="14.1" customHeight="1" x14ac:dyDescent="0.25">
      <c r="B1594" s="75"/>
      <c r="C1594" s="75"/>
    </row>
    <row r="1595" spans="2:3" ht="14.1" customHeight="1" x14ac:dyDescent="0.25">
      <c r="B1595" s="75"/>
      <c r="C1595" s="75"/>
    </row>
    <row r="1596" spans="2:3" ht="14.1" customHeight="1" x14ac:dyDescent="0.25">
      <c r="B1596" s="75"/>
      <c r="C1596" s="75"/>
    </row>
    <row r="1597" spans="2:3" ht="14.1" customHeight="1" x14ac:dyDescent="0.25">
      <c r="B1597" s="75"/>
      <c r="C1597" s="75"/>
    </row>
    <row r="1598" spans="2:3" ht="14.1" customHeight="1" x14ac:dyDescent="0.25">
      <c r="B1598" s="75"/>
      <c r="C1598" s="75"/>
    </row>
    <row r="1599" spans="2:3" ht="14.1" customHeight="1" x14ac:dyDescent="0.25">
      <c r="B1599" s="75"/>
      <c r="C1599" s="75"/>
    </row>
    <row r="1600" spans="2:3" ht="14.1" customHeight="1" x14ac:dyDescent="0.25">
      <c r="B1600" s="75"/>
      <c r="C1600" s="75"/>
    </row>
    <row r="1601" spans="2:3" ht="14.1" customHeight="1" x14ac:dyDescent="0.25">
      <c r="B1601" s="75"/>
      <c r="C1601" s="75"/>
    </row>
    <row r="1602" spans="2:3" ht="14.1" customHeight="1" x14ac:dyDescent="0.25">
      <c r="B1602" s="75"/>
      <c r="C1602" s="75"/>
    </row>
    <row r="1603" spans="2:3" ht="14.1" customHeight="1" x14ac:dyDescent="0.25">
      <c r="B1603" s="75"/>
      <c r="C1603" s="75"/>
    </row>
    <row r="1604" spans="2:3" ht="14.1" customHeight="1" x14ac:dyDescent="0.25">
      <c r="B1604" s="75"/>
      <c r="C1604" s="75"/>
    </row>
    <row r="1605" spans="2:3" ht="14.1" customHeight="1" x14ac:dyDescent="0.25">
      <c r="B1605" s="75"/>
      <c r="C1605" s="75"/>
    </row>
    <row r="1606" spans="2:3" ht="14.1" customHeight="1" x14ac:dyDescent="0.25">
      <c r="B1606" s="75"/>
      <c r="C1606" s="75"/>
    </row>
    <row r="1607" spans="2:3" ht="14.1" customHeight="1" x14ac:dyDescent="0.25">
      <c r="B1607" s="75"/>
      <c r="C1607" s="75"/>
    </row>
    <row r="1608" spans="2:3" ht="14.1" customHeight="1" x14ac:dyDescent="0.25">
      <c r="B1608" s="75"/>
      <c r="C1608" s="75"/>
    </row>
    <row r="1609" spans="2:3" ht="14.1" customHeight="1" x14ac:dyDescent="0.25">
      <c r="B1609" s="75"/>
      <c r="C1609" s="75"/>
    </row>
    <row r="1610" spans="2:3" ht="14.1" customHeight="1" x14ac:dyDescent="0.25">
      <c r="B1610" s="75"/>
      <c r="C1610" s="75"/>
    </row>
    <row r="1611" spans="2:3" ht="14.1" customHeight="1" x14ac:dyDescent="0.25">
      <c r="B1611" s="75"/>
      <c r="C1611" s="75"/>
    </row>
    <row r="1612" spans="2:3" ht="14.1" customHeight="1" x14ac:dyDescent="0.25">
      <c r="B1612" s="75"/>
      <c r="C1612" s="75"/>
    </row>
    <row r="1613" spans="2:3" ht="14.1" customHeight="1" x14ac:dyDescent="0.25">
      <c r="B1613" s="75"/>
      <c r="C1613" s="75"/>
    </row>
    <row r="1614" spans="2:3" ht="14.1" customHeight="1" x14ac:dyDescent="0.25">
      <c r="B1614" s="75"/>
      <c r="C1614" s="75"/>
    </row>
    <row r="1615" spans="2:3" ht="14.1" customHeight="1" x14ac:dyDescent="0.25">
      <c r="B1615" s="75"/>
      <c r="C1615" s="75"/>
    </row>
    <row r="1616" spans="2:3" ht="14.1" customHeight="1" x14ac:dyDescent="0.25">
      <c r="B1616" s="75"/>
      <c r="C1616" s="75"/>
    </row>
    <row r="1617" spans="2:3" ht="14.1" customHeight="1" x14ac:dyDescent="0.25">
      <c r="B1617" s="75"/>
      <c r="C1617" s="75"/>
    </row>
    <row r="1618" spans="2:3" ht="14.1" customHeight="1" x14ac:dyDescent="0.25">
      <c r="B1618" s="75"/>
      <c r="C1618" s="75"/>
    </row>
    <row r="1619" spans="2:3" ht="14.1" customHeight="1" x14ac:dyDescent="0.25">
      <c r="B1619" s="75"/>
      <c r="C1619" s="75"/>
    </row>
    <row r="1620" spans="2:3" ht="14.1" customHeight="1" x14ac:dyDescent="0.25">
      <c r="B1620" s="75"/>
      <c r="C1620" s="75"/>
    </row>
    <row r="1621" spans="2:3" ht="14.1" customHeight="1" x14ac:dyDescent="0.25">
      <c r="B1621" s="75"/>
      <c r="C1621" s="75"/>
    </row>
    <row r="1622" spans="2:3" ht="14.1" customHeight="1" x14ac:dyDescent="0.25">
      <c r="B1622" s="75"/>
      <c r="C1622" s="75"/>
    </row>
    <row r="1623" spans="2:3" ht="14.1" customHeight="1" x14ac:dyDescent="0.25">
      <c r="B1623" s="75"/>
      <c r="C1623" s="75"/>
    </row>
    <row r="1624" spans="2:3" ht="14.1" customHeight="1" x14ac:dyDescent="0.25">
      <c r="B1624" s="75"/>
      <c r="C1624" s="75"/>
    </row>
    <row r="1625" spans="2:3" ht="14.1" customHeight="1" x14ac:dyDescent="0.25">
      <c r="B1625" s="75"/>
      <c r="C1625" s="75"/>
    </row>
    <row r="1626" spans="2:3" ht="14.1" customHeight="1" x14ac:dyDescent="0.25">
      <c r="B1626" s="75"/>
      <c r="C1626" s="75"/>
    </row>
    <row r="1627" spans="2:3" ht="14.1" customHeight="1" x14ac:dyDescent="0.25">
      <c r="B1627" s="75"/>
      <c r="C1627" s="75"/>
    </row>
    <row r="1628" spans="2:3" ht="14.1" customHeight="1" x14ac:dyDescent="0.25">
      <c r="B1628" s="75"/>
      <c r="C1628" s="75"/>
    </row>
    <row r="1629" spans="2:3" ht="14.1" customHeight="1" x14ac:dyDescent="0.25">
      <c r="B1629" s="75"/>
      <c r="C1629" s="75"/>
    </row>
    <row r="1630" spans="2:3" ht="14.1" customHeight="1" x14ac:dyDescent="0.25">
      <c r="B1630" s="75"/>
      <c r="C1630" s="75"/>
    </row>
    <row r="1631" spans="2:3" ht="14.1" customHeight="1" x14ac:dyDescent="0.25">
      <c r="B1631" s="75"/>
      <c r="C1631" s="75"/>
    </row>
    <row r="1632" spans="2:3" ht="14.1" customHeight="1" x14ac:dyDescent="0.25">
      <c r="B1632" s="75"/>
      <c r="C1632" s="75"/>
    </row>
    <row r="1633" spans="2:3" ht="14.1" customHeight="1" x14ac:dyDescent="0.25">
      <c r="B1633" s="75"/>
      <c r="C1633" s="75"/>
    </row>
    <row r="1634" spans="2:3" ht="14.1" customHeight="1" x14ac:dyDescent="0.25">
      <c r="B1634" s="75"/>
      <c r="C1634" s="75"/>
    </row>
    <row r="1635" spans="2:3" ht="14.1" customHeight="1" x14ac:dyDescent="0.25">
      <c r="B1635" s="75"/>
      <c r="C1635" s="75"/>
    </row>
    <row r="1636" spans="2:3" ht="14.1" customHeight="1" x14ac:dyDescent="0.25">
      <c r="B1636" s="75"/>
      <c r="C1636" s="75"/>
    </row>
    <row r="1637" spans="2:3" ht="14.1" customHeight="1" x14ac:dyDescent="0.25">
      <c r="B1637" s="75"/>
      <c r="C1637" s="75"/>
    </row>
    <row r="1638" spans="2:3" ht="14.1" customHeight="1" x14ac:dyDescent="0.25">
      <c r="B1638" s="75"/>
      <c r="C1638" s="75"/>
    </row>
    <row r="1639" spans="2:3" ht="14.1" customHeight="1" x14ac:dyDescent="0.25">
      <c r="B1639" s="75"/>
      <c r="C1639" s="75"/>
    </row>
    <row r="1640" spans="2:3" ht="14.1" customHeight="1" x14ac:dyDescent="0.25">
      <c r="B1640" s="75"/>
      <c r="C1640" s="75"/>
    </row>
    <row r="1641" spans="2:3" ht="14.1" customHeight="1" x14ac:dyDescent="0.25">
      <c r="B1641" s="75"/>
      <c r="C1641" s="75"/>
    </row>
    <row r="1642" spans="2:3" ht="14.1" customHeight="1" x14ac:dyDescent="0.25">
      <c r="B1642" s="75"/>
      <c r="C1642" s="75"/>
    </row>
    <row r="1643" spans="2:3" ht="14.1" customHeight="1" x14ac:dyDescent="0.25">
      <c r="B1643" s="75"/>
      <c r="C1643" s="75"/>
    </row>
    <row r="1644" spans="2:3" ht="14.1" customHeight="1" x14ac:dyDescent="0.25">
      <c r="B1644" s="75"/>
      <c r="C1644" s="75"/>
    </row>
    <row r="1645" spans="2:3" ht="14.1" customHeight="1" x14ac:dyDescent="0.25">
      <c r="B1645" s="75"/>
      <c r="C1645" s="75"/>
    </row>
    <row r="1646" spans="2:3" ht="14.1" customHeight="1" x14ac:dyDescent="0.25">
      <c r="B1646" s="75"/>
      <c r="C1646" s="75"/>
    </row>
    <row r="1647" spans="2:3" ht="14.1" customHeight="1" x14ac:dyDescent="0.25">
      <c r="B1647" s="75"/>
      <c r="C1647" s="75"/>
    </row>
    <row r="1648" spans="2:3" ht="14.1" customHeight="1" x14ac:dyDescent="0.25">
      <c r="B1648" s="75"/>
      <c r="C1648" s="75"/>
    </row>
    <row r="1649" spans="2:3" ht="14.1" customHeight="1" x14ac:dyDescent="0.25">
      <c r="B1649" s="75"/>
      <c r="C1649" s="75"/>
    </row>
    <row r="1650" spans="2:3" ht="14.1" customHeight="1" x14ac:dyDescent="0.25">
      <c r="B1650" s="75"/>
      <c r="C1650" s="75"/>
    </row>
    <row r="1651" spans="2:3" ht="14.1" customHeight="1" x14ac:dyDescent="0.25">
      <c r="B1651" s="75"/>
      <c r="C1651" s="75"/>
    </row>
    <row r="1652" spans="2:3" ht="14.1" customHeight="1" x14ac:dyDescent="0.25">
      <c r="B1652" s="75"/>
      <c r="C1652" s="75"/>
    </row>
    <row r="1653" spans="2:3" ht="14.1" customHeight="1" x14ac:dyDescent="0.25">
      <c r="B1653" s="75"/>
      <c r="C1653" s="75"/>
    </row>
    <row r="1654" spans="2:3" ht="14.1" customHeight="1" x14ac:dyDescent="0.25">
      <c r="B1654" s="75"/>
      <c r="C1654" s="75"/>
    </row>
    <row r="1655" spans="2:3" ht="14.1" customHeight="1" x14ac:dyDescent="0.25">
      <c r="B1655" s="75"/>
      <c r="C1655" s="75"/>
    </row>
    <row r="1656" spans="2:3" ht="14.1" customHeight="1" x14ac:dyDescent="0.25">
      <c r="B1656" s="75"/>
      <c r="C1656" s="75"/>
    </row>
    <row r="1657" spans="2:3" ht="14.1" customHeight="1" x14ac:dyDescent="0.25">
      <c r="B1657" s="75"/>
      <c r="C1657" s="75"/>
    </row>
    <row r="1658" spans="2:3" ht="14.1" customHeight="1" x14ac:dyDescent="0.25">
      <c r="B1658" s="75"/>
      <c r="C1658" s="75"/>
    </row>
    <row r="1659" spans="2:3" ht="14.1" customHeight="1" x14ac:dyDescent="0.25">
      <c r="B1659" s="75"/>
      <c r="C1659" s="75"/>
    </row>
    <row r="1660" spans="2:3" ht="14.1" customHeight="1" x14ac:dyDescent="0.25">
      <c r="B1660" s="75"/>
      <c r="C1660" s="75"/>
    </row>
    <row r="1661" spans="2:3" ht="14.1" customHeight="1" x14ac:dyDescent="0.25">
      <c r="B1661" s="75"/>
      <c r="C1661" s="75"/>
    </row>
    <row r="1662" spans="2:3" ht="14.1" customHeight="1" x14ac:dyDescent="0.25">
      <c r="B1662" s="75"/>
      <c r="C1662" s="75"/>
    </row>
    <row r="1663" spans="2:3" ht="14.1" customHeight="1" x14ac:dyDescent="0.25">
      <c r="B1663" s="75"/>
      <c r="C1663" s="75"/>
    </row>
    <row r="1664" spans="2:3" ht="14.1" customHeight="1" x14ac:dyDescent="0.25">
      <c r="B1664" s="75"/>
      <c r="C1664" s="75"/>
    </row>
    <row r="1665" spans="2:3" ht="14.1" customHeight="1" x14ac:dyDescent="0.25">
      <c r="B1665" s="75"/>
      <c r="C1665" s="75"/>
    </row>
    <row r="1666" spans="2:3" ht="14.1" customHeight="1" x14ac:dyDescent="0.25">
      <c r="B1666" s="75"/>
      <c r="C1666" s="75"/>
    </row>
    <row r="1667" spans="2:3" ht="14.1" customHeight="1" x14ac:dyDescent="0.25">
      <c r="B1667" s="75"/>
      <c r="C1667" s="75"/>
    </row>
    <row r="1668" spans="2:3" ht="14.1" customHeight="1" x14ac:dyDescent="0.25">
      <c r="B1668" s="75"/>
      <c r="C1668" s="75"/>
    </row>
    <row r="1669" spans="2:3" ht="14.1" customHeight="1" x14ac:dyDescent="0.25">
      <c r="B1669" s="75"/>
      <c r="C1669" s="75"/>
    </row>
    <row r="1670" spans="2:3" ht="14.1" customHeight="1" x14ac:dyDescent="0.25">
      <c r="B1670" s="75"/>
      <c r="C1670" s="75"/>
    </row>
    <row r="1671" spans="2:3" ht="14.1" customHeight="1" x14ac:dyDescent="0.25">
      <c r="B1671" s="75"/>
      <c r="C1671" s="75"/>
    </row>
    <row r="1672" spans="2:3" ht="14.1" customHeight="1" x14ac:dyDescent="0.25">
      <c r="B1672" s="75"/>
      <c r="C1672" s="75"/>
    </row>
    <row r="1673" spans="2:3" ht="14.1" customHeight="1" x14ac:dyDescent="0.25">
      <c r="B1673" s="75"/>
      <c r="C1673" s="75"/>
    </row>
    <row r="1674" spans="2:3" ht="14.1" customHeight="1" x14ac:dyDescent="0.25">
      <c r="B1674" s="75"/>
      <c r="C1674" s="75"/>
    </row>
    <row r="1675" spans="2:3" ht="14.1" customHeight="1" x14ac:dyDescent="0.25">
      <c r="B1675" s="75"/>
      <c r="C1675" s="75"/>
    </row>
    <row r="1676" spans="2:3" ht="14.1" customHeight="1" x14ac:dyDescent="0.25">
      <c r="B1676" s="75"/>
      <c r="C1676" s="75"/>
    </row>
    <row r="1677" spans="2:3" ht="14.1" customHeight="1" x14ac:dyDescent="0.25">
      <c r="B1677" s="75"/>
      <c r="C1677" s="75"/>
    </row>
    <row r="1678" spans="2:3" ht="14.1" customHeight="1" x14ac:dyDescent="0.25">
      <c r="B1678" s="75"/>
      <c r="C1678" s="75"/>
    </row>
    <row r="1679" spans="2:3" ht="14.1" customHeight="1" x14ac:dyDescent="0.25">
      <c r="B1679" s="75"/>
      <c r="C1679" s="75"/>
    </row>
    <row r="1680" spans="2:3" ht="14.1" customHeight="1" x14ac:dyDescent="0.25">
      <c r="B1680" s="75"/>
      <c r="C1680" s="75"/>
    </row>
    <row r="1681" spans="2:3" ht="14.1" customHeight="1" x14ac:dyDescent="0.25">
      <c r="B1681" s="75"/>
      <c r="C1681" s="75"/>
    </row>
    <row r="1682" spans="2:3" ht="14.1" customHeight="1" x14ac:dyDescent="0.25">
      <c r="B1682" s="75"/>
      <c r="C1682" s="75"/>
    </row>
    <row r="1683" spans="2:3" ht="14.1" customHeight="1" x14ac:dyDescent="0.25">
      <c r="B1683" s="75"/>
      <c r="C1683" s="75"/>
    </row>
    <row r="1684" spans="2:3" ht="14.1" customHeight="1" x14ac:dyDescent="0.25">
      <c r="B1684" s="75"/>
      <c r="C1684" s="75"/>
    </row>
    <row r="1685" spans="2:3" ht="14.1" customHeight="1" x14ac:dyDescent="0.25">
      <c r="B1685" s="75"/>
      <c r="C1685" s="75"/>
    </row>
    <row r="1686" spans="2:3" ht="14.1" customHeight="1" x14ac:dyDescent="0.25">
      <c r="B1686" s="75"/>
      <c r="C1686" s="75"/>
    </row>
    <row r="1687" spans="2:3" ht="14.1" customHeight="1" x14ac:dyDescent="0.25">
      <c r="B1687" s="75"/>
      <c r="C1687" s="75"/>
    </row>
    <row r="1688" spans="2:3" ht="14.1" customHeight="1" x14ac:dyDescent="0.25">
      <c r="B1688" s="75"/>
      <c r="C1688" s="75"/>
    </row>
    <row r="1689" spans="2:3" ht="14.1" customHeight="1" x14ac:dyDescent="0.25">
      <c r="B1689" s="75"/>
      <c r="C1689" s="75"/>
    </row>
    <row r="1690" spans="2:3" ht="14.1" customHeight="1" x14ac:dyDescent="0.25">
      <c r="B1690" s="75"/>
      <c r="C1690" s="75"/>
    </row>
    <row r="1691" spans="2:3" ht="14.1" customHeight="1" x14ac:dyDescent="0.25">
      <c r="B1691" s="75"/>
      <c r="C1691" s="75"/>
    </row>
    <row r="1692" spans="2:3" ht="14.1" customHeight="1" x14ac:dyDescent="0.25">
      <c r="B1692" s="75"/>
      <c r="C1692" s="75"/>
    </row>
    <row r="1693" spans="2:3" ht="14.1" customHeight="1" x14ac:dyDescent="0.25">
      <c r="B1693" s="75"/>
      <c r="C1693" s="75"/>
    </row>
    <row r="1694" spans="2:3" ht="14.1" customHeight="1" x14ac:dyDescent="0.25">
      <c r="B1694" s="75"/>
      <c r="C1694" s="75"/>
    </row>
    <row r="1695" spans="2:3" ht="14.1" customHeight="1" x14ac:dyDescent="0.25">
      <c r="B1695" s="75"/>
      <c r="C1695" s="75"/>
    </row>
    <row r="1696" spans="2:3" ht="14.1" customHeight="1" x14ac:dyDescent="0.25">
      <c r="B1696" s="75"/>
      <c r="C1696" s="75"/>
    </row>
    <row r="1697" spans="2:3" ht="14.1" customHeight="1" x14ac:dyDescent="0.25">
      <c r="B1697" s="75"/>
      <c r="C1697" s="75"/>
    </row>
    <row r="1698" spans="2:3" ht="14.1" customHeight="1" x14ac:dyDescent="0.25">
      <c r="B1698" s="75"/>
      <c r="C1698" s="75"/>
    </row>
    <row r="1699" spans="2:3" ht="14.1" customHeight="1" x14ac:dyDescent="0.25">
      <c r="B1699" s="75"/>
      <c r="C1699" s="75"/>
    </row>
    <row r="1700" spans="2:3" ht="14.1" customHeight="1" x14ac:dyDescent="0.25">
      <c r="B1700" s="75"/>
      <c r="C1700" s="75"/>
    </row>
    <row r="1701" spans="2:3" ht="14.1" customHeight="1" x14ac:dyDescent="0.25">
      <c r="B1701" s="75"/>
      <c r="C1701" s="75"/>
    </row>
    <row r="1702" spans="2:3" ht="14.1" customHeight="1" x14ac:dyDescent="0.25">
      <c r="B1702" s="75"/>
      <c r="C1702" s="75"/>
    </row>
    <row r="1703" spans="2:3" ht="14.1" customHeight="1" x14ac:dyDescent="0.25">
      <c r="B1703" s="75"/>
      <c r="C1703" s="75"/>
    </row>
    <row r="1704" spans="2:3" ht="14.1" customHeight="1" x14ac:dyDescent="0.25">
      <c r="B1704" s="75"/>
      <c r="C1704" s="75"/>
    </row>
    <row r="1705" spans="2:3" ht="14.1" customHeight="1" x14ac:dyDescent="0.25">
      <c r="B1705" s="75"/>
      <c r="C1705" s="75"/>
    </row>
    <row r="1706" spans="2:3" ht="14.1" customHeight="1" x14ac:dyDescent="0.25">
      <c r="B1706" s="75"/>
      <c r="C1706" s="75"/>
    </row>
    <row r="1707" spans="2:3" ht="14.1" customHeight="1" x14ac:dyDescent="0.25">
      <c r="B1707" s="75"/>
      <c r="C1707" s="75"/>
    </row>
    <row r="1708" spans="2:3" ht="14.1" customHeight="1" x14ac:dyDescent="0.25">
      <c r="B1708" s="75"/>
      <c r="C1708" s="75"/>
    </row>
    <row r="1709" spans="2:3" ht="14.1" customHeight="1" x14ac:dyDescent="0.25">
      <c r="B1709" s="75"/>
      <c r="C1709" s="75"/>
    </row>
    <row r="1710" spans="2:3" ht="14.1" customHeight="1" x14ac:dyDescent="0.25">
      <c r="B1710" s="75"/>
      <c r="C1710" s="75"/>
    </row>
    <row r="1711" spans="2:3" ht="14.1" customHeight="1" x14ac:dyDescent="0.25">
      <c r="B1711" s="75"/>
      <c r="C1711" s="75"/>
    </row>
    <row r="1712" spans="2:3" ht="14.1" customHeight="1" x14ac:dyDescent="0.25">
      <c r="B1712" s="75"/>
      <c r="C1712" s="75"/>
    </row>
    <row r="1713" spans="2:3" ht="14.1" customHeight="1" x14ac:dyDescent="0.25">
      <c r="B1713" s="75"/>
      <c r="C1713" s="75"/>
    </row>
    <row r="1714" spans="2:3" ht="14.1" customHeight="1" x14ac:dyDescent="0.25">
      <c r="B1714" s="75"/>
      <c r="C1714" s="75"/>
    </row>
    <row r="1715" spans="2:3" ht="14.1" customHeight="1" x14ac:dyDescent="0.25">
      <c r="B1715" s="75"/>
      <c r="C1715" s="75"/>
    </row>
    <row r="1716" spans="2:3" ht="14.1" customHeight="1" x14ac:dyDescent="0.25">
      <c r="B1716" s="75"/>
      <c r="C1716" s="75"/>
    </row>
    <row r="1717" spans="2:3" ht="14.1" customHeight="1" x14ac:dyDescent="0.25">
      <c r="B1717" s="75"/>
      <c r="C1717" s="75"/>
    </row>
    <row r="1718" spans="2:3" ht="14.1" customHeight="1" x14ac:dyDescent="0.25">
      <c r="B1718" s="75"/>
      <c r="C1718" s="75"/>
    </row>
    <row r="1719" spans="2:3" ht="14.1" customHeight="1" x14ac:dyDescent="0.25">
      <c r="B1719" s="75"/>
      <c r="C1719" s="75"/>
    </row>
    <row r="1720" spans="2:3" ht="14.1" customHeight="1" x14ac:dyDescent="0.25">
      <c r="B1720" s="75"/>
      <c r="C1720" s="75"/>
    </row>
    <row r="1721" spans="2:3" ht="14.1" customHeight="1" x14ac:dyDescent="0.25">
      <c r="B1721" s="75"/>
      <c r="C1721" s="75"/>
    </row>
    <row r="1722" spans="2:3" ht="14.1" customHeight="1" x14ac:dyDescent="0.25">
      <c r="B1722" s="75"/>
      <c r="C1722" s="75"/>
    </row>
    <row r="1723" spans="2:3" ht="14.1" customHeight="1" x14ac:dyDescent="0.25">
      <c r="B1723" s="75"/>
      <c r="C1723" s="75"/>
    </row>
    <row r="1724" spans="2:3" ht="14.1" customHeight="1" x14ac:dyDescent="0.25">
      <c r="B1724" s="75"/>
      <c r="C1724" s="75"/>
    </row>
    <row r="1725" spans="2:3" ht="14.1" customHeight="1" x14ac:dyDescent="0.25">
      <c r="B1725" s="75"/>
      <c r="C1725" s="75"/>
    </row>
    <row r="1726" spans="2:3" ht="14.1" customHeight="1" x14ac:dyDescent="0.25">
      <c r="B1726" s="75"/>
      <c r="C1726" s="75"/>
    </row>
    <row r="1727" spans="2:3" ht="14.1" customHeight="1" x14ac:dyDescent="0.25">
      <c r="B1727" s="75"/>
      <c r="C1727" s="75"/>
    </row>
    <row r="1728" spans="2:3" ht="14.1" customHeight="1" x14ac:dyDescent="0.25">
      <c r="B1728" s="75"/>
      <c r="C1728" s="75"/>
    </row>
    <row r="1729" spans="2:3" ht="14.1" customHeight="1" x14ac:dyDescent="0.25">
      <c r="B1729" s="75"/>
      <c r="C1729" s="75"/>
    </row>
    <row r="1730" spans="2:3" ht="14.1" customHeight="1" x14ac:dyDescent="0.25">
      <c r="B1730" s="75"/>
      <c r="C1730" s="75"/>
    </row>
    <row r="1731" spans="2:3" ht="14.1" customHeight="1" x14ac:dyDescent="0.25">
      <c r="B1731" s="75"/>
      <c r="C1731" s="75"/>
    </row>
    <row r="1732" spans="2:3" ht="14.1" customHeight="1" x14ac:dyDescent="0.25">
      <c r="B1732" s="75"/>
      <c r="C1732" s="75"/>
    </row>
    <row r="1733" spans="2:3" ht="14.1" customHeight="1" x14ac:dyDescent="0.25">
      <c r="B1733" s="75"/>
      <c r="C1733" s="75"/>
    </row>
    <row r="1734" spans="2:3" ht="14.1" customHeight="1" x14ac:dyDescent="0.25">
      <c r="B1734" s="75"/>
      <c r="C1734" s="75"/>
    </row>
    <row r="1735" spans="2:3" ht="14.1" customHeight="1" x14ac:dyDescent="0.25">
      <c r="B1735" s="75"/>
      <c r="C1735" s="75"/>
    </row>
    <row r="1736" spans="2:3" ht="14.1" customHeight="1" x14ac:dyDescent="0.25">
      <c r="B1736" s="75"/>
      <c r="C1736" s="75"/>
    </row>
    <row r="1737" spans="2:3" ht="14.1" customHeight="1" x14ac:dyDescent="0.25">
      <c r="B1737" s="75"/>
      <c r="C1737" s="75"/>
    </row>
    <row r="1738" spans="2:3" ht="14.1" customHeight="1" x14ac:dyDescent="0.25">
      <c r="B1738" s="75"/>
      <c r="C1738" s="75"/>
    </row>
    <row r="1739" spans="2:3" ht="14.1" customHeight="1" x14ac:dyDescent="0.25">
      <c r="B1739" s="75"/>
      <c r="C1739" s="75"/>
    </row>
    <row r="1740" spans="2:3" ht="14.1" customHeight="1" x14ac:dyDescent="0.25">
      <c r="B1740" s="75"/>
      <c r="C1740" s="75"/>
    </row>
    <row r="1741" spans="2:3" ht="14.1" customHeight="1" x14ac:dyDescent="0.25">
      <c r="B1741" s="75"/>
      <c r="C1741" s="75"/>
    </row>
    <row r="1742" spans="2:3" ht="14.1" customHeight="1" x14ac:dyDescent="0.25">
      <c r="B1742" s="75"/>
      <c r="C1742" s="75"/>
    </row>
    <row r="1743" spans="2:3" ht="14.1" customHeight="1" x14ac:dyDescent="0.25">
      <c r="B1743" s="75"/>
      <c r="C1743" s="75"/>
    </row>
    <row r="1744" spans="2:3" ht="14.1" customHeight="1" x14ac:dyDescent="0.25">
      <c r="B1744" s="75"/>
      <c r="C1744" s="75"/>
    </row>
    <row r="1745" spans="2:3" ht="14.1" customHeight="1" x14ac:dyDescent="0.25">
      <c r="B1745" s="75"/>
      <c r="C1745" s="75"/>
    </row>
    <row r="1746" spans="2:3" ht="14.1" customHeight="1" x14ac:dyDescent="0.25">
      <c r="B1746" s="75"/>
      <c r="C1746" s="75"/>
    </row>
    <row r="1747" spans="2:3" ht="14.1" customHeight="1" x14ac:dyDescent="0.25">
      <c r="B1747" s="75"/>
      <c r="C1747" s="75"/>
    </row>
    <row r="1748" spans="2:3" ht="14.1" customHeight="1" x14ac:dyDescent="0.25">
      <c r="B1748" s="75"/>
      <c r="C1748" s="75"/>
    </row>
    <row r="1749" spans="2:3" ht="14.1" customHeight="1" x14ac:dyDescent="0.25">
      <c r="B1749" s="75"/>
      <c r="C1749" s="75"/>
    </row>
    <row r="1750" spans="2:3" ht="14.1" customHeight="1" x14ac:dyDescent="0.25">
      <c r="B1750" s="75"/>
      <c r="C1750" s="75"/>
    </row>
    <row r="1751" spans="2:3" ht="14.1" customHeight="1" x14ac:dyDescent="0.25">
      <c r="B1751" s="75"/>
      <c r="C1751" s="75"/>
    </row>
    <row r="1752" spans="2:3" ht="14.1" customHeight="1" x14ac:dyDescent="0.25">
      <c r="B1752" s="75"/>
      <c r="C1752" s="75"/>
    </row>
    <row r="1753" spans="2:3" ht="14.1" customHeight="1" x14ac:dyDescent="0.25">
      <c r="B1753" s="75"/>
      <c r="C1753" s="75"/>
    </row>
    <row r="1754" spans="2:3" ht="14.1" customHeight="1" x14ac:dyDescent="0.25">
      <c r="B1754" s="75"/>
      <c r="C1754" s="75"/>
    </row>
    <row r="1755" spans="2:3" ht="14.1" customHeight="1" x14ac:dyDescent="0.25">
      <c r="B1755" s="75"/>
      <c r="C1755" s="75"/>
    </row>
    <row r="1756" spans="2:3" ht="14.1" customHeight="1" x14ac:dyDescent="0.25">
      <c r="B1756" s="75"/>
      <c r="C1756" s="75"/>
    </row>
    <row r="1757" spans="2:3" ht="14.1" customHeight="1" x14ac:dyDescent="0.25">
      <c r="B1757" s="75"/>
      <c r="C1757" s="75"/>
    </row>
    <row r="1758" spans="2:3" ht="14.1" customHeight="1" x14ac:dyDescent="0.25">
      <c r="B1758" s="75"/>
      <c r="C1758" s="75"/>
    </row>
  </sheetData>
  <autoFilter ref="A1:C634" xr:uid="{DC90A546-9100-44ED-BD63-A4F551BF3232}"/>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287"/>
  <sheetViews>
    <sheetView zoomScaleNormal="100" workbookViewId="0">
      <pane ySplit="1" topLeftCell="A2" activePane="bottomLeft" state="frozen"/>
      <selection pane="bottomLeft"/>
    </sheetView>
  </sheetViews>
  <sheetFormatPr defaultColWidth="11.77734375" defaultRowHeight="14.55" customHeight="1" x14ac:dyDescent="0.25"/>
  <cols>
    <col min="1" max="1" width="11.77734375" style="272" bestFit="1" customWidth="1"/>
    <col min="2" max="2" width="13.44140625" style="272" bestFit="1" customWidth="1"/>
    <col min="3" max="3" width="10.5546875" style="265" bestFit="1" customWidth="1"/>
    <col min="4" max="4" width="36.88671875" style="266" customWidth="1"/>
    <col min="5" max="5" width="14.21875" style="265" customWidth="1"/>
    <col min="6" max="6" width="12.21875" style="272" bestFit="1" customWidth="1"/>
    <col min="7" max="7" width="14.44140625" style="272" bestFit="1" customWidth="1"/>
    <col min="8" max="8" width="27.77734375" style="265" bestFit="1" customWidth="1"/>
    <col min="9" max="9" width="48.88671875" style="263" customWidth="1"/>
    <col min="10" max="10" width="21.44140625" style="265" bestFit="1" customWidth="1"/>
    <col min="11" max="11" width="18.77734375" style="265" bestFit="1" customWidth="1"/>
    <col min="12" max="12" width="7.44140625" style="263" bestFit="1" customWidth="1"/>
    <col min="13" max="13" width="46.5546875" style="263" bestFit="1" customWidth="1"/>
    <col min="14" max="14" width="48.77734375" style="263" bestFit="1" customWidth="1"/>
    <col min="15" max="16384" width="11.77734375" style="263"/>
  </cols>
  <sheetData>
    <row r="1" spans="1:11" s="277" customFormat="1" ht="15.6" customHeight="1" thickBot="1" x14ac:dyDescent="0.3">
      <c r="A1" s="76" t="s">
        <v>9356</v>
      </c>
      <c r="B1" s="76" t="s">
        <v>10584</v>
      </c>
      <c r="C1" s="76" t="s">
        <v>10585</v>
      </c>
      <c r="D1" s="28" t="s">
        <v>10586</v>
      </c>
      <c r="E1" s="28" t="s">
        <v>10587</v>
      </c>
      <c r="F1" s="28" t="s">
        <v>10588</v>
      </c>
      <c r="G1" s="28" t="s">
        <v>10589</v>
      </c>
      <c r="H1" s="28" t="s">
        <v>13493</v>
      </c>
      <c r="I1" s="28" t="s">
        <v>13494</v>
      </c>
      <c r="J1" s="28" t="s">
        <v>13495</v>
      </c>
      <c r="K1" s="112" t="s">
        <v>10590</v>
      </c>
    </row>
    <row r="2" spans="1:11" ht="14.55" customHeight="1" x14ac:dyDescent="0.25">
      <c r="A2" s="272" t="s">
        <v>9358</v>
      </c>
      <c r="B2" s="272" t="s">
        <v>10591</v>
      </c>
      <c r="C2" s="265" t="s">
        <v>9359</v>
      </c>
      <c r="D2" s="266" t="s">
        <v>9360</v>
      </c>
      <c r="E2" s="265" t="s">
        <v>10592</v>
      </c>
      <c r="F2" s="272" t="s">
        <v>9198</v>
      </c>
      <c r="G2" s="272" t="s">
        <v>9197</v>
      </c>
      <c r="H2" s="7" t="s">
        <v>10593</v>
      </c>
      <c r="I2" s="266" t="s">
        <v>10594</v>
      </c>
      <c r="J2" s="7" t="s">
        <v>10592</v>
      </c>
      <c r="K2" s="265" t="s">
        <v>10592</v>
      </c>
    </row>
    <row r="3" spans="1:11" ht="14.55" customHeight="1" x14ac:dyDescent="0.25">
      <c r="A3" s="272" t="s">
        <v>9358</v>
      </c>
      <c r="B3" s="272" t="s">
        <v>10591</v>
      </c>
      <c r="C3" s="265" t="s">
        <v>9359</v>
      </c>
      <c r="D3" s="266" t="s">
        <v>9360</v>
      </c>
      <c r="E3" s="265" t="s">
        <v>10592</v>
      </c>
      <c r="F3" s="272" t="s">
        <v>9198</v>
      </c>
      <c r="G3" s="272" t="s">
        <v>9197</v>
      </c>
      <c r="H3" s="7" t="s">
        <v>10595</v>
      </c>
      <c r="I3" s="266" t="s">
        <v>10596</v>
      </c>
      <c r="J3" s="7" t="s">
        <v>10597</v>
      </c>
      <c r="K3" s="265" t="s">
        <v>10597</v>
      </c>
    </row>
    <row r="4" spans="1:11" ht="14.55" customHeight="1" x14ac:dyDescent="0.25">
      <c r="A4" s="272" t="s">
        <v>9358</v>
      </c>
      <c r="B4" s="272" t="s">
        <v>10591</v>
      </c>
      <c r="C4" s="265" t="s">
        <v>9359</v>
      </c>
      <c r="D4" s="266" t="s">
        <v>9360</v>
      </c>
      <c r="E4" s="265" t="s">
        <v>10592</v>
      </c>
      <c r="F4" s="272" t="s">
        <v>9198</v>
      </c>
      <c r="G4" s="272" t="s">
        <v>9197</v>
      </c>
      <c r="H4" s="7" t="s">
        <v>10598</v>
      </c>
      <c r="I4" s="266" t="s">
        <v>10599</v>
      </c>
      <c r="J4" s="7" t="s">
        <v>10600</v>
      </c>
      <c r="K4" s="7" t="s">
        <v>10601</v>
      </c>
    </row>
    <row r="5" spans="1:11" ht="14.55" customHeight="1" x14ac:dyDescent="0.25">
      <c r="A5" s="286" t="s">
        <v>9358</v>
      </c>
      <c r="B5" s="293" t="s">
        <v>10591</v>
      </c>
      <c r="C5" s="294" t="s">
        <v>9359</v>
      </c>
      <c r="D5" s="353" t="s">
        <v>9360</v>
      </c>
      <c r="E5" s="294" t="s">
        <v>10592</v>
      </c>
      <c r="F5" s="293" t="s">
        <v>9198</v>
      </c>
      <c r="G5" s="293" t="s">
        <v>9197</v>
      </c>
      <c r="H5" s="354" t="s">
        <v>13482</v>
      </c>
      <c r="I5" s="350" t="s">
        <v>13483</v>
      </c>
      <c r="J5" s="354" t="s">
        <v>10602</v>
      </c>
      <c r="K5" s="354" t="s">
        <v>10592</v>
      </c>
    </row>
    <row r="6" spans="1:11" ht="14.55" customHeight="1" x14ac:dyDescent="0.25">
      <c r="A6" s="272" t="s">
        <v>9358</v>
      </c>
      <c r="B6" s="272" t="s">
        <v>10591</v>
      </c>
      <c r="C6" s="265" t="s">
        <v>9361</v>
      </c>
      <c r="D6" s="266" t="s">
        <v>9362</v>
      </c>
      <c r="E6" s="265" t="s">
        <v>10602</v>
      </c>
      <c r="F6" s="272" t="s">
        <v>9198</v>
      </c>
      <c r="G6" s="272" t="s">
        <v>9197</v>
      </c>
      <c r="H6" s="7" t="s">
        <v>10603</v>
      </c>
      <c r="I6" s="266" t="s">
        <v>9362</v>
      </c>
      <c r="J6" s="7" t="s">
        <v>10602</v>
      </c>
      <c r="K6" s="7" t="s">
        <v>10602</v>
      </c>
    </row>
    <row r="7" spans="1:11" ht="14.55" customHeight="1" x14ac:dyDescent="0.25">
      <c r="A7" s="286" t="s">
        <v>9358</v>
      </c>
      <c r="B7" s="293" t="s">
        <v>10591</v>
      </c>
      <c r="C7" s="294" t="s">
        <v>9361</v>
      </c>
      <c r="D7" s="353" t="s">
        <v>9362</v>
      </c>
      <c r="E7" s="294" t="s">
        <v>10602</v>
      </c>
      <c r="F7" s="293" t="s">
        <v>9198</v>
      </c>
      <c r="G7" s="293" t="s">
        <v>9197</v>
      </c>
      <c r="H7" s="354" t="s">
        <v>13482</v>
      </c>
      <c r="I7" s="350" t="s">
        <v>13483</v>
      </c>
      <c r="J7" s="354" t="s">
        <v>10602</v>
      </c>
      <c r="K7" s="354" t="s">
        <v>10602</v>
      </c>
    </row>
    <row r="8" spans="1:11" ht="14.55" customHeight="1" x14ac:dyDescent="0.25">
      <c r="A8" s="272" t="s">
        <v>9358</v>
      </c>
      <c r="B8" s="272" t="s">
        <v>10591</v>
      </c>
      <c r="C8" s="265" t="s">
        <v>9363</v>
      </c>
      <c r="D8" s="266" t="s">
        <v>9364</v>
      </c>
      <c r="E8" s="265" t="s">
        <v>10602</v>
      </c>
      <c r="F8" s="272" t="s">
        <v>9198</v>
      </c>
      <c r="G8" s="272" t="s">
        <v>9197</v>
      </c>
      <c r="H8" s="7" t="s">
        <v>10604</v>
      </c>
      <c r="I8" s="263" t="s">
        <v>10605</v>
      </c>
      <c r="J8" s="7" t="s">
        <v>10602</v>
      </c>
      <c r="K8" s="7" t="s">
        <v>10602</v>
      </c>
    </row>
    <row r="9" spans="1:11" ht="14.55" customHeight="1" x14ac:dyDescent="0.25">
      <c r="A9" s="272" t="s">
        <v>9358</v>
      </c>
      <c r="B9" s="272" t="s">
        <v>10591</v>
      </c>
      <c r="C9" s="265" t="s">
        <v>9365</v>
      </c>
      <c r="D9" s="266" t="s">
        <v>9366</v>
      </c>
      <c r="E9" s="265" t="s">
        <v>10602</v>
      </c>
      <c r="F9" s="272" t="s">
        <v>9198</v>
      </c>
      <c r="G9" s="272" t="s">
        <v>9197</v>
      </c>
      <c r="H9" s="7" t="s">
        <v>10593</v>
      </c>
      <c r="I9" s="266" t="s">
        <v>10594</v>
      </c>
      <c r="J9" s="7" t="s">
        <v>10592</v>
      </c>
      <c r="K9" s="7" t="s">
        <v>10592</v>
      </c>
    </row>
    <row r="10" spans="1:11" ht="14.55" customHeight="1" x14ac:dyDescent="0.25">
      <c r="A10" s="272" t="s">
        <v>9358</v>
      </c>
      <c r="B10" s="272" t="s">
        <v>10591</v>
      </c>
      <c r="C10" s="265" t="s">
        <v>9365</v>
      </c>
      <c r="D10" s="266" t="s">
        <v>9366</v>
      </c>
      <c r="E10" s="265" t="s">
        <v>10602</v>
      </c>
      <c r="F10" s="272" t="s">
        <v>9198</v>
      </c>
      <c r="G10" s="272" t="s">
        <v>9197</v>
      </c>
      <c r="H10" s="7" t="s">
        <v>10606</v>
      </c>
      <c r="I10" s="266" t="s">
        <v>9366</v>
      </c>
      <c r="J10" s="7" t="s">
        <v>10602</v>
      </c>
      <c r="K10" s="7" t="s">
        <v>10602</v>
      </c>
    </row>
    <row r="11" spans="1:11" ht="14.55" customHeight="1" x14ac:dyDescent="0.25">
      <c r="A11" s="272" t="s">
        <v>9358</v>
      </c>
      <c r="B11" s="272" t="s">
        <v>10591</v>
      </c>
      <c r="C11" s="265" t="s">
        <v>9365</v>
      </c>
      <c r="D11" s="266" t="s">
        <v>9366</v>
      </c>
      <c r="E11" s="265" t="s">
        <v>10602</v>
      </c>
      <c r="F11" s="272" t="s">
        <v>9198</v>
      </c>
      <c r="G11" s="272" t="s">
        <v>9197</v>
      </c>
      <c r="H11" s="7" t="s">
        <v>10607</v>
      </c>
      <c r="I11" s="266" t="s">
        <v>10608</v>
      </c>
      <c r="J11" s="7" t="s">
        <v>10602</v>
      </c>
      <c r="K11" s="7" t="s">
        <v>10602</v>
      </c>
    </row>
    <row r="12" spans="1:11" ht="14.55" customHeight="1" x14ac:dyDescent="0.25">
      <c r="A12" s="272" t="s">
        <v>9358</v>
      </c>
      <c r="B12" s="272" t="s">
        <v>10591</v>
      </c>
      <c r="C12" s="265" t="s">
        <v>9365</v>
      </c>
      <c r="D12" s="266" t="s">
        <v>9366</v>
      </c>
      <c r="E12" s="265" t="s">
        <v>10602</v>
      </c>
      <c r="F12" s="272" t="s">
        <v>9198</v>
      </c>
      <c r="G12" s="272" t="s">
        <v>9197</v>
      </c>
      <c r="H12" s="7" t="s">
        <v>10609</v>
      </c>
      <c r="I12" s="266" t="s">
        <v>10610</v>
      </c>
      <c r="J12" s="7" t="s">
        <v>10602</v>
      </c>
      <c r="K12" s="7" t="s">
        <v>10602</v>
      </c>
    </row>
    <row r="13" spans="1:11" ht="14.55" customHeight="1" x14ac:dyDescent="0.25">
      <c r="A13" s="272" t="s">
        <v>9358</v>
      </c>
      <c r="B13" s="272" t="s">
        <v>10591</v>
      </c>
      <c r="C13" s="265" t="s">
        <v>9365</v>
      </c>
      <c r="D13" s="266" t="s">
        <v>9366</v>
      </c>
      <c r="E13" s="265" t="s">
        <v>10602</v>
      </c>
      <c r="F13" s="272" t="s">
        <v>9198</v>
      </c>
      <c r="G13" s="272" t="s">
        <v>9197</v>
      </c>
      <c r="H13" s="7" t="s">
        <v>10611</v>
      </c>
      <c r="I13" s="266" t="s">
        <v>10612</v>
      </c>
      <c r="J13" s="7" t="s">
        <v>10602</v>
      </c>
      <c r="K13" s="7" t="s">
        <v>10602</v>
      </c>
    </row>
    <row r="14" spans="1:11" ht="14.55" customHeight="1" x14ac:dyDescent="0.25">
      <c r="A14" s="272" t="s">
        <v>9358</v>
      </c>
      <c r="B14" s="272" t="s">
        <v>10591</v>
      </c>
      <c r="C14" s="265" t="s">
        <v>9365</v>
      </c>
      <c r="D14" s="266" t="s">
        <v>9366</v>
      </c>
      <c r="E14" s="278" t="s">
        <v>10602</v>
      </c>
      <c r="F14" s="272" t="s">
        <v>9198</v>
      </c>
      <c r="G14" s="272" t="s">
        <v>9197</v>
      </c>
      <c r="H14" s="7" t="s">
        <v>10613</v>
      </c>
      <c r="I14" s="266" t="s">
        <v>10614</v>
      </c>
      <c r="J14" s="7" t="s">
        <v>10602</v>
      </c>
      <c r="K14" s="7" t="s">
        <v>10602</v>
      </c>
    </row>
    <row r="15" spans="1:11" ht="14.55" customHeight="1" x14ac:dyDescent="0.25">
      <c r="A15" s="272" t="s">
        <v>9358</v>
      </c>
      <c r="B15" s="272" t="s">
        <v>10591</v>
      </c>
      <c r="C15" s="265" t="s">
        <v>9365</v>
      </c>
      <c r="D15" s="266" t="s">
        <v>9366</v>
      </c>
      <c r="E15" s="265" t="s">
        <v>10602</v>
      </c>
      <c r="F15" s="272" t="s">
        <v>9198</v>
      </c>
      <c r="G15" s="272" t="s">
        <v>9197</v>
      </c>
      <c r="H15" s="7" t="s">
        <v>10615</v>
      </c>
      <c r="I15" s="266" t="s">
        <v>10616</v>
      </c>
      <c r="J15" s="7" t="s">
        <v>10602</v>
      </c>
      <c r="K15" s="7" t="s">
        <v>10602</v>
      </c>
    </row>
    <row r="16" spans="1:11" ht="14.55" customHeight="1" x14ac:dyDescent="0.25">
      <c r="A16" s="272" t="s">
        <v>9358</v>
      </c>
      <c r="B16" s="272" t="s">
        <v>10591</v>
      </c>
      <c r="C16" s="265" t="s">
        <v>9365</v>
      </c>
      <c r="D16" s="266" t="s">
        <v>9366</v>
      </c>
      <c r="E16" s="265" t="s">
        <v>10602</v>
      </c>
      <c r="F16" s="272" t="s">
        <v>9198</v>
      </c>
      <c r="G16" s="272" t="s">
        <v>9197</v>
      </c>
      <c r="H16" s="7" t="s">
        <v>10617</v>
      </c>
      <c r="I16" s="266" t="s">
        <v>10618</v>
      </c>
      <c r="J16" s="7" t="s">
        <v>10602</v>
      </c>
      <c r="K16" s="7" t="s">
        <v>10602</v>
      </c>
    </row>
    <row r="17" spans="1:11" ht="14.55" customHeight="1" x14ac:dyDescent="0.25">
      <c r="A17" s="272" t="s">
        <v>9358</v>
      </c>
      <c r="B17" s="272" t="s">
        <v>10591</v>
      </c>
      <c r="C17" s="265" t="s">
        <v>9365</v>
      </c>
      <c r="D17" s="266" t="s">
        <v>9366</v>
      </c>
      <c r="E17" s="265" t="s">
        <v>10602</v>
      </c>
      <c r="F17" s="272" t="s">
        <v>9198</v>
      </c>
      <c r="G17" s="272" t="s">
        <v>9197</v>
      </c>
      <c r="H17" s="7" t="s">
        <v>10619</v>
      </c>
      <c r="I17" s="266" t="s">
        <v>10620</v>
      </c>
      <c r="J17" s="7" t="s">
        <v>10602</v>
      </c>
      <c r="K17" s="7" t="s">
        <v>10602</v>
      </c>
    </row>
    <row r="18" spans="1:11" ht="14.55" customHeight="1" x14ac:dyDescent="0.25">
      <c r="A18" s="272" t="s">
        <v>9358</v>
      </c>
      <c r="B18" s="272" t="s">
        <v>10591</v>
      </c>
      <c r="C18" s="265" t="s">
        <v>9365</v>
      </c>
      <c r="D18" s="266" t="s">
        <v>9366</v>
      </c>
      <c r="E18" s="265" t="s">
        <v>10602</v>
      </c>
      <c r="F18" s="272" t="s">
        <v>9198</v>
      </c>
      <c r="G18" s="272" t="s">
        <v>9197</v>
      </c>
      <c r="H18" s="7" t="s">
        <v>10621</v>
      </c>
      <c r="I18" s="266" t="s">
        <v>10622</v>
      </c>
      <c r="J18" s="7" t="s">
        <v>10602</v>
      </c>
      <c r="K18" s="7" t="s">
        <v>10602</v>
      </c>
    </row>
    <row r="19" spans="1:11" ht="14.55" customHeight="1" x14ac:dyDescent="0.25">
      <c r="A19" s="272" t="s">
        <v>9358</v>
      </c>
      <c r="B19" s="272" t="s">
        <v>10591</v>
      </c>
      <c r="C19" s="265" t="s">
        <v>9365</v>
      </c>
      <c r="D19" s="266" t="s">
        <v>9366</v>
      </c>
      <c r="E19" s="265" t="s">
        <v>10602</v>
      </c>
      <c r="F19" s="272" t="s">
        <v>9198</v>
      </c>
      <c r="G19" s="272" t="s">
        <v>9197</v>
      </c>
      <c r="H19" s="7" t="s">
        <v>10623</v>
      </c>
      <c r="I19" s="266" t="s">
        <v>10624</v>
      </c>
      <c r="J19" s="7" t="s">
        <v>10602</v>
      </c>
      <c r="K19" s="7" t="s">
        <v>10602</v>
      </c>
    </row>
    <row r="20" spans="1:11" ht="14.55" customHeight="1" x14ac:dyDescent="0.25">
      <c r="A20" s="272" t="s">
        <v>9358</v>
      </c>
      <c r="B20" s="272" t="s">
        <v>10591</v>
      </c>
      <c r="C20" s="265" t="s">
        <v>9365</v>
      </c>
      <c r="D20" s="266" t="s">
        <v>9366</v>
      </c>
      <c r="E20" s="265" t="s">
        <v>10602</v>
      </c>
      <c r="F20" s="272" t="s">
        <v>9198</v>
      </c>
      <c r="G20" s="272" t="s">
        <v>9197</v>
      </c>
      <c r="H20" s="7" t="s">
        <v>10625</v>
      </c>
      <c r="I20" s="266" t="s">
        <v>10626</v>
      </c>
      <c r="J20" s="7" t="s">
        <v>10602</v>
      </c>
      <c r="K20" s="7" t="s">
        <v>10602</v>
      </c>
    </row>
    <row r="21" spans="1:11" ht="14.55" customHeight="1" x14ac:dyDescent="0.25">
      <c r="A21" s="272" t="s">
        <v>9358</v>
      </c>
      <c r="B21" s="272" t="s">
        <v>10591</v>
      </c>
      <c r="C21" s="265" t="s">
        <v>9365</v>
      </c>
      <c r="D21" s="266" t="s">
        <v>9366</v>
      </c>
      <c r="E21" s="265" t="s">
        <v>10602</v>
      </c>
      <c r="F21" s="272" t="s">
        <v>9198</v>
      </c>
      <c r="G21" s="272" t="s">
        <v>9197</v>
      </c>
      <c r="H21" s="7" t="s">
        <v>10627</v>
      </c>
      <c r="I21" s="266" t="s">
        <v>10628</v>
      </c>
      <c r="J21" s="7" t="s">
        <v>10602</v>
      </c>
      <c r="K21" s="7" t="s">
        <v>10602</v>
      </c>
    </row>
    <row r="22" spans="1:11" ht="14.55" customHeight="1" x14ac:dyDescent="0.25">
      <c r="A22" s="272" t="s">
        <v>9358</v>
      </c>
      <c r="B22" s="272" t="s">
        <v>10591</v>
      </c>
      <c r="C22" s="265" t="s">
        <v>9365</v>
      </c>
      <c r="D22" s="266" t="s">
        <v>9366</v>
      </c>
      <c r="E22" s="265" t="s">
        <v>10602</v>
      </c>
      <c r="F22" s="272" t="s">
        <v>9198</v>
      </c>
      <c r="G22" s="272" t="s">
        <v>9197</v>
      </c>
      <c r="H22" s="7" t="s">
        <v>10629</v>
      </c>
      <c r="I22" s="266" t="s">
        <v>10630</v>
      </c>
      <c r="J22" s="7" t="s">
        <v>10602</v>
      </c>
      <c r="K22" s="7" t="s">
        <v>10602</v>
      </c>
    </row>
    <row r="23" spans="1:11" ht="14.55" customHeight="1" x14ac:dyDescent="0.25">
      <c r="A23" s="272" t="s">
        <v>9358</v>
      </c>
      <c r="B23" s="272" t="s">
        <v>10591</v>
      </c>
      <c r="C23" s="265" t="s">
        <v>9365</v>
      </c>
      <c r="D23" s="266" t="s">
        <v>9366</v>
      </c>
      <c r="E23" s="265" t="s">
        <v>10602</v>
      </c>
      <c r="F23" s="272" t="s">
        <v>9198</v>
      </c>
      <c r="G23" s="272" t="s">
        <v>9197</v>
      </c>
      <c r="H23" s="7" t="s">
        <v>10631</v>
      </c>
      <c r="I23" s="266" t="s">
        <v>10632</v>
      </c>
      <c r="J23" s="7" t="s">
        <v>10602</v>
      </c>
      <c r="K23" s="7" t="s">
        <v>10602</v>
      </c>
    </row>
    <row r="24" spans="1:11" ht="14.55" customHeight="1" x14ac:dyDescent="0.25">
      <c r="A24" s="272" t="s">
        <v>9358</v>
      </c>
      <c r="B24" s="272" t="s">
        <v>10591</v>
      </c>
      <c r="C24" s="265" t="s">
        <v>9365</v>
      </c>
      <c r="D24" s="266" t="s">
        <v>9366</v>
      </c>
      <c r="E24" s="265" t="s">
        <v>10602</v>
      </c>
      <c r="F24" s="272" t="s">
        <v>9198</v>
      </c>
      <c r="G24" s="272" t="s">
        <v>9197</v>
      </c>
      <c r="H24" s="7" t="s">
        <v>10633</v>
      </c>
      <c r="I24" s="266" t="s">
        <v>10634</v>
      </c>
      <c r="J24" s="7" t="s">
        <v>10602</v>
      </c>
      <c r="K24" s="7" t="s">
        <v>10602</v>
      </c>
    </row>
    <row r="25" spans="1:11" ht="14.55" customHeight="1" x14ac:dyDescent="0.25">
      <c r="A25" s="272" t="s">
        <v>9358</v>
      </c>
      <c r="B25" s="272" t="s">
        <v>10591</v>
      </c>
      <c r="C25" s="265" t="s">
        <v>9365</v>
      </c>
      <c r="D25" s="266" t="s">
        <v>9366</v>
      </c>
      <c r="E25" s="265" t="s">
        <v>10602</v>
      </c>
      <c r="F25" s="272" t="s">
        <v>9198</v>
      </c>
      <c r="G25" s="272" t="s">
        <v>9197</v>
      </c>
      <c r="H25" s="7" t="s">
        <v>10635</v>
      </c>
      <c r="I25" s="266" t="s">
        <v>10636</v>
      </c>
      <c r="J25" s="7" t="s">
        <v>10602</v>
      </c>
      <c r="K25" s="7" t="s">
        <v>10602</v>
      </c>
    </row>
    <row r="26" spans="1:11" ht="14.55" customHeight="1" x14ac:dyDescent="0.25">
      <c r="A26" s="272" t="s">
        <v>9358</v>
      </c>
      <c r="B26" s="272" t="s">
        <v>10591</v>
      </c>
      <c r="C26" s="265" t="s">
        <v>9365</v>
      </c>
      <c r="D26" s="266" t="s">
        <v>9366</v>
      </c>
      <c r="E26" s="265" t="s">
        <v>10602</v>
      </c>
      <c r="F26" s="272" t="s">
        <v>9198</v>
      </c>
      <c r="G26" s="272" t="s">
        <v>9197</v>
      </c>
      <c r="H26" s="7" t="s">
        <v>10637</v>
      </c>
      <c r="I26" s="266" t="s">
        <v>10638</v>
      </c>
      <c r="J26" s="7" t="s">
        <v>10602</v>
      </c>
      <c r="K26" s="7" t="s">
        <v>10602</v>
      </c>
    </row>
    <row r="27" spans="1:11" ht="14.55" customHeight="1" x14ac:dyDescent="0.25">
      <c r="A27" s="286" t="s">
        <v>9358</v>
      </c>
      <c r="B27" s="293" t="s">
        <v>10591</v>
      </c>
      <c r="C27" s="294" t="s">
        <v>9365</v>
      </c>
      <c r="D27" s="353" t="s">
        <v>9366</v>
      </c>
      <c r="E27" s="294" t="s">
        <v>10602</v>
      </c>
      <c r="F27" s="293" t="s">
        <v>9198</v>
      </c>
      <c r="G27" s="293" t="s">
        <v>9197</v>
      </c>
      <c r="H27" s="354" t="s">
        <v>13482</v>
      </c>
      <c r="I27" s="350" t="s">
        <v>13483</v>
      </c>
      <c r="J27" s="354" t="s">
        <v>10602</v>
      </c>
      <c r="K27" s="354" t="s">
        <v>10602</v>
      </c>
    </row>
    <row r="28" spans="1:11" ht="14.55" customHeight="1" x14ac:dyDescent="0.25">
      <c r="A28" s="272" t="s">
        <v>9358</v>
      </c>
      <c r="B28" s="272" t="s">
        <v>10591</v>
      </c>
      <c r="C28" s="265" t="s">
        <v>9367</v>
      </c>
      <c r="D28" s="266" t="s">
        <v>9368</v>
      </c>
      <c r="E28" s="265" t="s">
        <v>10602</v>
      </c>
      <c r="F28" s="272" t="s">
        <v>9198</v>
      </c>
      <c r="G28" s="272" t="s">
        <v>9197</v>
      </c>
      <c r="H28" s="7" t="s">
        <v>10593</v>
      </c>
      <c r="I28" s="266" t="s">
        <v>10594</v>
      </c>
      <c r="J28" s="7" t="s">
        <v>10592</v>
      </c>
      <c r="K28" s="7" t="s">
        <v>10592</v>
      </c>
    </row>
    <row r="29" spans="1:11" ht="14.55" customHeight="1" x14ac:dyDescent="0.25">
      <c r="A29" s="272" t="s">
        <v>9358</v>
      </c>
      <c r="B29" s="272" t="s">
        <v>10591</v>
      </c>
      <c r="C29" s="265" t="s">
        <v>9367</v>
      </c>
      <c r="D29" s="266" t="s">
        <v>9368</v>
      </c>
      <c r="E29" s="265" t="s">
        <v>10602</v>
      </c>
      <c r="F29" s="272" t="s">
        <v>9198</v>
      </c>
      <c r="G29" s="272" t="s">
        <v>9197</v>
      </c>
      <c r="H29" s="7" t="s">
        <v>10639</v>
      </c>
      <c r="I29" s="266" t="s">
        <v>9368</v>
      </c>
      <c r="J29" s="7" t="s">
        <v>10602</v>
      </c>
      <c r="K29" s="7" t="s">
        <v>10602</v>
      </c>
    </row>
    <row r="30" spans="1:11" ht="14.55" customHeight="1" x14ac:dyDescent="0.25">
      <c r="A30" s="286" t="s">
        <v>9358</v>
      </c>
      <c r="B30" s="293" t="s">
        <v>10591</v>
      </c>
      <c r="C30" s="294" t="s">
        <v>9367</v>
      </c>
      <c r="D30" s="353" t="s">
        <v>9368</v>
      </c>
      <c r="E30" s="294" t="s">
        <v>10602</v>
      </c>
      <c r="F30" s="293" t="s">
        <v>9198</v>
      </c>
      <c r="G30" s="293" t="s">
        <v>9197</v>
      </c>
      <c r="H30" s="354" t="s">
        <v>13482</v>
      </c>
      <c r="I30" s="350" t="s">
        <v>13483</v>
      </c>
      <c r="J30" s="354" t="s">
        <v>10602</v>
      </c>
      <c r="K30" s="354" t="s">
        <v>10602</v>
      </c>
    </row>
    <row r="31" spans="1:11" ht="14.55" customHeight="1" x14ac:dyDescent="0.25">
      <c r="A31" s="272" t="s">
        <v>9358</v>
      </c>
      <c r="B31" s="272" t="s">
        <v>10591</v>
      </c>
      <c r="C31" s="265" t="s">
        <v>9369</v>
      </c>
      <c r="D31" s="266" t="s">
        <v>9370</v>
      </c>
      <c r="E31" s="265" t="s">
        <v>10602</v>
      </c>
      <c r="F31" s="272" t="s">
        <v>9198</v>
      </c>
      <c r="G31" s="272" t="s">
        <v>9197</v>
      </c>
      <c r="H31" s="7" t="s">
        <v>10593</v>
      </c>
      <c r="I31" s="266" t="s">
        <v>10594</v>
      </c>
      <c r="J31" s="7" t="s">
        <v>10592</v>
      </c>
      <c r="K31" s="7" t="s">
        <v>10592</v>
      </c>
    </row>
    <row r="32" spans="1:11" ht="14.55" customHeight="1" x14ac:dyDescent="0.25">
      <c r="A32" s="272" t="s">
        <v>9358</v>
      </c>
      <c r="B32" s="272" t="s">
        <v>10591</v>
      </c>
      <c r="C32" s="265" t="s">
        <v>9369</v>
      </c>
      <c r="D32" s="266" t="s">
        <v>9370</v>
      </c>
      <c r="E32" s="265" t="s">
        <v>10602</v>
      </c>
      <c r="F32" s="272" t="s">
        <v>9198</v>
      </c>
      <c r="G32" s="272" t="s">
        <v>9197</v>
      </c>
      <c r="H32" s="7" t="s">
        <v>10640</v>
      </c>
      <c r="I32" s="266" t="s">
        <v>9370</v>
      </c>
      <c r="J32" s="7" t="s">
        <v>10602</v>
      </c>
      <c r="K32" s="7" t="s">
        <v>10602</v>
      </c>
    </row>
    <row r="33" spans="1:11" ht="14.55" customHeight="1" x14ac:dyDescent="0.25">
      <c r="A33" s="286" t="s">
        <v>9358</v>
      </c>
      <c r="B33" s="293" t="s">
        <v>10591</v>
      </c>
      <c r="C33" s="294" t="s">
        <v>9369</v>
      </c>
      <c r="D33" s="353" t="s">
        <v>9370</v>
      </c>
      <c r="E33" s="294" t="s">
        <v>10602</v>
      </c>
      <c r="F33" s="293" t="s">
        <v>9198</v>
      </c>
      <c r="G33" s="293" t="s">
        <v>9197</v>
      </c>
      <c r="H33" s="354" t="s">
        <v>13482</v>
      </c>
      <c r="I33" s="350" t="s">
        <v>13483</v>
      </c>
      <c r="J33" s="354" t="s">
        <v>10602</v>
      </c>
      <c r="K33" s="354" t="s">
        <v>10602</v>
      </c>
    </row>
    <row r="34" spans="1:11" ht="14.55" customHeight="1" x14ac:dyDescent="0.25">
      <c r="A34" s="272" t="s">
        <v>9358</v>
      </c>
      <c r="B34" s="272" t="s">
        <v>10591</v>
      </c>
      <c r="C34" s="265" t="s">
        <v>9371</v>
      </c>
      <c r="D34" s="266" t="s">
        <v>9372</v>
      </c>
      <c r="E34" s="265" t="s">
        <v>10602</v>
      </c>
      <c r="F34" s="272" t="s">
        <v>9198</v>
      </c>
      <c r="G34" s="272" t="s">
        <v>9197</v>
      </c>
      <c r="H34" s="7" t="s">
        <v>10593</v>
      </c>
      <c r="I34" s="266" t="s">
        <v>10594</v>
      </c>
      <c r="J34" s="7" t="s">
        <v>10592</v>
      </c>
      <c r="K34" s="7" t="s">
        <v>10592</v>
      </c>
    </row>
    <row r="35" spans="1:11" ht="14.55" customHeight="1" x14ac:dyDescent="0.25">
      <c r="A35" s="272" t="s">
        <v>9358</v>
      </c>
      <c r="B35" s="272" t="s">
        <v>10591</v>
      </c>
      <c r="C35" s="265" t="s">
        <v>9371</v>
      </c>
      <c r="D35" s="266" t="s">
        <v>9372</v>
      </c>
      <c r="E35" s="265" t="s">
        <v>10602</v>
      </c>
      <c r="F35" s="272" t="s">
        <v>9198</v>
      </c>
      <c r="G35" s="272" t="s">
        <v>9197</v>
      </c>
      <c r="H35" s="7" t="s">
        <v>10641</v>
      </c>
      <c r="I35" s="266" t="s">
        <v>10642</v>
      </c>
      <c r="J35" s="7" t="s">
        <v>10602</v>
      </c>
      <c r="K35" s="7" t="s">
        <v>10602</v>
      </c>
    </row>
    <row r="36" spans="1:11" ht="14.55" customHeight="1" x14ac:dyDescent="0.25">
      <c r="A36" s="286" t="s">
        <v>9358</v>
      </c>
      <c r="B36" s="293" t="s">
        <v>10591</v>
      </c>
      <c r="C36" s="294" t="s">
        <v>9371</v>
      </c>
      <c r="D36" s="353" t="s">
        <v>9372</v>
      </c>
      <c r="E36" s="294" t="s">
        <v>10602</v>
      </c>
      <c r="F36" s="293" t="s">
        <v>9198</v>
      </c>
      <c r="G36" s="293" t="s">
        <v>9197</v>
      </c>
      <c r="H36" s="354" t="s">
        <v>13482</v>
      </c>
      <c r="I36" s="350" t="s">
        <v>13483</v>
      </c>
      <c r="J36" s="354" t="s">
        <v>10602</v>
      </c>
      <c r="K36" s="354" t="s">
        <v>10602</v>
      </c>
    </row>
    <row r="37" spans="1:11" ht="14.55" customHeight="1" x14ac:dyDescent="0.25">
      <c r="A37" s="272" t="s">
        <v>9358</v>
      </c>
      <c r="B37" s="272" t="s">
        <v>10591</v>
      </c>
      <c r="C37" s="265" t="s">
        <v>9373</v>
      </c>
      <c r="D37" s="266" t="s">
        <v>9374</v>
      </c>
      <c r="E37" s="265" t="s">
        <v>10602</v>
      </c>
      <c r="F37" s="272" t="s">
        <v>9198</v>
      </c>
      <c r="G37" s="272" t="s">
        <v>9197</v>
      </c>
      <c r="H37" s="7" t="s">
        <v>10593</v>
      </c>
      <c r="I37" s="266" t="s">
        <v>10594</v>
      </c>
      <c r="J37" s="7" t="s">
        <v>10592</v>
      </c>
      <c r="K37" s="7" t="s">
        <v>10592</v>
      </c>
    </row>
    <row r="38" spans="1:11" ht="14.55" customHeight="1" x14ac:dyDescent="0.25">
      <c r="A38" s="272" t="s">
        <v>9358</v>
      </c>
      <c r="B38" s="272" t="s">
        <v>10591</v>
      </c>
      <c r="C38" s="265" t="s">
        <v>9373</v>
      </c>
      <c r="D38" s="266" t="s">
        <v>9374</v>
      </c>
      <c r="E38" s="265" t="s">
        <v>10602</v>
      </c>
      <c r="F38" s="272" t="s">
        <v>9198</v>
      </c>
      <c r="G38" s="272" t="s">
        <v>9197</v>
      </c>
      <c r="H38" s="7" t="s">
        <v>10643</v>
      </c>
      <c r="I38" s="127" t="s">
        <v>10644</v>
      </c>
      <c r="J38" s="7" t="s">
        <v>10602</v>
      </c>
      <c r="K38" s="7" t="s">
        <v>10602</v>
      </c>
    </row>
    <row r="39" spans="1:11" ht="14.55" customHeight="1" x14ac:dyDescent="0.25">
      <c r="A39" s="286" t="s">
        <v>9358</v>
      </c>
      <c r="B39" s="293" t="s">
        <v>10591</v>
      </c>
      <c r="C39" s="294" t="s">
        <v>9373</v>
      </c>
      <c r="D39" s="353" t="s">
        <v>9374</v>
      </c>
      <c r="E39" s="294" t="s">
        <v>10602</v>
      </c>
      <c r="F39" s="293" t="s">
        <v>9198</v>
      </c>
      <c r="G39" s="293" t="s">
        <v>9197</v>
      </c>
      <c r="H39" s="354" t="s">
        <v>13482</v>
      </c>
      <c r="I39" s="350" t="s">
        <v>13483</v>
      </c>
      <c r="J39" s="354" t="s">
        <v>10602</v>
      </c>
      <c r="K39" s="354" t="s">
        <v>10602</v>
      </c>
    </row>
    <row r="40" spans="1:11" ht="14.55" customHeight="1" x14ac:dyDescent="0.25">
      <c r="A40" s="272" t="s">
        <v>9358</v>
      </c>
      <c r="B40" s="272" t="s">
        <v>10591</v>
      </c>
      <c r="C40" s="265" t="s">
        <v>9375</v>
      </c>
      <c r="D40" s="266" t="s">
        <v>13436</v>
      </c>
      <c r="E40" s="265" t="s">
        <v>10592</v>
      </c>
      <c r="F40" s="272" t="s">
        <v>9198</v>
      </c>
      <c r="G40" s="272" t="s">
        <v>9197</v>
      </c>
      <c r="H40" s="7" t="s">
        <v>10593</v>
      </c>
      <c r="I40" s="127" t="s">
        <v>10594</v>
      </c>
      <c r="J40" s="7" t="s">
        <v>10592</v>
      </c>
      <c r="K40" s="7" t="s">
        <v>10592</v>
      </c>
    </row>
    <row r="41" spans="1:11" ht="14.55" customHeight="1" x14ac:dyDescent="0.25">
      <c r="A41" s="272" t="s">
        <v>9358</v>
      </c>
      <c r="B41" s="272" t="s">
        <v>10591</v>
      </c>
      <c r="C41" s="265" t="s">
        <v>9375</v>
      </c>
      <c r="D41" s="266" t="s">
        <v>13436</v>
      </c>
      <c r="E41" s="265" t="s">
        <v>10592</v>
      </c>
      <c r="F41" s="272" t="s">
        <v>9198</v>
      </c>
      <c r="G41" s="272" t="s">
        <v>9197</v>
      </c>
      <c r="H41" s="7" t="s">
        <v>10595</v>
      </c>
      <c r="I41" s="127" t="s">
        <v>10596</v>
      </c>
      <c r="J41" s="7" t="s">
        <v>10597</v>
      </c>
      <c r="K41" s="7" t="s">
        <v>10597</v>
      </c>
    </row>
    <row r="42" spans="1:11" ht="14.55" customHeight="1" x14ac:dyDescent="0.25">
      <c r="A42" s="272" t="s">
        <v>9358</v>
      </c>
      <c r="B42" s="272" t="s">
        <v>10591</v>
      </c>
      <c r="C42" s="265" t="s">
        <v>9375</v>
      </c>
      <c r="D42" s="266" t="s">
        <v>13436</v>
      </c>
      <c r="E42" s="265" t="s">
        <v>10592</v>
      </c>
      <c r="F42" s="272" t="s">
        <v>9198</v>
      </c>
      <c r="G42" s="272" t="s">
        <v>9197</v>
      </c>
      <c r="H42" s="7" t="s">
        <v>10598</v>
      </c>
      <c r="I42" s="127" t="s">
        <v>10599</v>
      </c>
      <c r="J42" s="7" t="s">
        <v>10600</v>
      </c>
      <c r="K42" s="7" t="s">
        <v>10601</v>
      </c>
    </row>
    <row r="43" spans="1:11" ht="14.55" customHeight="1" x14ac:dyDescent="0.25">
      <c r="A43" s="286" t="s">
        <v>9358</v>
      </c>
      <c r="B43" s="293" t="s">
        <v>10591</v>
      </c>
      <c r="C43" s="294" t="s">
        <v>9375</v>
      </c>
      <c r="D43" s="353" t="s">
        <v>13436</v>
      </c>
      <c r="E43" s="294" t="s">
        <v>10592</v>
      </c>
      <c r="F43" s="293" t="s">
        <v>9198</v>
      </c>
      <c r="G43" s="293" t="s">
        <v>9197</v>
      </c>
      <c r="H43" s="354" t="s">
        <v>13482</v>
      </c>
      <c r="I43" s="350" t="s">
        <v>13483</v>
      </c>
      <c r="J43" s="354" t="s">
        <v>10602</v>
      </c>
      <c r="K43" s="354" t="s">
        <v>10592</v>
      </c>
    </row>
    <row r="44" spans="1:11" ht="14.55" customHeight="1" x14ac:dyDescent="0.25">
      <c r="A44" s="272" t="s">
        <v>9358</v>
      </c>
      <c r="B44" s="272" t="s">
        <v>10591</v>
      </c>
      <c r="C44" s="265" t="s">
        <v>9376</v>
      </c>
      <c r="D44" s="266" t="s">
        <v>9377</v>
      </c>
      <c r="E44" s="265" t="s">
        <v>10602</v>
      </c>
      <c r="F44" s="272" t="s">
        <v>9198</v>
      </c>
      <c r="G44" s="272" t="s">
        <v>9197</v>
      </c>
      <c r="H44" s="7" t="s">
        <v>10593</v>
      </c>
      <c r="I44" s="263" t="s">
        <v>10594</v>
      </c>
      <c r="J44" s="7" t="s">
        <v>10592</v>
      </c>
      <c r="K44" s="7" t="s">
        <v>10592</v>
      </c>
    </row>
    <row r="45" spans="1:11" ht="14.55" customHeight="1" x14ac:dyDescent="0.25">
      <c r="A45" s="272" t="s">
        <v>9358</v>
      </c>
      <c r="B45" s="272" t="s">
        <v>10591</v>
      </c>
      <c r="C45" s="265" t="s">
        <v>9376</v>
      </c>
      <c r="D45" s="266" t="s">
        <v>9377</v>
      </c>
      <c r="E45" s="265" t="s">
        <v>10602</v>
      </c>
      <c r="F45" s="272" t="s">
        <v>9198</v>
      </c>
      <c r="G45" s="272" t="s">
        <v>9197</v>
      </c>
      <c r="H45" s="7" t="s">
        <v>10645</v>
      </c>
      <c r="I45" s="263" t="s">
        <v>10646</v>
      </c>
      <c r="J45" s="7" t="s">
        <v>10602</v>
      </c>
      <c r="K45" s="7" t="s">
        <v>10602</v>
      </c>
    </row>
    <row r="46" spans="1:11" ht="14.55" customHeight="1" x14ac:dyDescent="0.25">
      <c r="A46" s="286" t="s">
        <v>9358</v>
      </c>
      <c r="B46" s="293" t="s">
        <v>10591</v>
      </c>
      <c r="C46" s="294" t="s">
        <v>9376</v>
      </c>
      <c r="D46" s="353" t="s">
        <v>9377</v>
      </c>
      <c r="E46" s="294" t="s">
        <v>10602</v>
      </c>
      <c r="F46" s="293" t="s">
        <v>9198</v>
      </c>
      <c r="G46" s="293" t="s">
        <v>9197</v>
      </c>
      <c r="H46" s="354" t="s">
        <v>13482</v>
      </c>
      <c r="I46" s="350" t="s">
        <v>13483</v>
      </c>
      <c r="J46" s="354" t="s">
        <v>10602</v>
      </c>
      <c r="K46" s="354" t="s">
        <v>10602</v>
      </c>
    </row>
    <row r="47" spans="1:11" ht="14.55" customHeight="1" x14ac:dyDescent="0.25">
      <c r="A47" s="272" t="s">
        <v>9358</v>
      </c>
      <c r="B47" s="272" t="s">
        <v>10591</v>
      </c>
      <c r="C47" s="265" t="s">
        <v>9378</v>
      </c>
      <c r="D47" s="266" t="s">
        <v>9379</v>
      </c>
      <c r="E47" s="265" t="s">
        <v>10592</v>
      </c>
      <c r="F47" s="272" t="s">
        <v>9198</v>
      </c>
      <c r="G47" s="272" t="s">
        <v>9197</v>
      </c>
      <c r="H47" s="7" t="s">
        <v>10647</v>
      </c>
      <c r="I47" s="266" t="s">
        <v>10648</v>
      </c>
      <c r="J47" s="7" t="s">
        <v>10602</v>
      </c>
      <c r="K47" s="7" t="s">
        <v>10592</v>
      </c>
    </row>
    <row r="48" spans="1:11" ht="14.55" customHeight="1" x14ac:dyDescent="0.25">
      <c r="A48" s="272" t="s">
        <v>9358</v>
      </c>
      <c r="B48" s="272" t="s">
        <v>10591</v>
      </c>
      <c r="C48" s="265" t="s">
        <v>9378</v>
      </c>
      <c r="D48" s="266" t="s">
        <v>9379</v>
      </c>
      <c r="E48" s="265" t="s">
        <v>10592</v>
      </c>
      <c r="F48" s="272" t="s">
        <v>9198</v>
      </c>
      <c r="G48" s="272" t="s">
        <v>9197</v>
      </c>
      <c r="H48" s="7" t="s">
        <v>10649</v>
      </c>
      <c r="I48" s="266" t="s">
        <v>10650</v>
      </c>
      <c r="J48" s="7" t="s">
        <v>10592</v>
      </c>
      <c r="K48" s="7" t="s">
        <v>10592</v>
      </c>
    </row>
    <row r="49" spans="1:11" ht="14.55" customHeight="1" x14ac:dyDescent="0.25">
      <c r="A49" s="272" t="s">
        <v>9358</v>
      </c>
      <c r="B49" s="272" t="s">
        <v>10591</v>
      </c>
      <c r="C49" s="265" t="s">
        <v>9380</v>
      </c>
      <c r="D49" s="266" t="s">
        <v>9381</v>
      </c>
      <c r="E49" s="265" t="s">
        <v>10597</v>
      </c>
      <c r="F49" s="272" t="s">
        <v>9198</v>
      </c>
      <c r="G49" s="272" t="s">
        <v>9197</v>
      </c>
      <c r="H49" s="7" t="s">
        <v>10595</v>
      </c>
      <c r="I49" s="266" t="s">
        <v>10596</v>
      </c>
      <c r="J49" s="7" t="s">
        <v>10597</v>
      </c>
      <c r="K49" s="265" t="s">
        <v>10597</v>
      </c>
    </row>
    <row r="50" spans="1:11" ht="14.55" customHeight="1" x14ac:dyDescent="0.25">
      <c r="A50" s="272" t="s">
        <v>9358</v>
      </c>
      <c r="B50" s="272" t="s">
        <v>10591</v>
      </c>
      <c r="C50" s="265" t="s">
        <v>9382</v>
      </c>
      <c r="D50" s="266" t="s">
        <v>9383</v>
      </c>
      <c r="E50" s="265" t="s">
        <v>6577</v>
      </c>
      <c r="F50" s="272" t="s">
        <v>9198</v>
      </c>
      <c r="G50" s="272" t="s">
        <v>9197</v>
      </c>
      <c r="H50" s="7" t="s">
        <v>10651</v>
      </c>
      <c r="I50" s="266" t="s">
        <v>10652</v>
      </c>
      <c r="J50" s="7" t="s">
        <v>10600</v>
      </c>
      <c r="K50" s="265" t="s">
        <v>6577</v>
      </c>
    </row>
    <row r="51" spans="1:11" ht="14.55" customHeight="1" x14ac:dyDescent="0.25">
      <c r="A51" s="272" t="s">
        <v>9358</v>
      </c>
      <c r="B51" s="272" t="s">
        <v>10591</v>
      </c>
      <c r="C51" s="265" t="s">
        <v>9382</v>
      </c>
      <c r="D51" s="266" t="s">
        <v>9383</v>
      </c>
      <c r="E51" s="265" t="s">
        <v>6577</v>
      </c>
      <c r="F51" s="272" t="s">
        <v>9198</v>
      </c>
      <c r="G51" s="272" t="s">
        <v>9197</v>
      </c>
      <c r="H51" s="7" t="s">
        <v>10598</v>
      </c>
      <c r="I51" s="266" t="s">
        <v>10599</v>
      </c>
      <c r="J51" s="7" t="s">
        <v>10600</v>
      </c>
      <c r="K51" s="265" t="s">
        <v>6577</v>
      </c>
    </row>
    <row r="52" spans="1:11" ht="14.55" customHeight="1" x14ac:dyDescent="0.25">
      <c r="A52" s="272" t="s">
        <v>9358</v>
      </c>
      <c r="B52" s="272" t="s">
        <v>10591</v>
      </c>
      <c r="C52" s="265" t="s">
        <v>9384</v>
      </c>
      <c r="D52" s="266" t="s">
        <v>9385</v>
      </c>
      <c r="E52" s="265" t="s">
        <v>10601</v>
      </c>
      <c r="F52" s="272" t="s">
        <v>9198</v>
      </c>
      <c r="G52" s="272" t="s">
        <v>9197</v>
      </c>
      <c r="H52" s="7" t="s">
        <v>10651</v>
      </c>
      <c r="I52" s="266" t="s">
        <v>10652</v>
      </c>
      <c r="J52" s="7" t="s">
        <v>10600</v>
      </c>
      <c r="K52" s="265" t="s">
        <v>10601</v>
      </c>
    </row>
    <row r="53" spans="1:11" ht="14.55" customHeight="1" x14ac:dyDescent="0.25">
      <c r="A53" s="272" t="s">
        <v>9358</v>
      </c>
      <c r="B53" s="272" t="s">
        <v>10591</v>
      </c>
      <c r="C53" s="265" t="s">
        <v>9384</v>
      </c>
      <c r="D53" s="266" t="s">
        <v>9385</v>
      </c>
      <c r="E53" s="265" t="s">
        <v>10601</v>
      </c>
      <c r="F53" s="272" t="s">
        <v>9198</v>
      </c>
      <c r="G53" s="272" t="s">
        <v>9197</v>
      </c>
      <c r="H53" s="7" t="s">
        <v>10647</v>
      </c>
      <c r="I53" s="266" t="s">
        <v>10648</v>
      </c>
      <c r="J53" s="7" t="s">
        <v>10602</v>
      </c>
      <c r="K53" s="265" t="s">
        <v>10601</v>
      </c>
    </row>
    <row r="54" spans="1:11" ht="14.55" customHeight="1" x14ac:dyDescent="0.25">
      <c r="A54" s="272" t="s">
        <v>9358</v>
      </c>
      <c r="B54" s="272" t="s">
        <v>10591</v>
      </c>
      <c r="C54" s="265" t="s">
        <v>9384</v>
      </c>
      <c r="D54" s="266" t="s">
        <v>9385</v>
      </c>
      <c r="E54" s="265" t="s">
        <v>10601</v>
      </c>
      <c r="F54" s="272" t="s">
        <v>9198</v>
      </c>
      <c r="G54" s="272" t="s">
        <v>9197</v>
      </c>
      <c r="H54" s="7" t="s">
        <v>10649</v>
      </c>
      <c r="I54" s="266" t="s">
        <v>10650</v>
      </c>
      <c r="J54" s="7" t="s">
        <v>10592</v>
      </c>
      <c r="K54" s="265" t="s">
        <v>10601</v>
      </c>
    </row>
    <row r="55" spans="1:11" ht="14.55" customHeight="1" x14ac:dyDescent="0.25">
      <c r="A55" s="272" t="s">
        <v>9358</v>
      </c>
      <c r="B55" s="272" t="s">
        <v>10591</v>
      </c>
      <c r="C55" s="265" t="s">
        <v>9384</v>
      </c>
      <c r="D55" s="266" t="s">
        <v>9385</v>
      </c>
      <c r="E55" s="265" t="s">
        <v>10601</v>
      </c>
      <c r="F55" s="272" t="s">
        <v>9198</v>
      </c>
      <c r="G55" s="272" t="s">
        <v>9197</v>
      </c>
      <c r="H55" s="7" t="s">
        <v>10598</v>
      </c>
      <c r="I55" s="266" t="s">
        <v>10599</v>
      </c>
      <c r="J55" s="7" t="s">
        <v>10600</v>
      </c>
      <c r="K55" s="265" t="s">
        <v>10601</v>
      </c>
    </row>
    <row r="56" spans="1:11" ht="14.55" customHeight="1" x14ac:dyDescent="0.25">
      <c r="A56" s="272" t="s">
        <v>9358</v>
      </c>
      <c r="B56" s="272" t="s">
        <v>10591</v>
      </c>
      <c r="C56" s="265" t="s">
        <v>9386</v>
      </c>
      <c r="D56" s="266" t="s">
        <v>13424</v>
      </c>
      <c r="E56" s="265" t="s">
        <v>10592</v>
      </c>
      <c r="F56" s="272" t="s">
        <v>9198</v>
      </c>
      <c r="G56" s="272" t="s">
        <v>9197</v>
      </c>
      <c r="H56" s="7" t="s">
        <v>10593</v>
      </c>
      <c r="I56" s="266" t="s">
        <v>10594</v>
      </c>
      <c r="J56" s="7" t="s">
        <v>10592</v>
      </c>
      <c r="K56" s="265" t="s">
        <v>10592</v>
      </c>
    </row>
    <row r="57" spans="1:11" s="358" customFormat="1" ht="14.55" customHeight="1" x14ac:dyDescent="0.25">
      <c r="A57" s="286" t="s">
        <v>9358</v>
      </c>
      <c r="B57" s="379" t="s">
        <v>10591</v>
      </c>
      <c r="C57" s="380" t="s">
        <v>9386</v>
      </c>
      <c r="D57" s="381" t="s">
        <v>13490</v>
      </c>
      <c r="E57" s="380" t="s">
        <v>10592</v>
      </c>
      <c r="F57" s="379" t="s">
        <v>9198</v>
      </c>
      <c r="G57" s="379" t="s">
        <v>9197</v>
      </c>
      <c r="H57" s="363" t="s">
        <v>10647</v>
      </c>
      <c r="I57" s="362" t="s">
        <v>10648</v>
      </c>
      <c r="J57" s="363" t="s">
        <v>10602</v>
      </c>
      <c r="K57" s="361" t="s">
        <v>10592</v>
      </c>
    </row>
    <row r="58" spans="1:11" s="358" customFormat="1" ht="14.55" customHeight="1" x14ac:dyDescent="0.25">
      <c r="A58" s="286" t="s">
        <v>9358</v>
      </c>
      <c r="B58" s="379" t="s">
        <v>10591</v>
      </c>
      <c r="C58" s="380" t="s">
        <v>9386</v>
      </c>
      <c r="D58" s="381" t="s">
        <v>13490</v>
      </c>
      <c r="E58" s="380" t="s">
        <v>10592</v>
      </c>
      <c r="F58" s="379" t="s">
        <v>9198</v>
      </c>
      <c r="G58" s="379" t="s">
        <v>9197</v>
      </c>
      <c r="H58" s="363" t="s">
        <v>10649</v>
      </c>
      <c r="I58" s="362" t="s">
        <v>10650</v>
      </c>
      <c r="J58" s="363" t="s">
        <v>10592</v>
      </c>
      <c r="K58" s="361" t="s">
        <v>10592</v>
      </c>
    </row>
    <row r="59" spans="1:11" ht="14.55" customHeight="1" x14ac:dyDescent="0.25">
      <c r="A59" s="272" t="s">
        <v>9358</v>
      </c>
      <c r="B59" s="272" t="s">
        <v>10591</v>
      </c>
      <c r="C59" s="265" t="s">
        <v>9387</v>
      </c>
      <c r="D59" s="266" t="s">
        <v>9388</v>
      </c>
      <c r="E59" s="278" t="s">
        <v>126</v>
      </c>
      <c r="F59" s="272" t="s">
        <v>9198</v>
      </c>
      <c r="G59" s="272" t="s">
        <v>9197</v>
      </c>
      <c r="H59" s="7" t="s">
        <v>10653</v>
      </c>
      <c r="I59" s="266" t="s">
        <v>10654</v>
      </c>
      <c r="J59" s="7" t="s">
        <v>10655</v>
      </c>
      <c r="K59" s="278" t="s">
        <v>126</v>
      </c>
    </row>
    <row r="60" spans="1:11" ht="14.55" customHeight="1" x14ac:dyDescent="0.25">
      <c r="A60" s="272" t="s">
        <v>9358</v>
      </c>
      <c r="B60" s="272" t="s">
        <v>10591</v>
      </c>
      <c r="C60" s="265" t="s">
        <v>9387</v>
      </c>
      <c r="D60" s="266" t="s">
        <v>9388</v>
      </c>
      <c r="E60" s="278" t="s">
        <v>126</v>
      </c>
      <c r="F60" s="272" t="s">
        <v>9198</v>
      </c>
      <c r="G60" s="272" t="s">
        <v>9197</v>
      </c>
      <c r="H60" s="7" t="s">
        <v>10656</v>
      </c>
      <c r="I60" s="266" t="s">
        <v>10657</v>
      </c>
      <c r="J60" s="7" t="s">
        <v>10658</v>
      </c>
      <c r="K60" s="278" t="s">
        <v>126</v>
      </c>
    </row>
    <row r="61" spans="1:11" ht="14.55" customHeight="1" x14ac:dyDescent="0.25">
      <c r="A61" s="286" t="s">
        <v>9358</v>
      </c>
      <c r="B61" s="293" t="s">
        <v>10591</v>
      </c>
      <c r="C61" s="294" t="s">
        <v>9387</v>
      </c>
      <c r="D61" s="353" t="s">
        <v>9388</v>
      </c>
      <c r="E61" s="294" t="s">
        <v>126</v>
      </c>
      <c r="F61" s="293" t="s">
        <v>9198</v>
      </c>
      <c r="G61" s="293" t="s">
        <v>9197</v>
      </c>
      <c r="H61" s="354" t="s">
        <v>13482</v>
      </c>
      <c r="I61" s="350" t="s">
        <v>13483</v>
      </c>
      <c r="J61" s="354" t="s">
        <v>10602</v>
      </c>
      <c r="K61" s="354" t="s">
        <v>126</v>
      </c>
    </row>
    <row r="62" spans="1:11" ht="14.55" customHeight="1" x14ac:dyDescent="0.25">
      <c r="A62" s="272" t="s">
        <v>9358</v>
      </c>
      <c r="B62" s="272" t="s">
        <v>10591</v>
      </c>
      <c r="C62" s="265" t="s">
        <v>9389</v>
      </c>
      <c r="D62" s="266" t="s">
        <v>9390</v>
      </c>
      <c r="E62" s="278" t="s">
        <v>130</v>
      </c>
      <c r="F62" s="272" t="s">
        <v>9198</v>
      </c>
      <c r="G62" s="272" t="s">
        <v>9197</v>
      </c>
      <c r="H62" s="7" t="s">
        <v>10653</v>
      </c>
      <c r="I62" s="266" t="s">
        <v>10654</v>
      </c>
      <c r="J62" s="7" t="s">
        <v>10655</v>
      </c>
      <c r="K62" s="278" t="s">
        <v>130</v>
      </c>
    </row>
    <row r="63" spans="1:11" ht="14.55" customHeight="1" x14ac:dyDescent="0.25">
      <c r="A63" s="286" t="s">
        <v>9358</v>
      </c>
      <c r="B63" s="293" t="s">
        <v>10591</v>
      </c>
      <c r="C63" s="294" t="s">
        <v>9389</v>
      </c>
      <c r="D63" s="353" t="s">
        <v>9390</v>
      </c>
      <c r="E63" s="294" t="s">
        <v>130</v>
      </c>
      <c r="F63" s="293" t="s">
        <v>9198</v>
      </c>
      <c r="G63" s="293" t="s">
        <v>9197</v>
      </c>
      <c r="H63" s="354" t="s">
        <v>13482</v>
      </c>
      <c r="I63" s="350" t="s">
        <v>13483</v>
      </c>
      <c r="J63" s="354" t="s">
        <v>10602</v>
      </c>
      <c r="K63" s="354" t="s">
        <v>130</v>
      </c>
    </row>
    <row r="64" spans="1:11" ht="14.55" customHeight="1" x14ac:dyDescent="0.25">
      <c r="A64" s="272" t="s">
        <v>9358</v>
      </c>
      <c r="B64" s="272" t="s">
        <v>10591</v>
      </c>
      <c r="C64" s="265" t="s">
        <v>9391</v>
      </c>
      <c r="D64" s="266" t="s">
        <v>9392</v>
      </c>
      <c r="E64" s="278" t="s">
        <v>136</v>
      </c>
      <c r="F64" s="272" t="s">
        <v>9198</v>
      </c>
      <c r="G64" s="272" t="s">
        <v>9197</v>
      </c>
      <c r="H64" s="7" t="s">
        <v>10653</v>
      </c>
      <c r="I64" s="266" t="s">
        <v>10654</v>
      </c>
      <c r="J64" s="7" t="s">
        <v>10655</v>
      </c>
      <c r="K64" s="278" t="s">
        <v>136</v>
      </c>
    </row>
    <row r="65" spans="1:11" ht="14.55" customHeight="1" x14ac:dyDescent="0.25">
      <c r="A65" s="286" t="s">
        <v>9358</v>
      </c>
      <c r="B65" s="293" t="s">
        <v>10591</v>
      </c>
      <c r="C65" s="294" t="s">
        <v>9391</v>
      </c>
      <c r="D65" s="353" t="s">
        <v>9392</v>
      </c>
      <c r="E65" s="294" t="s">
        <v>136</v>
      </c>
      <c r="F65" s="293" t="s">
        <v>9198</v>
      </c>
      <c r="G65" s="293" t="s">
        <v>9197</v>
      </c>
      <c r="H65" s="354" t="s">
        <v>13482</v>
      </c>
      <c r="I65" s="350" t="s">
        <v>13483</v>
      </c>
      <c r="J65" s="354" t="s">
        <v>10602</v>
      </c>
      <c r="K65" s="354" t="s">
        <v>136</v>
      </c>
    </row>
    <row r="66" spans="1:11" ht="14.55" customHeight="1" x14ac:dyDescent="0.25">
      <c r="A66" s="272" t="s">
        <v>9358</v>
      </c>
      <c r="B66" s="272" t="s">
        <v>10591</v>
      </c>
      <c r="C66" s="265" t="s">
        <v>9393</v>
      </c>
      <c r="D66" s="266" t="s">
        <v>9394</v>
      </c>
      <c r="E66" s="278" t="s">
        <v>140</v>
      </c>
      <c r="F66" s="272" t="s">
        <v>9198</v>
      </c>
      <c r="G66" s="272" t="s">
        <v>9197</v>
      </c>
      <c r="H66" s="7" t="s">
        <v>10653</v>
      </c>
      <c r="I66" s="266" t="s">
        <v>10654</v>
      </c>
      <c r="J66" s="7" t="s">
        <v>10655</v>
      </c>
      <c r="K66" s="278" t="s">
        <v>140</v>
      </c>
    </row>
    <row r="67" spans="1:11" ht="14.55" customHeight="1" x14ac:dyDescent="0.25">
      <c r="A67" s="286" t="s">
        <v>9358</v>
      </c>
      <c r="B67" s="293" t="s">
        <v>10591</v>
      </c>
      <c r="C67" s="294" t="s">
        <v>9393</v>
      </c>
      <c r="D67" s="353" t="s">
        <v>9394</v>
      </c>
      <c r="E67" s="294" t="s">
        <v>140</v>
      </c>
      <c r="F67" s="293" t="s">
        <v>9198</v>
      </c>
      <c r="G67" s="293" t="s">
        <v>9197</v>
      </c>
      <c r="H67" s="354" t="s">
        <v>13482</v>
      </c>
      <c r="I67" s="350" t="s">
        <v>13483</v>
      </c>
      <c r="J67" s="354" t="s">
        <v>10602</v>
      </c>
      <c r="K67" s="354" t="s">
        <v>140</v>
      </c>
    </row>
    <row r="68" spans="1:11" ht="14.55" customHeight="1" x14ac:dyDescent="0.25">
      <c r="A68" s="272" t="s">
        <v>9358</v>
      </c>
      <c r="B68" s="272" t="s">
        <v>10591</v>
      </c>
      <c r="C68" s="265" t="s">
        <v>9395</v>
      </c>
      <c r="D68" s="266" t="s">
        <v>9396</v>
      </c>
      <c r="E68" s="278" t="s">
        <v>10659</v>
      </c>
      <c r="F68" s="272" t="s">
        <v>9198</v>
      </c>
      <c r="G68" s="272" t="s">
        <v>9197</v>
      </c>
      <c r="H68" s="7" t="s">
        <v>10653</v>
      </c>
      <c r="I68" s="266" t="s">
        <v>10654</v>
      </c>
      <c r="J68" s="7" t="s">
        <v>10655</v>
      </c>
      <c r="K68" s="278" t="s">
        <v>10659</v>
      </c>
    </row>
    <row r="69" spans="1:11" ht="14.55" customHeight="1" x14ac:dyDescent="0.25">
      <c r="A69" s="286" t="s">
        <v>9358</v>
      </c>
      <c r="B69" s="293" t="s">
        <v>10591</v>
      </c>
      <c r="C69" s="294" t="s">
        <v>9395</v>
      </c>
      <c r="D69" s="353" t="s">
        <v>9396</v>
      </c>
      <c r="E69" s="294" t="s">
        <v>10659</v>
      </c>
      <c r="F69" s="293" t="s">
        <v>9198</v>
      </c>
      <c r="G69" s="293" t="s">
        <v>9197</v>
      </c>
      <c r="H69" s="354" t="s">
        <v>13482</v>
      </c>
      <c r="I69" s="350" t="s">
        <v>13483</v>
      </c>
      <c r="J69" s="354" t="s">
        <v>10602</v>
      </c>
      <c r="K69" s="354" t="s">
        <v>10659</v>
      </c>
    </row>
    <row r="70" spans="1:11" ht="14.55" customHeight="1" x14ac:dyDescent="0.25">
      <c r="A70" s="272" t="s">
        <v>9358</v>
      </c>
      <c r="B70" s="272" t="s">
        <v>10591</v>
      </c>
      <c r="C70" s="265" t="s">
        <v>9397</v>
      </c>
      <c r="D70" s="266" t="s">
        <v>9398</v>
      </c>
      <c r="E70" s="265" t="s">
        <v>10659</v>
      </c>
      <c r="F70" s="272" t="s">
        <v>9198</v>
      </c>
      <c r="G70" s="272" t="s">
        <v>9197</v>
      </c>
      <c r="H70" s="7" t="s">
        <v>10653</v>
      </c>
      <c r="I70" s="266" t="s">
        <v>10654</v>
      </c>
      <c r="J70" s="7" t="s">
        <v>10655</v>
      </c>
      <c r="K70" s="265" t="s">
        <v>10659</v>
      </c>
    </row>
    <row r="71" spans="1:11" ht="14.55" customHeight="1" x14ac:dyDescent="0.25">
      <c r="A71" s="286" t="s">
        <v>9358</v>
      </c>
      <c r="B71" s="293" t="s">
        <v>10591</v>
      </c>
      <c r="C71" s="294" t="s">
        <v>9397</v>
      </c>
      <c r="D71" s="353" t="s">
        <v>9398</v>
      </c>
      <c r="E71" s="294" t="s">
        <v>10659</v>
      </c>
      <c r="F71" s="293" t="s">
        <v>9198</v>
      </c>
      <c r="G71" s="293" t="s">
        <v>9197</v>
      </c>
      <c r="H71" s="354" t="s">
        <v>13482</v>
      </c>
      <c r="I71" s="350" t="s">
        <v>13483</v>
      </c>
      <c r="J71" s="354" t="s">
        <v>10602</v>
      </c>
      <c r="K71" s="354" t="s">
        <v>10659</v>
      </c>
    </row>
    <row r="72" spans="1:11" ht="14.55" customHeight="1" x14ac:dyDescent="0.25">
      <c r="A72" s="272" t="s">
        <v>9358</v>
      </c>
      <c r="B72" s="272" t="s">
        <v>10591</v>
      </c>
      <c r="C72" s="265" t="s">
        <v>9399</v>
      </c>
      <c r="D72" s="266" t="s">
        <v>9400</v>
      </c>
      <c r="E72" s="278" t="s">
        <v>10659</v>
      </c>
      <c r="F72" s="272" t="s">
        <v>9198</v>
      </c>
      <c r="G72" s="272" t="s">
        <v>9197</v>
      </c>
      <c r="H72" s="7" t="s">
        <v>10653</v>
      </c>
      <c r="I72" s="266" t="s">
        <v>10654</v>
      </c>
      <c r="J72" s="7" t="s">
        <v>10655</v>
      </c>
      <c r="K72" s="278" t="s">
        <v>10659</v>
      </c>
    </row>
    <row r="73" spans="1:11" ht="14.55" customHeight="1" x14ac:dyDescent="0.25">
      <c r="A73" s="286" t="s">
        <v>9358</v>
      </c>
      <c r="B73" s="293" t="s">
        <v>10591</v>
      </c>
      <c r="C73" s="294" t="s">
        <v>9399</v>
      </c>
      <c r="D73" s="353" t="s">
        <v>9400</v>
      </c>
      <c r="E73" s="294" t="s">
        <v>10659</v>
      </c>
      <c r="F73" s="293" t="s">
        <v>9198</v>
      </c>
      <c r="G73" s="293" t="s">
        <v>9197</v>
      </c>
      <c r="H73" s="354" t="s">
        <v>13482</v>
      </c>
      <c r="I73" s="350" t="s">
        <v>13483</v>
      </c>
      <c r="J73" s="354" t="s">
        <v>10602</v>
      </c>
      <c r="K73" s="354" t="s">
        <v>10659</v>
      </c>
    </row>
    <row r="74" spans="1:11" ht="14.55" customHeight="1" x14ac:dyDescent="0.25">
      <c r="A74" s="272" t="s">
        <v>9358</v>
      </c>
      <c r="B74" s="272" t="s">
        <v>10591</v>
      </c>
      <c r="C74" s="265" t="s">
        <v>9401</v>
      </c>
      <c r="D74" s="266" t="s">
        <v>9402</v>
      </c>
      <c r="E74" s="265" t="s">
        <v>10602</v>
      </c>
      <c r="F74" s="272" t="s">
        <v>9198</v>
      </c>
      <c r="G74" s="272" t="s">
        <v>9197</v>
      </c>
      <c r="H74" s="7" t="s">
        <v>10660</v>
      </c>
      <c r="I74" s="266" t="s">
        <v>9406</v>
      </c>
      <c r="J74" s="7" t="s">
        <v>10602</v>
      </c>
      <c r="K74" s="265" t="s">
        <v>10602</v>
      </c>
    </row>
    <row r="75" spans="1:11" ht="14.55" customHeight="1" x14ac:dyDescent="0.25">
      <c r="A75" s="272" t="s">
        <v>9358</v>
      </c>
      <c r="B75" s="272" t="s">
        <v>10591</v>
      </c>
      <c r="C75" s="265" t="s">
        <v>9401</v>
      </c>
      <c r="D75" s="266" t="s">
        <v>9402</v>
      </c>
      <c r="E75" s="265" t="s">
        <v>10602</v>
      </c>
      <c r="F75" s="272" t="s">
        <v>9198</v>
      </c>
      <c r="G75" s="272" t="s">
        <v>9197</v>
      </c>
      <c r="H75" s="7" t="s">
        <v>10661</v>
      </c>
      <c r="I75" s="266" t="s">
        <v>10662</v>
      </c>
      <c r="J75" s="7" t="s">
        <v>10602</v>
      </c>
      <c r="K75" s="265" t="s">
        <v>10602</v>
      </c>
    </row>
    <row r="76" spans="1:11" ht="14.55" customHeight="1" x14ac:dyDescent="0.25">
      <c r="A76" s="286" t="s">
        <v>9358</v>
      </c>
      <c r="B76" s="293" t="s">
        <v>10591</v>
      </c>
      <c r="C76" s="294" t="s">
        <v>9401</v>
      </c>
      <c r="D76" s="353" t="s">
        <v>9402</v>
      </c>
      <c r="E76" s="294" t="s">
        <v>10602</v>
      </c>
      <c r="F76" s="293" t="s">
        <v>9198</v>
      </c>
      <c r="G76" s="293" t="s">
        <v>9197</v>
      </c>
      <c r="H76" s="354" t="s">
        <v>13482</v>
      </c>
      <c r="I76" s="350" t="s">
        <v>13483</v>
      </c>
      <c r="J76" s="354" t="s">
        <v>10602</v>
      </c>
      <c r="K76" s="354" t="s">
        <v>10602</v>
      </c>
    </row>
    <row r="77" spans="1:11" ht="14.55" customHeight="1" x14ac:dyDescent="0.25">
      <c r="A77" s="272" t="s">
        <v>9358</v>
      </c>
      <c r="B77" s="272" t="s">
        <v>10591</v>
      </c>
      <c r="C77" s="265" t="s">
        <v>9403</v>
      </c>
      <c r="D77" s="266" t="s">
        <v>9404</v>
      </c>
      <c r="E77" s="265" t="s">
        <v>10602</v>
      </c>
      <c r="F77" s="272" t="s">
        <v>9198</v>
      </c>
      <c r="G77" s="272" t="s">
        <v>9197</v>
      </c>
      <c r="H77" s="7" t="s">
        <v>10660</v>
      </c>
      <c r="I77" s="266" t="s">
        <v>9406</v>
      </c>
      <c r="J77" s="7" t="s">
        <v>10602</v>
      </c>
      <c r="K77" s="265" t="s">
        <v>10602</v>
      </c>
    </row>
    <row r="78" spans="1:11" ht="14.55" customHeight="1" x14ac:dyDescent="0.25">
      <c r="A78" s="272" t="s">
        <v>9358</v>
      </c>
      <c r="B78" s="272" t="s">
        <v>10591</v>
      </c>
      <c r="C78" s="265" t="s">
        <v>9403</v>
      </c>
      <c r="D78" s="266" t="s">
        <v>9404</v>
      </c>
      <c r="E78" s="265" t="s">
        <v>10602</v>
      </c>
      <c r="F78" s="272" t="s">
        <v>9198</v>
      </c>
      <c r="G78" s="272" t="s">
        <v>9197</v>
      </c>
      <c r="H78" s="7" t="s">
        <v>10661</v>
      </c>
      <c r="I78" s="266" t="s">
        <v>10662</v>
      </c>
      <c r="J78" s="7" t="s">
        <v>10602</v>
      </c>
      <c r="K78" s="265" t="s">
        <v>10602</v>
      </c>
    </row>
    <row r="79" spans="1:11" ht="14.55" customHeight="1" x14ac:dyDescent="0.25">
      <c r="A79" s="286" t="s">
        <v>9358</v>
      </c>
      <c r="B79" s="293" t="s">
        <v>10591</v>
      </c>
      <c r="C79" s="294" t="s">
        <v>9403</v>
      </c>
      <c r="D79" s="353" t="s">
        <v>9404</v>
      </c>
      <c r="E79" s="294" t="s">
        <v>10602</v>
      </c>
      <c r="F79" s="293" t="s">
        <v>9198</v>
      </c>
      <c r="G79" s="293" t="s">
        <v>9197</v>
      </c>
      <c r="H79" s="354" t="s">
        <v>13482</v>
      </c>
      <c r="I79" s="350" t="s">
        <v>13483</v>
      </c>
      <c r="J79" s="354" t="s">
        <v>10602</v>
      </c>
      <c r="K79" s="354" t="s">
        <v>10602</v>
      </c>
    </row>
    <row r="80" spans="1:11" ht="14.55" customHeight="1" x14ac:dyDescent="0.25">
      <c r="A80" s="272" t="s">
        <v>9358</v>
      </c>
      <c r="B80" s="272" t="s">
        <v>10591</v>
      </c>
      <c r="C80" s="265" t="s">
        <v>9405</v>
      </c>
      <c r="D80" s="266" t="s">
        <v>9406</v>
      </c>
      <c r="E80" s="265" t="s">
        <v>10602</v>
      </c>
      <c r="F80" s="272" t="s">
        <v>9198</v>
      </c>
      <c r="G80" s="272" t="s">
        <v>9197</v>
      </c>
      <c r="H80" s="7" t="s">
        <v>10660</v>
      </c>
      <c r="I80" s="266" t="s">
        <v>9406</v>
      </c>
      <c r="J80" s="7" t="s">
        <v>10602</v>
      </c>
      <c r="K80" s="265" t="s">
        <v>10602</v>
      </c>
    </row>
    <row r="81" spans="1:11" ht="14.55" customHeight="1" x14ac:dyDescent="0.25">
      <c r="A81" s="286" t="s">
        <v>9358</v>
      </c>
      <c r="B81" s="293" t="s">
        <v>10591</v>
      </c>
      <c r="C81" s="294" t="s">
        <v>9405</v>
      </c>
      <c r="D81" s="353" t="s">
        <v>9406</v>
      </c>
      <c r="E81" s="294" t="s">
        <v>10602</v>
      </c>
      <c r="F81" s="293" t="s">
        <v>9198</v>
      </c>
      <c r="G81" s="293" t="s">
        <v>9197</v>
      </c>
      <c r="H81" s="354" t="s">
        <v>13482</v>
      </c>
      <c r="I81" s="350" t="s">
        <v>13483</v>
      </c>
      <c r="J81" s="354" t="s">
        <v>10602</v>
      </c>
      <c r="K81" s="354" t="s">
        <v>10602</v>
      </c>
    </row>
    <row r="82" spans="1:11" ht="14.55" customHeight="1" x14ac:dyDescent="0.25">
      <c r="A82" s="272" t="s">
        <v>9358</v>
      </c>
      <c r="B82" s="272" t="s">
        <v>10591</v>
      </c>
      <c r="C82" s="265" t="s">
        <v>9407</v>
      </c>
      <c r="D82" s="266" t="s">
        <v>9408</v>
      </c>
      <c r="E82" s="265" t="s">
        <v>10602</v>
      </c>
      <c r="F82" s="272" t="s">
        <v>9198</v>
      </c>
      <c r="G82" s="272" t="s">
        <v>9197</v>
      </c>
      <c r="H82" s="7" t="s">
        <v>10660</v>
      </c>
      <c r="I82" s="266" t="s">
        <v>9406</v>
      </c>
      <c r="J82" s="7" t="s">
        <v>10602</v>
      </c>
      <c r="K82" s="265" t="s">
        <v>10602</v>
      </c>
    </row>
    <row r="83" spans="1:11" ht="14.55" customHeight="1" x14ac:dyDescent="0.25">
      <c r="A83" s="286" t="s">
        <v>9358</v>
      </c>
      <c r="B83" s="293" t="s">
        <v>10591</v>
      </c>
      <c r="C83" s="294" t="s">
        <v>9407</v>
      </c>
      <c r="D83" s="353" t="s">
        <v>9408</v>
      </c>
      <c r="E83" s="294" t="s">
        <v>10602</v>
      </c>
      <c r="F83" s="293" t="s">
        <v>9198</v>
      </c>
      <c r="G83" s="293" t="s">
        <v>9197</v>
      </c>
      <c r="H83" s="354" t="s">
        <v>13482</v>
      </c>
      <c r="I83" s="350" t="s">
        <v>13483</v>
      </c>
      <c r="J83" s="354" t="s">
        <v>10602</v>
      </c>
      <c r="K83" s="354" t="s">
        <v>10602</v>
      </c>
    </row>
    <row r="84" spans="1:11" ht="14.55" customHeight="1" x14ac:dyDescent="0.25">
      <c r="A84" s="272" t="s">
        <v>9358</v>
      </c>
      <c r="B84" s="272" t="s">
        <v>10591</v>
      </c>
      <c r="C84" s="265" t="s">
        <v>9409</v>
      </c>
      <c r="D84" s="266" t="s">
        <v>9410</v>
      </c>
      <c r="E84" s="278" t="s">
        <v>10663</v>
      </c>
      <c r="F84" s="272" t="s">
        <v>9198</v>
      </c>
      <c r="G84" s="272" t="s">
        <v>9197</v>
      </c>
      <c r="H84" s="7" t="s">
        <v>10653</v>
      </c>
      <c r="I84" s="266" t="s">
        <v>10654</v>
      </c>
      <c r="J84" s="7" t="s">
        <v>10655</v>
      </c>
      <c r="K84" s="265" t="s">
        <v>10655</v>
      </c>
    </row>
    <row r="85" spans="1:11" ht="14.55" customHeight="1" x14ac:dyDescent="0.25">
      <c r="A85" s="272" t="s">
        <v>9358</v>
      </c>
      <c r="B85" s="272" t="s">
        <v>10591</v>
      </c>
      <c r="C85" s="265" t="s">
        <v>9409</v>
      </c>
      <c r="D85" s="266" t="s">
        <v>9410</v>
      </c>
      <c r="E85" s="278" t="s">
        <v>10663</v>
      </c>
      <c r="F85" s="272" t="s">
        <v>9198</v>
      </c>
      <c r="G85" s="272" t="s">
        <v>9197</v>
      </c>
      <c r="H85" s="7" t="s">
        <v>10656</v>
      </c>
      <c r="I85" s="266" t="s">
        <v>10657</v>
      </c>
      <c r="J85" s="7" t="s">
        <v>10658</v>
      </c>
      <c r="K85" s="265" t="s">
        <v>10658</v>
      </c>
    </row>
    <row r="86" spans="1:11" ht="14.55" customHeight="1" x14ac:dyDescent="0.25">
      <c r="A86" s="286" t="s">
        <v>9358</v>
      </c>
      <c r="B86" s="293" t="s">
        <v>10591</v>
      </c>
      <c r="C86" s="294" t="s">
        <v>9409</v>
      </c>
      <c r="D86" s="353" t="s">
        <v>9410</v>
      </c>
      <c r="E86" s="294" t="s">
        <v>10663</v>
      </c>
      <c r="F86" s="293" t="s">
        <v>9198</v>
      </c>
      <c r="G86" s="293" t="s">
        <v>9197</v>
      </c>
      <c r="H86" s="354" t="s">
        <v>13482</v>
      </c>
      <c r="I86" s="350" t="s">
        <v>13483</v>
      </c>
      <c r="J86" s="354" t="s">
        <v>10602</v>
      </c>
      <c r="K86" s="354" t="s">
        <v>10663</v>
      </c>
    </row>
    <row r="87" spans="1:11" ht="14.55" customHeight="1" x14ac:dyDescent="0.25">
      <c r="A87" s="272" t="s">
        <v>9358</v>
      </c>
      <c r="B87" s="272" t="s">
        <v>10591</v>
      </c>
      <c r="C87" s="265" t="s">
        <v>9411</v>
      </c>
      <c r="D87" s="266" t="s">
        <v>9412</v>
      </c>
      <c r="E87" s="278" t="s">
        <v>10663</v>
      </c>
      <c r="F87" s="272" t="s">
        <v>9198</v>
      </c>
      <c r="G87" s="272" t="s">
        <v>9197</v>
      </c>
      <c r="H87" s="7" t="s">
        <v>10653</v>
      </c>
      <c r="I87" s="266" t="s">
        <v>10654</v>
      </c>
      <c r="J87" s="7" t="s">
        <v>10655</v>
      </c>
      <c r="K87" s="265" t="s">
        <v>10655</v>
      </c>
    </row>
    <row r="88" spans="1:11" ht="14.55" customHeight="1" x14ac:dyDescent="0.25">
      <c r="A88" s="272" t="s">
        <v>9358</v>
      </c>
      <c r="B88" s="272" t="s">
        <v>10591</v>
      </c>
      <c r="C88" s="265" t="s">
        <v>9411</v>
      </c>
      <c r="D88" s="266" t="s">
        <v>9412</v>
      </c>
      <c r="E88" s="278" t="s">
        <v>10663</v>
      </c>
      <c r="F88" s="272" t="s">
        <v>9198</v>
      </c>
      <c r="G88" s="272" t="s">
        <v>9197</v>
      </c>
      <c r="H88" s="7" t="s">
        <v>10656</v>
      </c>
      <c r="I88" s="266" t="s">
        <v>10657</v>
      </c>
      <c r="J88" s="7" t="s">
        <v>10658</v>
      </c>
      <c r="K88" s="265" t="s">
        <v>10658</v>
      </c>
    </row>
    <row r="89" spans="1:11" ht="14.55" customHeight="1" x14ac:dyDescent="0.25">
      <c r="A89" s="286" t="s">
        <v>9358</v>
      </c>
      <c r="B89" s="293" t="s">
        <v>10591</v>
      </c>
      <c r="C89" s="294" t="s">
        <v>9411</v>
      </c>
      <c r="D89" s="353" t="s">
        <v>9412</v>
      </c>
      <c r="E89" s="294" t="s">
        <v>10663</v>
      </c>
      <c r="F89" s="293" t="s">
        <v>9198</v>
      </c>
      <c r="G89" s="293" t="s">
        <v>9197</v>
      </c>
      <c r="H89" s="354" t="s">
        <v>13482</v>
      </c>
      <c r="I89" s="350" t="s">
        <v>13483</v>
      </c>
      <c r="J89" s="354" t="s">
        <v>10602</v>
      </c>
      <c r="K89" s="354" t="s">
        <v>10663</v>
      </c>
    </row>
    <row r="90" spans="1:11" ht="14.55" customHeight="1" x14ac:dyDescent="0.25">
      <c r="A90" s="272" t="s">
        <v>9358</v>
      </c>
      <c r="B90" s="272" t="s">
        <v>10591</v>
      </c>
      <c r="C90" s="265" t="s">
        <v>9413</v>
      </c>
      <c r="D90" s="266" t="s">
        <v>9414</v>
      </c>
      <c r="E90" s="278" t="s">
        <v>10663</v>
      </c>
      <c r="F90" s="272" t="s">
        <v>9198</v>
      </c>
      <c r="G90" s="272" t="s">
        <v>9197</v>
      </c>
      <c r="H90" s="7" t="s">
        <v>10653</v>
      </c>
      <c r="I90" s="266" t="s">
        <v>10654</v>
      </c>
      <c r="J90" s="7" t="s">
        <v>10655</v>
      </c>
      <c r="K90" s="7" t="s">
        <v>10655</v>
      </c>
    </row>
    <row r="91" spans="1:11" ht="14.55" customHeight="1" x14ac:dyDescent="0.25">
      <c r="A91" s="272" t="s">
        <v>9358</v>
      </c>
      <c r="B91" s="272" t="s">
        <v>10591</v>
      </c>
      <c r="C91" s="265" t="s">
        <v>9413</v>
      </c>
      <c r="D91" s="266" t="s">
        <v>9414</v>
      </c>
      <c r="E91" s="278" t="s">
        <v>10663</v>
      </c>
      <c r="F91" s="272" t="s">
        <v>9198</v>
      </c>
      <c r="G91" s="272" t="s">
        <v>9197</v>
      </c>
      <c r="H91" s="7" t="s">
        <v>10664</v>
      </c>
      <c r="I91" s="266" t="s">
        <v>10665</v>
      </c>
      <c r="J91" s="7" t="s">
        <v>10655</v>
      </c>
      <c r="K91" s="7" t="s">
        <v>10655</v>
      </c>
    </row>
    <row r="92" spans="1:11" ht="14.55" customHeight="1" x14ac:dyDescent="0.25">
      <c r="A92" s="272" t="s">
        <v>9358</v>
      </c>
      <c r="B92" s="272" t="s">
        <v>10591</v>
      </c>
      <c r="C92" s="265" t="s">
        <v>9413</v>
      </c>
      <c r="D92" s="266" t="s">
        <v>9414</v>
      </c>
      <c r="E92" s="278" t="s">
        <v>10663</v>
      </c>
      <c r="F92" s="272" t="s">
        <v>9198</v>
      </c>
      <c r="G92" s="272" t="s">
        <v>9197</v>
      </c>
      <c r="H92" s="7" t="s">
        <v>10666</v>
      </c>
      <c r="I92" s="266" t="s">
        <v>10667</v>
      </c>
      <c r="J92" s="7" t="s">
        <v>10655</v>
      </c>
      <c r="K92" s="7" t="s">
        <v>10655</v>
      </c>
    </row>
    <row r="93" spans="1:11" ht="14.55" customHeight="1" x14ac:dyDescent="0.25">
      <c r="A93" s="286" t="s">
        <v>9358</v>
      </c>
      <c r="B93" s="293" t="s">
        <v>10591</v>
      </c>
      <c r="C93" s="294" t="s">
        <v>9413</v>
      </c>
      <c r="D93" s="353" t="s">
        <v>9414</v>
      </c>
      <c r="E93" s="294" t="s">
        <v>10663</v>
      </c>
      <c r="F93" s="293" t="s">
        <v>9198</v>
      </c>
      <c r="G93" s="293" t="s">
        <v>9197</v>
      </c>
      <c r="H93" s="354" t="s">
        <v>13482</v>
      </c>
      <c r="I93" s="350" t="s">
        <v>13483</v>
      </c>
      <c r="J93" s="354" t="s">
        <v>10602</v>
      </c>
      <c r="K93" s="354" t="s">
        <v>10663</v>
      </c>
    </row>
    <row r="94" spans="1:11" ht="14.55" customHeight="1" x14ac:dyDescent="0.25">
      <c r="A94" s="272" t="s">
        <v>9358</v>
      </c>
      <c r="B94" s="272" t="s">
        <v>10591</v>
      </c>
      <c r="C94" s="265" t="s">
        <v>9413</v>
      </c>
      <c r="D94" s="266" t="s">
        <v>9414</v>
      </c>
      <c r="E94" s="278" t="s">
        <v>10663</v>
      </c>
      <c r="F94" s="272" t="s">
        <v>9198</v>
      </c>
      <c r="G94" s="272" t="s">
        <v>9197</v>
      </c>
      <c r="H94" s="7" t="s">
        <v>10656</v>
      </c>
      <c r="I94" s="266" t="s">
        <v>10657</v>
      </c>
      <c r="J94" s="7" t="s">
        <v>10658</v>
      </c>
      <c r="K94" s="7" t="s">
        <v>10658</v>
      </c>
    </row>
    <row r="95" spans="1:11" ht="14.55" customHeight="1" x14ac:dyDescent="0.25">
      <c r="A95" s="272" t="s">
        <v>9358</v>
      </c>
      <c r="B95" s="272" t="s">
        <v>10591</v>
      </c>
      <c r="C95" s="265" t="s">
        <v>9413</v>
      </c>
      <c r="D95" s="266" t="s">
        <v>9414</v>
      </c>
      <c r="E95" s="278" t="s">
        <v>10663</v>
      </c>
      <c r="F95" s="272" t="s">
        <v>9198</v>
      </c>
      <c r="G95" s="272" t="s">
        <v>9197</v>
      </c>
      <c r="H95" s="7" t="s">
        <v>10668</v>
      </c>
      <c r="I95" s="266" t="s">
        <v>10669</v>
      </c>
      <c r="J95" s="7" t="s">
        <v>10658</v>
      </c>
      <c r="K95" s="7" t="s">
        <v>10658</v>
      </c>
    </row>
    <row r="96" spans="1:11" ht="14.55" customHeight="1" x14ac:dyDescent="0.25">
      <c r="A96" s="272" t="s">
        <v>9358</v>
      </c>
      <c r="B96" s="272" t="s">
        <v>10591</v>
      </c>
      <c r="C96" s="265" t="s">
        <v>9413</v>
      </c>
      <c r="D96" s="266" t="s">
        <v>9414</v>
      </c>
      <c r="E96" s="278" t="s">
        <v>10663</v>
      </c>
      <c r="F96" s="272" t="s">
        <v>9198</v>
      </c>
      <c r="G96" s="272" t="s">
        <v>9197</v>
      </c>
      <c r="H96" s="7" t="s">
        <v>10670</v>
      </c>
      <c r="I96" s="266" t="s">
        <v>10671</v>
      </c>
      <c r="J96" s="7" t="s">
        <v>10658</v>
      </c>
      <c r="K96" s="7" t="s">
        <v>10658</v>
      </c>
    </row>
    <row r="97" spans="1:11" ht="14.55" customHeight="1" x14ac:dyDescent="0.25">
      <c r="A97" s="272" t="s">
        <v>9358</v>
      </c>
      <c r="B97" s="272" t="s">
        <v>10591</v>
      </c>
      <c r="C97" s="265" t="s">
        <v>9415</v>
      </c>
      <c r="D97" s="266" t="s">
        <v>9416</v>
      </c>
      <c r="E97" s="278" t="s">
        <v>10663</v>
      </c>
      <c r="F97" s="272" t="s">
        <v>9198</v>
      </c>
      <c r="G97" s="272" t="s">
        <v>9197</v>
      </c>
      <c r="H97" s="7" t="s">
        <v>10653</v>
      </c>
      <c r="I97" s="266" t="s">
        <v>10654</v>
      </c>
      <c r="J97" s="7" t="s">
        <v>10655</v>
      </c>
      <c r="K97" s="7" t="s">
        <v>10655</v>
      </c>
    </row>
    <row r="98" spans="1:11" ht="14.55" customHeight="1" x14ac:dyDescent="0.25">
      <c r="A98" s="272" t="s">
        <v>9358</v>
      </c>
      <c r="B98" s="272" t="s">
        <v>10591</v>
      </c>
      <c r="C98" s="265" t="s">
        <v>9415</v>
      </c>
      <c r="D98" s="266" t="s">
        <v>9416</v>
      </c>
      <c r="E98" s="278" t="s">
        <v>10663</v>
      </c>
      <c r="F98" s="272" t="s">
        <v>9198</v>
      </c>
      <c r="G98" s="272" t="s">
        <v>9197</v>
      </c>
      <c r="H98" s="7" t="s">
        <v>10666</v>
      </c>
      <c r="I98" s="266" t="s">
        <v>10667</v>
      </c>
      <c r="J98" s="7" t="s">
        <v>10655</v>
      </c>
      <c r="K98" s="7" t="s">
        <v>10655</v>
      </c>
    </row>
    <row r="99" spans="1:11" ht="14.55" customHeight="1" x14ac:dyDescent="0.25">
      <c r="A99" s="286" t="s">
        <v>9358</v>
      </c>
      <c r="B99" s="293" t="s">
        <v>10591</v>
      </c>
      <c r="C99" s="294" t="s">
        <v>9415</v>
      </c>
      <c r="D99" s="353" t="s">
        <v>9416</v>
      </c>
      <c r="E99" s="294" t="s">
        <v>10663</v>
      </c>
      <c r="F99" s="293" t="s">
        <v>9198</v>
      </c>
      <c r="G99" s="293" t="s">
        <v>9197</v>
      </c>
      <c r="H99" s="354" t="s">
        <v>13482</v>
      </c>
      <c r="I99" s="350" t="s">
        <v>13483</v>
      </c>
      <c r="J99" s="354" t="s">
        <v>10602</v>
      </c>
      <c r="K99" s="354" t="s">
        <v>10663</v>
      </c>
    </row>
    <row r="100" spans="1:11" ht="14.55" customHeight="1" x14ac:dyDescent="0.25">
      <c r="A100" s="272" t="s">
        <v>9358</v>
      </c>
      <c r="B100" s="272" t="s">
        <v>10591</v>
      </c>
      <c r="C100" s="265" t="s">
        <v>9415</v>
      </c>
      <c r="D100" s="266" t="s">
        <v>9416</v>
      </c>
      <c r="E100" s="278" t="s">
        <v>10663</v>
      </c>
      <c r="F100" s="272" t="s">
        <v>9198</v>
      </c>
      <c r="G100" s="272" t="s">
        <v>9197</v>
      </c>
      <c r="H100" s="7" t="s">
        <v>10656</v>
      </c>
      <c r="I100" s="266" t="s">
        <v>10657</v>
      </c>
      <c r="J100" s="7" t="s">
        <v>10658</v>
      </c>
      <c r="K100" s="7" t="s">
        <v>10658</v>
      </c>
    </row>
    <row r="101" spans="1:11" ht="14.55" customHeight="1" x14ac:dyDescent="0.25">
      <c r="A101" s="272" t="s">
        <v>9358</v>
      </c>
      <c r="B101" s="272" t="s">
        <v>10591</v>
      </c>
      <c r="C101" s="265" t="s">
        <v>9415</v>
      </c>
      <c r="D101" s="266" t="s">
        <v>9416</v>
      </c>
      <c r="E101" s="278" t="s">
        <v>10663</v>
      </c>
      <c r="F101" s="272" t="s">
        <v>9198</v>
      </c>
      <c r="G101" s="272" t="s">
        <v>9197</v>
      </c>
      <c r="H101" s="7" t="s">
        <v>10670</v>
      </c>
      <c r="I101" s="266" t="s">
        <v>10671</v>
      </c>
      <c r="J101" s="7" t="s">
        <v>10658</v>
      </c>
      <c r="K101" s="7" t="s">
        <v>10658</v>
      </c>
    </row>
    <row r="102" spans="1:11" ht="14.55" customHeight="1" x14ac:dyDescent="0.25">
      <c r="A102" s="272" t="s">
        <v>9358</v>
      </c>
      <c r="B102" s="272" t="s">
        <v>10591</v>
      </c>
      <c r="C102" s="265" t="s">
        <v>9417</v>
      </c>
      <c r="D102" s="266" t="s">
        <v>9418</v>
      </c>
      <c r="E102" s="278" t="s">
        <v>10672</v>
      </c>
      <c r="F102" s="272" t="s">
        <v>9198</v>
      </c>
      <c r="G102" s="272" t="s">
        <v>9197</v>
      </c>
      <c r="H102" s="7" t="s">
        <v>10593</v>
      </c>
      <c r="I102" s="266" t="s">
        <v>10594</v>
      </c>
      <c r="J102" s="7" t="s">
        <v>10592</v>
      </c>
      <c r="K102" s="265" t="s">
        <v>10672</v>
      </c>
    </row>
    <row r="103" spans="1:11" ht="14.55" customHeight="1" x14ac:dyDescent="0.25">
      <c r="A103" s="272" t="s">
        <v>9358</v>
      </c>
      <c r="B103" s="272" t="s">
        <v>10591</v>
      </c>
      <c r="C103" s="265" t="s">
        <v>9417</v>
      </c>
      <c r="D103" s="266" t="s">
        <v>9418</v>
      </c>
      <c r="E103" s="278" t="s">
        <v>10672</v>
      </c>
      <c r="F103" s="272" t="s">
        <v>9198</v>
      </c>
      <c r="G103" s="272" t="s">
        <v>9197</v>
      </c>
      <c r="H103" s="7" t="s">
        <v>10673</v>
      </c>
      <c r="I103" s="266" t="s">
        <v>10674</v>
      </c>
      <c r="J103" s="7" t="s">
        <v>10655</v>
      </c>
      <c r="K103" s="265" t="s">
        <v>10672</v>
      </c>
    </row>
    <row r="104" spans="1:11" ht="14.55" customHeight="1" x14ac:dyDescent="0.25">
      <c r="A104" s="286" t="s">
        <v>9358</v>
      </c>
      <c r="B104" s="293" t="s">
        <v>10591</v>
      </c>
      <c r="C104" s="294" t="s">
        <v>9417</v>
      </c>
      <c r="D104" s="353" t="s">
        <v>9418</v>
      </c>
      <c r="E104" s="294" t="s">
        <v>10672</v>
      </c>
      <c r="F104" s="293" t="s">
        <v>9198</v>
      </c>
      <c r="G104" s="293" t="s">
        <v>9197</v>
      </c>
      <c r="H104" s="354" t="s">
        <v>13482</v>
      </c>
      <c r="I104" s="350" t="s">
        <v>13483</v>
      </c>
      <c r="J104" s="354" t="s">
        <v>10602</v>
      </c>
      <c r="K104" s="354" t="s">
        <v>10672</v>
      </c>
    </row>
    <row r="105" spans="1:11" ht="14.55" customHeight="1" x14ac:dyDescent="0.25">
      <c r="A105" s="272" t="s">
        <v>9358</v>
      </c>
      <c r="B105" s="272" t="s">
        <v>10591</v>
      </c>
      <c r="C105" s="265" t="s">
        <v>9417</v>
      </c>
      <c r="D105" s="266" t="s">
        <v>9418</v>
      </c>
      <c r="E105" s="278" t="s">
        <v>10672</v>
      </c>
      <c r="F105" s="272" t="s">
        <v>9198</v>
      </c>
      <c r="G105" s="272" t="s">
        <v>9197</v>
      </c>
      <c r="H105" s="7" t="s">
        <v>10675</v>
      </c>
      <c r="I105" s="263" t="s">
        <v>10676</v>
      </c>
      <c r="J105" s="7" t="s">
        <v>10658</v>
      </c>
      <c r="K105" s="265" t="s">
        <v>10672</v>
      </c>
    </row>
    <row r="106" spans="1:11" ht="14.55" customHeight="1" x14ac:dyDescent="0.25">
      <c r="A106" s="297" t="s">
        <v>9358</v>
      </c>
      <c r="B106" s="296" t="s">
        <v>10591</v>
      </c>
      <c r="C106" s="275" t="s">
        <v>13484</v>
      </c>
      <c r="D106" s="350" t="s">
        <v>13487</v>
      </c>
      <c r="E106" s="355" t="s">
        <v>109</v>
      </c>
      <c r="F106" s="296" t="s">
        <v>9198</v>
      </c>
      <c r="G106" s="296" t="s">
        <v>9197</v>
      </c>
      <c r="H106" s="354" t="s">
        <v>10593</v>
      </c>
      <c r="I106" s="264" t="s">
        <v>10594</v>
      </c>
      <c r="J106" s="354" t="s">
        <v>10592</v>
      </c>
      <c r="K106" s="275" t="s">
        <v>109</v>
      </c>
    </row>
    <row r="107" spans="1:11" ht="14.55" customHeight="1" x14ac:dyDescent="0.25">
      <c r="A107" s="297" t="s">
        <v>9358</v>
      </c>
      <c r="B107" s="296" t="s">
        <v>10591</v>
      </c>
      <c r="C107" s="275" t="s">
        <v>13484</v>
      </c>
      <c r="D107" s="350" t="s">
        <v>13487</v>
      </c>
      <c r="E107" s="355" t="s">
        <v>109</v>
      </c>
      <c r="F107" s="296" t="s">
        <v>9198</v>
      </c>
      <c r="G107" s="296" t="s">
        <v>9197</v>
      </c>
      <c r="H107" s="354" t="s">
        <v>10673</v>
      </c>
      <c r="I107" s="264" t="s">
        <v>10674</v>
      </c>
      <c r="J107" s="354" t="s">
        <v>10655</v>
      </c>
      <c r="K107" s="275" t="s">
        <v>109</v>
      </c>
    </row>
    <row r="108" spans="1:11" ht="14.55" customHeight="1" x14ac:dyDescent="0.25">
      <c r="A108" s="297" t="s">
        <v>9358</v>
      </c>
      <c r="B108" s="296" t="s">
        <v>10591</v>
      </c>
      <c r="C108" s="275" t="s">
        <v>13484</v>
      </c>
      <c r="D108" s="350" t="s">
        <v>13487</v>
      </c>
      <c r="E108" s="355" t="s">
        <v>109</v>
      </c>
      <c r="F108" s="296" t="s">
        <v>9198</v>
      </c>
      <c r="G108" s="296" t="s">
        <v>9197</v>
      </c>
      <c r="H108" s="354" t="s">
        <v>13482</v>
      </c>
      <c r="I108" s="264" t="s">
        <v>13483</v>
      </c>
      <c r="J108" s="354" t="s">
        <v>10602</v>
      </c>
      <c r="K108" s="275" t="s">
        <v>109</v>
      </c>
    </row>
    <row r="109" spans="1:11" ht="14.55" customHeight="1" x14ac:dyDescent="0.25">
      <c r="A109" s="297" t="s">
        <v>9358</v>
      </c>
      <c r="B109" s="296" t="s">
        <v>10591</v>
      </c>
      <c r="C109" s="275" t="s">
        <v>13484</v>
      </c>
      <c r="D109" s="350" t="s">
        <v>13487</v>
      </c>
      <c r="E109" s="355" t="s">
        <v>109</v>
      </c>
      <c r="F109" s="296" t="s">
        <v>9198</v>
      </c>
      <c r="G109" s="296" t="s">
        <v>9197</v>
      </c>
      <c r="H109" s="354" t="s">
        <v>10675</v>
      </c>
      <c r="I109" s="264" t="s">
        <v>10676</v>
      </c>
      <c r="J109" s="354" t="s">
        <v>10658</v>
      </c>
      <c r="K109" s="275" t="s">
        <v>109</v>
      </c>
    </row>
    <row r="110" spans="1:11" ht="14.55" customHeight="1" x14ac:dyDescent="0.25">
      <c r="A110" s="297" t="s">
        <v>9358</v>
      </c>
      <c r="B110" s="296" t="s">
        <v>10591</v>
      </c>
      <c r="C110" s="275" t="s">
        <v>13485</v>
      </c>
      <c r="D110" s="350" t="s">
        <v>13488</v>
      </c>
      <c r="E110" s="355" t="s">
        <v>114</v>
      </c>
      <c r="F110" s="296" t="s">
        <v>9198</v>
      </c>
      <c r="G110" s="296" t="s">
        <v>9197</v>
      </c>
      <c r="H110" s="354" t="s">
        <v>10593</v>
      </c>
      <c r="I110" s="264" t="s">
        <v>10594</v>
      </c>
      <c r="J110" s="354" t="s">
        <v>10592</v>
      </c>
      <c r="K110" s="275" t="s">
        <v>114</v>
      </c>
    </row>
    <row r="111" spans="1:11" ht="14.55" customHeight="1" x14ac:dyDescent="0.25">
      <c r="A111" s="297" t="s">
        <v>9358</v>
      </c>
      <c r="B111" s="296" t="s">
        <v>10591</v>
      </c>
      <c r="C111" s="275" t="s">
        <v>13485</v>
      </c>
      <c r="D111" s="350" t="s">
        <v>13488</v>
      </c>
      <c r="E111" s="355" t="s">
        <v>114</v>
      </c>
      <c r="F111" s="296" t="s">
        <v>9198</v>
      </c>
      <c r="G111" s="296" t="s">
        <v>9197</v>
      </c>
      <c r="H111" s="354" t="s">
        <v>10673</v>
      </c>
      <c r="I111" s="264" t="s">
        <v>10674</v>
      </c>
      <c r="J111" s="354" t="s">
        <v>10655</v>
      </c>
      <c r="K111" s="275" t="s">
        <v>114</v>
      </c>
    </row>
    <row r="112" spans="1:11" ht="14.55" customHeight="1" x14ac:dyDescent="0.25">
      <c r="A112" s="297" t="s">
        <v>9358</v>
      </c>
      <c r="B112" s="296" t="s">
        <v>10591</v>
      </c>
      <c r="C112" s="275" t="s">
        <v>13485</v>
      </c>
      <c r="D112" s="350" t="s">
        <v>13488</v>
      </c>
      <c r="E112" s="355" t="s">
        <v>114</v>
      </c>
      <c r="F112" s="296" t="s">
        <v>9198</v>
      </c>
      <c r="G112" s="296" t="s">
        <v>9197</v>
      </c>
      <c r="H112" s="354" t="s">
        <v>13482</v>
      </c>
      <c r="I112" s="264" t="s">
        <v>13483</v>
      </c>
      <c r="J112" s="354" t="s">
        <v>10602</v>
      </c>
      <c r="K112" s="275" t="s">
        <v>114</v>
      </c>
    </row>
    <row r="113" spans="1:11" ht="14.55" customHeight="1" x14ac:dyDescent="0.25">
      <c r="A113" s="297" t="s">
        <v>9358</v>
      </c>
      <c r="B113" s="296" t="s">
        <v>10591</v>
      </c>
      <c r="C113" s="275" t="s">
        <v>13485</v>
      </c>
      <c r="D113" s="350" t="s">
        <v>13488</v>
      </c>
      <c r="E113" s="355" t="s">
        <v>114</v>
      </c>
      <c r="F113" s="296" t="s">
        <v>9198</v>
      </c>
      <c r="G113" s="296" t="s">
        <v>9197</v>
      </c>
      <c r="H113" s="354" t="s">
        <v>10675</v>
      </c>
      <c r="I113" s="264" t="s">
        <v>10676</v>
      </c>
      <c r="J113" s="354" t="s">
        <v>10658</v>
      </c>
      <c r="K113" s="275" t="s">
        <v>114</v>
      </c>
    </row>
    <row r="114" spans="1:11" ht="14.55" customHeight="1" x14ac:dyDescent="0.25">
      <c r="A114" s="297" t="s">
        <v>9358</v>
      </c>
      <c r="B114" s="296" t="s">
        <v>10591</v>
      </c>
      <c r="C114" s="275" t="s">
        <v>13486</v>
      </c>
      <c r="D114" s="350" t="s">
        <v>13489</v>
      </c>
      <c r="E114" s="355" t="s">
        <v>120</v>
      </c>
      <c r="F114" s="296" t="s">
        <v>9198</v>
      </c>
      <c r="G114" s="296" t="s">
        <v>9197</v>
      </c>
      <c r="H114" s="354" t="s">
        <v>10593</v>
      </c>
      <c r="I114" s="264" t="s">
        <v>10594</v>
      </c>
      <c r="J114" s="354" t="s">
        <v>10592</v>
      </c>
      <c r="K114" s="275" t="s">
        <v>120</v>
      </c>
    </row>
    <row r="115" spans="1:11" ht="14.55" customHeight="1" x14ac:dyDescent="0.25">
      <c r="A115" s="297" t="s">
        <v>9358</v>
      </c>
      <c r="B115" s="296" t="s">
        <v>10591</v>
      </c>
      <c r="C115" s="275" t="s">
        <v>13486</v>
      </c>
      <c r="D115" s="350" t="s">
        <v>13489</v>
      </c>
      <c r="E115" s="355" t="s">
        <v>120</v>
      </c>
      <c r="F115" s="296" t="s">
        <v>9198</v>
      </c>
      <c r="G115" s="296" t="s">
        <v>9197</v>
      </c>
      <c r="H115" s="354" t="s">
        <v>10673</v>
      </c>
      <c r="I115" s="264" t="s">
        <v>10674</v>
      </c>
      <c r="J115" s="354" t="s">
        <v>10655</v>
      </c>
      <c r="K115" s="275" t="s">
        <v>120</v>
      </c>
    </row>
    <row r="116" spans="1:11" ht="14.55" customHeight="1" x14ac:dyDescent="0.25">
      <c r="A116" s="297" t="s">
        <v>9358</v>
      </c>
      <c r="B116" s="296" t="s">
        <v>10591</v>
      </c>
      <c r="C116" s="275" t="s">
        <v>13486</v>
      </c>
      <c r="D116" s="350" t="s">
        <v>13489</v>
      </c>
      <c r="E116" s="355" t="s">
        <v>120</v>
      </c>
      <c r="F116" s="296" t="s">
        <v>9198</v>
      </c>
      <c r="G116" s="296" t="s">
        <v>9197</v>
      </c>
      <c r="H116" s="354" t="s">
        <v>13482</v>
      </c>
      <c r="I116" s="264" t="s">
        <v>13483</v>
      </c>
      <c r="J116" s="354" t="s">
        <v>10602</v>
      </c>
      <c r="K116" s="275" t="s">
        <v>120</v>
      </c>
    </row>
    <row r="117" spans="1:11" ht="14.55" customHeight="1" x14ac:dyDescent="0.25">
      <c r="A117" s="297" t="s">
        <v>9358</v>
      </c>
      <c r="B117" s="296" t="s">
        <v>10591</v>
      </c>
      <c r="C117" s="275" t="s">
        <v>13486</v>
      </c>
      <c r="D117" s="350" t="s">
        <v>13489</v>
      </c>
      <c r="E117" s="355" t="s">
        <v>120</v>
      </c>
      <c r="F117" s="296" t="s">
        <v>9198</v>
      </c>
      <c r="G117" s="296" t="s">
        <v>9197</v>
      </c>
      <c r="H117" s="354" t="s">
        <v>10675</v>
      </c>
      <c r="I117" s="264" t="s">
        <v>10676</v>
      </c>
      <c r="J117" s="354" t="s">
        <v>10658</v>
      </c>
      <c r="K117" s="275" t="s">
        <v>120</v>
      </c>
    </row>
    <row r="118" spans="1:11" ht="14.55" customHeight="1" x14ac:dyDescent="0.25">
      <c r="A118" s="286" t="s">
        <v>9358</v>
      </c>
      <c r="B118" s="272" t="s">
        <v>10591</v>
      </c>
      <c r="C118" s="265" t="s">
        <v>9419</v>
      </c>
      <c r="D118" s="266" t="s">
        <v>9420</v>
      </c>
      <c r="E118" s="356" t="s">
        <v>10794</v>
      </c>
      <c r="F118" s="272" t="s">
        <v>9198</v>
      </c>
      <c r="G118" s="272" t="s">
        <v>9197</v>
      </c>
      <c r="H118" s="7" t="s">
        <v>10673</v>
      </c>
      <c r="I118" s="266" t="s">
        <v>10674</v>
      </c>
      <c r="J118" s="7" t="s">
        <v>10655</v>
      </c>
      <c r="K118" s="265" t="s">
        <v>10794</v>
      </c>
    </row>
    <row r="119" spans="1:11" ht="14.55" customHeight="1" x14ac:dyDescent="0.25">
      <c r="A119" s="286" t="s">
        <v>9358</v>
      </c>
      <c r="B119" s="293" t="s">
        <v>10591</v>
      </c>
      <c r="C119" s="294" t="s">
        <v>9419</v>
      </c>
      <c r="D119" s="353" t="s">
        <v>9420</v>
      </c>
      <c r="E119" s="356" t="s">
        <v>10794</v>
      </c>
      <c r="F119" s="293" t="s">
        <v>9198</v>
      </c>
      <c r="G119" s="293" t="s">
        <v>9197</v>
      </c>
      <c r="H119" s="354" t="s">
        <v>13482</v>
      </c>
      <c r="I119" s="264" t="s">
        <v>13483</v>
      </c>
      <c r="J119" s="354" t="s">
        <v>10602</v>
      </c>
      <c r="K119" s="275" t="s">
        <v>10794</v>
      </c>
    </row>
    <row r="120" spans="1:11" ht="14.55" customHeight="1" x14ac:dyDescent="0.25">
      <c r="A120" s="286" t="s">
        <v>9358</v>
      </c>
      <c r="B120" s="272" t="s">
        <v>10591</v>
      </c>
      <c r="C120" s="265" t="s">
        <v>9419</v>
      </c>
      <c r="D120" s="266" t="s">
        <v>9420</v>
      </c>
      <c r="E120" s="356" t="s">
        <v>10794</v>
      </c>
      <c r="F120" s="272" t="s">
        <v>9198</v>
      </c>
      <c r="G120" s="272" t="s">
        <v>9197</v>
      </c>
      <c r="H120" s="7" t="s">
        <v>10675</v>
      </c>
      <c r="I120" s="263" t="s">
        <v>10676</v>
      </c>
      <c r="J120" s="7" t="s">
        <v>10658</v>
      </c>
      <c r="K120" s="265" t="s">
        <v>126</v>
      </c>
    </row>
    <row r="121" spans="1:11" ht="14.55" customHeight="1" x14ac:dyDescent="0.25">
      <c r="A121" s="286" t="s">
        <v>9358</v>
      </c>
      <c r="B121" s="272" t="s">
        <v>10591</v>
      </c>
      <c r="C121" s="265" t="s">
        <v>9421</v>
      </c>
      <c r="D121" s="266" t="s">
        <v>9422</v>
      </c>
      <c r="E121" s="356" t="s">
        <v>10794</v>
      </c>
      <c r="F121" s="272" t="s">
        <v>9198</v>
      </c>
      <c r="G121" s="272" t="s">
        <v>9197</v>
      </c>
      <c r="H121" s="7" t="s">
        <v>10673</v>
      </c>
      <c r="I121" s="266" t="s">
        <v>10674</v>
      </c>
      <c r="J121" s="7" t="s">
        <v>10655</v>
      </c>
      <c r="K121" s="265" t="s">
        <v>10794</v>
      </c>
    </row>
    <row r="122" spans="1:11" ht="14.55" customHeight="1" x14ac:dyDescent="0.25">
      <c r="A122" s="286" t="s">
        <v>9358</v>
      </c>
      <c r="B122" s="293" t="s">
        <v>10591</v>
      </c>
      <c r="C122" s="294" t="s">
        <v>9421</v>
      </c>
      <c r="D122" s="353" t="s">
        <v>9422</v>
      </c>
      <c r="E122" s="356" t="s">
        <v>10794</v>
      </c>
      <c r="F122" s="293" t="s">
        <v>9198</v>
      </c>
      <c r="G122" s="293" t="s">
        <v>9197</v>
      </c>
      <c r="H122" s="354" t="s">
        <v>13482</v>
      </c>
      <c r="I122" s="264" t="s">
        <v>13483</v>
      </c>
      <c r="J122" s="354" t="s">
        <v>10602</v>
      </c>
      <c r="K122" s="275" t="s">
        <v>10794</v>
      </c>
    </row>
    <row r="123" spans="1:11" s="358" customFormat="1" ht="14.55" customHeight="1" x14ac:dyDescent="0.25">
      <c r="A123" s="286" t="s">
        <v>9358</v>
      </c>
      <c r="B123" s="382" t="s">
        <v>10591</v>
      </c>
      <c r="C123" s="383" t="s">
        <v>9421</v>
      </c>
      <c r="D123" s="381" t="s">
        <v>9422</v>
      </c>
      <c r="E123" s="384" t="s">
        <v>10794</v>
      </c>
      <c r="F123" s="382" t="s">
        <v>9198</v>
      </c>
      <c r="G123" s="382" t="s">
        <v>9197</v>
      </c>
      <c r="H123" s="363" t="s">
        <v>10675</v>
      </c>
      <c r="I123" s="365" t="s">
        <v>10676</v>
      </c>
      <c r="J123" s="363" t="s">
        <v>10658</v>
      </c>
      <c r="K123" s="361" t="s">
        <v>126</v>
      </c>
    </row>
    <row r="124" spans="1:11" ht="14.55" customHeight="1" x14ac:dyDescent="0.25">
      <c r="A124" s="286" t="s">
        <v>9358</v>
      </c>
      <c r="B124" s="272" t="s">
        <v>10591</v>
      </c>
      <c r="C124" s="265" t="s">
        <v>9423</v>
      </c>
      <c r="D124" s="266" t="s">
        <v>9424</v>
      </c>
      <c r="E124" s="356" t="s">
        <v>10794</v>
      </c>
      <c r="F124" s="272" t="s">
        <v>9198</v>
      </c>
      <c r="G124" s="272" t="s">
        <v>9197</v>
      </c>
      <c r="H124" s="7" t="s">
        <v>10673</v>
      </c>
      <c r="I124" s="266" t="s">
        <v>10674</v>
      </c>
      <c r="J124" s="7" t="s">
        <v>10655</v>
      </c>
      <c r="K124" s="265" t="s">
        <v>10794</v>
      </c>
    </row>
    <row r="125" spans="1:11" ht="14.55" customHeight="1" x14ac:dyDescent="0.25">
      <c r="A125" s="286" t="s">
        <v>9358</v>
      </c>
      <c r="B125" s="293" t="s">
        <v>10591</v>
      </c>
      <c r="C125" s="294" t="s">
        <v>9423</v>
      </c>
      <c r="D125" s="353" t="s">
        <v>9424</v>
      </c>
      <c r="E125" s="356" t="s">
        <v>10794</v>
      </c>
      <c r="F125" s="293" t="s">
        <v>9198</v>
      </c>
      <c r="G125" s="293" t="s">
        <v>9197</v>
      </c>
      <c r="H125" s="354" t="s">
        <v>13482</v>
      </c>
      <c r="I125" s="264" t="s">
        <v>13483</v>
      </c>
      <c r="J125" s="354" t="s">
        <v>10602</v>
      </c>
      <c r="K125" s="275" t="s">
        <v>10794</v>
      </c>
    </row>
    <row r="126" spans="1:11" ht="14.55" customHeight="1" x14ac:dyDescent="0.25">
      <c r="A126" s="286" t="s">
        <v>9358</v>
      </c>
      <c r="B126" s="272" t="s">
        <v>10591</v>
      </c>
      <c r="C126" s="265" t="s">
        <v>9423</v>
      </c>
      <c r="D126" s="266" t="s">
        <v>9424</v>
      </c>
      <c r="E126" s="356" t="s">
        <v>10794</v>
      </c>
      <c r="F126" s="272" t="s">
        <v>9198</v>
      </c>
      <c r="G126" s="272" t="s">
        <v>9197</v>
      </c>
      <c r="H126" s="7" t="s">
        <v>10675</v>
      </c>
      <c r="I126" s="263" t="s">
        <v>10676</v>
      </c>
      <c r="J126" s="7" t="s">
        <v>10658</v>
      </c>
      <c r="K126" s="265" t="s">
        <v>126</v>
      </c>
    </row>
    <row r="127" spans="1:11" ht="14.55" customHeight="1" x14ac:dyDescent="0.25">
      <c r="A127" s="286" t="s">
        <v>9358</v>
      </c>
      <c r="B127" s="272" t="s">
        <v>10591</v>
      </c>
      <c r="C127" s="265" t="s">
        <v>9425</v>
      </c>
      <c r="D127" s="266" t="s">
        <v>9426</v>
      </c>
      <c r="E127" s="356" t="s">
        <v>10794</v>
      </c>
      <c r="F127" s="272" t="s">
        <v>9198</v>
      </c>
      <c r="G127" s="272" t="s">
        <v>9197</v>
      </c>
      <c r="H127" s="7" t="s">
        <v>10673</v>
      </c>
      <c r="I127" s="266" t="s">
        <v>10674</v>
      </c>
      <c r="J127" s="7" t="s">
        <v>10655</v>
      </c>
      <c r="K127" s="265" t="s">
        <v>10794</v>
      </c>
    </row>
    <row r="128" spans="1:11" ht="14.55" customHeight="1" x14ac:dyDescent="0.25">
      <c r="A128" s="286" t="s">
        <v>9358</v>
      </c>
      <c r="B128" s="293" t="s">
        <v>10591</v>
      </c>
      <c r="C128" s="294" t="s">
        <v>9425</v>
      </c>
      <c r="D128" s="353" t="s">
        <v>9426</v>
      </c>
      <c r="E128" s="356" t="s">
        <v>10794</v>
      </c>
      <c r="F128" s="293" t="s">
        <v>9198</v>
      </c>
      <c r="G128" s="293" t="s">
        <v>9197</v>
      </c>
      <c r="H128" s="354" t="s">
        <v>13482</v>
      </c>
      <c r="I128" s="264" t="s">
        <v>13483</v>
      </c>
      <c r="J128" s="354" t="s">
        <v>10602</v>
      </c>
      <c r="K128" s="275" t="s">
        <v>10794</v>
      </c>
    </row>
    <row r="129" spans="1:11" ht="14.55" customHeight="1" x14ac:dyDescent="0.25">
      <c r="A129" s="286" t="s">
        <v>9358</v>
      </c>
      <c r="B129" s="272" t="s">
        <v>10591</v>
      </c>
      <c r="C129" s="265" t="s">
        <v>9425</v>
      </c>
      <c r="D129" s="266" t="s">
        <v>9426</v>
      </c>
      <c r="E129" s="356" t="s">
        <v>10794</v>
      </c>
      <c r="F129" s="272" t="s">
        <v>9198</v>
      </c>
      <c r="G129" s="272" t="s">
        <v>9197</v>
      </c>
      <c r="H129" s="7" t="s">
        <v>10675</v>
      </c>
      <c r="I129" s="263" t="s">
        <v>10676</v>
      </c>
      <c r="J129" s="7" t="s">
        <v>10658</v>
      </c>
      <c r="K129" s="265" t="s">
        <v>126</v>
      </c>
    </row>
    <row r="130" spans="1:11" ht="14.55" customHeight="1" x14ac:dyDescent="0.25">
      <c r="A130" s="286" t="s">
        <v>9358</v>
      </c>
      <c r="B130" s="272" t="s">
        <v>10591</v>
      </c>
      <c r="C130" s="265" t="s">
        <v>9427</v>
      </c>
      <c r="D130" s="266" t="s">
        <v>9428</v>
      </c>
      <c r="E130" s="356" t="s">
        <v>10794</v>
      </c>
      <c r="F130" s="272" t="s">
        <v>9198</v>
      </c>
      <c r="G130" s="272" t="s">
        <v>9197</v>
      </c>
      <c r="H130" s="7" t="s">
        <v>10673</v>
      </c>
      <c r="I130" s="266" t="s">
        <v>10674</v>
      </c>
      <c r="J130" s="7" t="s">
        <v>10655</v>
      </c>
      <c r="K130" s="265" t="s">
        <v>10794</v>
      </c>
    </row>
    <row r="131" spans="1:11" ht="14.55" customHeight="1" x14ac:dyDescent="0.25">
      <c r="A131" s="286" t="s">
        <v>9358</v>
      </c>
      <c r="B131" s="293" t="s">
        <v>10591</v>
      </c>
      <c r="C131" s="294" t="s">
        <v>9427</v>
      </c>
      <c r="D131" s="353" t="s">
        <v>9428</v>
      </c>
      <c r="E131" s="356" t="s">
        <v>10794</v>
      </c>
      <c r="F131" s="293" t="s">
        <v>9198</v>
      </c>
      <c r="G131" s="293" t="s">
        <v>9197</v>
      </c>
      <c r="H131" s="354" t="s">
        <v>13482</v>
      </c>
      <c r="I131" s="264" t="s">
        <v>13483</v>
      </c>
      <c r="J131" s="354" t="s">
        <v>10602</v>
      </c>
      <c r="K131" s="275" t="s">
        <v>10794</v>
      </c>
    </row>
    <row r="132" spans="1:11" ht="14.55" customHeight="1" x14ac:dyDescent="0.25">
      <c r="A132" s="286" t="s">
        <v>9358</v>
      </c>
      <c r="B132" s="272" t="s">
        <v>10591</v>
      </c>
      <c r="C132" s="265" t="s">
        <v>9429</v>
      </c>
      <c r="D132" s="266" t="s">
        <v>9430</v>
      </c>
      <c r="E132" s="356" t="s">
        <v>10794</v>
      </c>
      <c r="F132" s="272" t="s">
        <v>9198</v>
      </c>
      <c r="G132" s="272" t="s">
        <v>9197</v>
      </c>
      <c r="H132" s="7" t="s">
        <v>10673</v>
      </c>
      <c r="I132" s="266" t="s">
        <v>10674</v>
      </c>
      <c r="J132" s="7" t="s">
        <v>10655</v>
      </c>
      <c r="K132" s="265" t="s">
        <v>10794</v>
      </c>
    </row>
    <row r="133" spans="1:11" ht="14.55" customHeight="1" x14ac:dyDescent="0.25">
      <c r="A133" s="286" t="s">
        <v>9358</v>
      </c>
      <c r="B133" s="293" t="s">
        <v>10591</v>
      </c>
      <c r="C133" s="294" t="s">
        <v>9429</v>
      </c>
      <c r="D133" s="353" t="s">
        <v>9430</v>
      </c>
      <c r="E133" s="356" t="s">
        <v>10794</v>
      </c>
      <c r="F133" s="293" t="s">
        <v>9198</v>
      </c>
      <c r="G133" s="293" t="s">
        <v>9197</v>
      </c>
      <c r="H133" s="354" t="s">
        <v>13482</v>
      </c>
      <c r="I133" s="264" t="s">
        <v>13483</v>
      </c>
      <c r="J133" s="354" t="s">
        <v>10602</v>
      </c>
      <c r="K133" s="275" t="s">
        <v>10794</v>
      </c>
    </row>
    <row r="134" spans="1:11" ht="14.55" customHeight="1" x14ac:dyDescent="0.25">
      <c r="A134" s="286" t="s">
        <v>9358</v>
      </c>
      <c r="B134" s="272" t="s">
        <v>10591</v>
      </c>
      <c r="C134" s="265" t="s">
        <v>9429</v>
      </c>
      <c r="D134" s="266" t="s">
        <v>9430</v>
      </c>
      <c r="E134" s="356" t="s">
        <v>10794</v>
      </c>
      <c r="F134" s="272" t="s">
        <v>9198</v>
      </c>
      <c r="G134" s="272" t="s">
        <v>9197</v>
      </c>
      <c r="H134" s="7" t="s">
        <v>10675</v>
      </c>
      <c r="I134" s="263" t="s">
        <v>10676</v>
      </c>
      <c r="J134" s="7" t="s">
        <v>10658</v>
      </c>
      <c r="K134" s="265" t="s">
        <v>126</v>
      </c>
    </row>
    <row r="135" spans="1:11" ht="14.55" customHeight="1" x14ac:dyDescent="0.25">
      <c r="A135" s="286" t="s">
        <v>9358</v>
      </c>
      <c r="B135" s="272" t="s">
        <v>10591</v>
      </c>
      <c r="C135" s="265" t="s">
        <v>9431</v>
      </c>
      <c r="D135" s="266" t="s">
        <v>9432</v>
      </c>
      <c r="E135" s="356" t="s">
        <v>10659</v>
      </c>
      <c r="F135" s="272" t="s">
        <v>9198</v>
      </c>
      <c r="G135" s="272" t="s">
        <v>9197</v>
      </c>
      <c r="H135" s="7" t="s">
        <v>10673</v>
      </c>
      <c r="I135" s="266" t="s">
        <v>10674</v>
      </c>
      <c r="J135" s="7" t="s">
        <v>10655</v>
      </c>
      <c r="K135" s="265" t="s">
        <v>10659</v>
      </c>
    </row>
    <row r="136" spans="1:11" ht="14.55" customHeight="1" x14ac:dyDescent="0.25">
      <c r="A136" s="286" t="s">
        <v>9358</v>
      </c>
      <c r="B136" s="293" t="s">
        <v>10591</v>
      </c>
      <c r="C136" s="294" t="s">
        <v>9431</v>
      </c>
      <c r="D136" s="353" t="s">
        <v>9432</v>
      </c>
      <c r="E136" s="356" t="s">
        <v>10659</v>
      </c>
      <c r="F136" s="293" t="s">
        <v>9198</v>
      </c>
      <c r="G136" s="293" t="s">
        <v>9197</v>
      </c>
      <c r="H136" s="354" t="s">
        <v>13482</v>
      </c>
      <c r="I136" s="264" t="s">
        <v>13483</v>
      </c>
      <c r="J136" s="354" t="s">
        <v>10602</v>
      </c>
      <c r="K136" s="275" t="s">
        <v>10659</v>
      </c>
    </row>
    <row r="137" spans="1:11" ht="14.55" customHeight="1" x14ac:dyDescent="0.25">
      <c r="A137" s="286" t="s">
        <v>9358</v>
      </c>
      <c r="B137" s="272" t="s">
        <v>10591</v>
      </c>
      <c r="C137" s="265" t="s">
        <v>9433</v>
      </c>
      <c r="D137" s="266" t="s">
        <v>9434</v>
      </c>
      <c r="E137" s="356" t="s">
        <v>10659</v>
      </c>
      <c r="F137" s="272" t="s">
        <v>9198</v>
      </c>
      <c r="G137" s="272" t="s">
        <v>9197</v>
      </c>
      <c r="H137" s="7" t="s">
        <v>10673</v>
      </c>
      <c r="I137" s="266" t="s">
        <v>10674</v>
      </c>
      <c r="J137" s="7" t="s">
        <v>10655</v>
      </c>
      <c r="K137" s="265" t="s">
        <v>10659</v>
      </c>
    </row>
    <row r="138" spans="1:11" ht="14.55" customHeight="1" x14ac:dyDescent="0.25">
      <c r="A138" s="286" t="s">
        <v>9358</v>
      </c>
      <c r="B138" s="293" t="s">
        <v>10591</v>
      </c>
      <c r="C138" s="294" t="s">
        <v>9433</v>
      </c>
      <c r="D138" s="353" t="s">
        <v>9434</v>
      </c>
      <c r="E138" s="356" t="s">
        <v>10659</v>
      </c>
      <c r="F138" s="293" t="s">
        <v>9198</v>
      </c>
      <c r="G138" s="293" t="s">
        <v>9197</v>
      </c>
      <c r="H138" s="354" t="s">
        <v>13482</v>
      </c>
      <c r="I138" s="264" t="s">
        <v>13483</v>
      </c>
      <c r="J138" s="354" t="s">
        <v>10602</v>
      </c>
      <c r="K138" s="275" t="s">
        <v>10659</v>
      </c>
    </row>
    <row r="139" spans="1:11" ht="14.55" customHeight="1" x14ac:dyDescent="0.25">
      <c r="A139" s="272" t="s">
        <v>9358</v>
      </c>
      <c r="B139" s="272" t="s">
        <v>10591</v>
      </c>
      <c r="C139" s="265" t="s">
        <v>9435</v>
      </c>
      <c r="D139" s="266" t="s">
        <v>9436</v>
      </c>
      <c r="E139" s="356" t="s">
        <v>10659</v>
      </c>
      <c r="F139" s="272" t="s">
        <v>9198</v>
      </c>
      <c r="G139" s="272" t="s">
        <v>9197</v>
      </c>
      <c r="H139" s="7" t="s">
        <v>10673</v>
      </c>
      <c r="I139" s="266" t="s">
        <v>10674</v>
      </c>
      <c r="J139" s="7" t="s">
        <v>10655</v>
      </c>
      <c r="K139" s="265" t="s">
        <v>10659</v>
      </c>
    </row>
    <row r="140" spans="1:11" ht="14.55" customHeight="1" x14ac:dyDescent="0.25">
      <c r="A140" s="286" t="s">
        <v>9358</v>
      </c>
      <c r="B140" s="293" t="s">
        <v>10591</v>
      </c>
      <c r="C140" s="294" t="s">
        <v>9435</v>
      </c>
      <c r="D140" s="353" t="s">
        <v>9436</v>
      </c>
      <c r="E140" s="356" t="s">
        <v>10659</v>
      </c>
      <c r="F140" s="293" t="s">
        <v>9198</v>
      </c>
      <c r="G140" s="293" t="s">
        <v>9197</v>
      </c>
      <c r="H140" s="354" t="s">
        <v>13482</v>
      </c>
      <c r="I140" s="264" t="s">
        <v>13483</v>
      </c>
      <c r="J140" s="354" t="s">
        <v>10602</v>
      </c>
      <c r="K140" s="275" t="s">
        <v>10659</v>
      </c>
    </row>
    <row r="141" spans="1:11" ht="14.55" customHeight="1" x14ac:dyDescent="0.25">
      <c r="A141" s="272" t="s">
        <v>9358</v>
      </c>
      <c r="B141" s="272" t="s">
        <v>10591</v>
      </c>
      <c r="C141" s="265" t="s">
        <v>9437</v>
      </c>
      <c r="D141" s="266" t="s">
        <v>9438</v>
      </c>
      <c r="E141" s="356" t="s">
        <v>10659</v>
      </c>
      <c r="F141" s="272" t="s">
        <v>9198</v>
      </c>
      <c r="G141" s="272" t="s">
        <v>9197</v>
      </c>
      <c r="H141" s="7" t="s">
        <v>10673</v>
      </c>
      <c r="I141" s="266" t="s">
        <v>10674</v>
      </c>
      <c r="J141" s="7" t="s">
        <v>10655</v>
      </c>
      <c r="K141" s="265" t="s">
        <v>10659</v>
      </c>
    </row>
    <row r="142" spans="1:11" ht="14.55" customHeight="1" x14ac:dyDescent="0.25">
      <c r="A142" s="286" t="s">
        <v>9358</v>
      </c>
      <c r="B142" s="293" t="s">
        <v>10591</v>
      </c>
      <c r="C142" s="294" t="s">
        <v>9437</v>
      </c>
      <c r="D142" s="353" t="s">
        <v>9438</v>
      </c>
      <c r="E142" s="356" t="s">
        <v>10659</v>
      </c>
      <c r="F142" s="293" t="s">
        <v>9198</v>
      </c>
      <c r="G142" s="293" t="s">
        <v>9197</v>
      </c>
      <c r="H142" s="354" t="s">
        <v>13482</v>
      </c>
      <c r="I142" s="264" t="s">
        <v>13483</v>
      </c>
      <c r="J142" s="354" t="s">
        <v>10602</v>
      </c>
      <c r="K142" s="275" t="s">
        <v>10659</v>
      </c>
    </row>
    <row r="143" spans="1:11" ht="14.55" customHeight="1" x14ac:dyDescent="0.25">
      <c r="A143" s="272" t="s">
        <v>9358</v>
      </c>
      <c r="B143" s="272" t="s">
        <v>10591</v>
      </c>
      <c r="C143" s="265" t="s">
        <v>9439</v>
      </c>
      <c r="D143" s="266" t="s">
        <v>9440</v>
      </c>
      <c r="E143" s="278" t="s">
        <v>10659</v>
      </c>
      <c r="F143" s="272" t="s">
        <v>9198</v>
      </c>
      <c r="G143" s="272" t="s">
        <v>9197</v>
      </c>
      <c r="H143" s="7" t="s">
        <v>10673</v>
      </c>
      <c r="I143" s="266" t="s">
        <v>10674</v>
      </c>
      <c r="J143" s="7" t="s">
        <v>10655</v>
      </c>
      <c r="K143" s="265" t="s">
        <v>10659</v>
      </c>
    </row>
    <row r="144" spans="1:11" ht="14.55" customHeight="1" x14ac:dyDescent="0.25">
      <c r="A144" s="286" t="s">
        <v>9358</v>
      </c>
      <c r="B144" s="293" t="s">
        <v>10591</v>
      </c>
      <c r="C144" s="294" t="s">
        <v>9439</v>
      </c>
      <c r="D144" s="353" t="s">
        <v>9440</v>
      </c>
      <c r="E144" s="357" t="s">
        <v>10659</v>
      </c>
      <c r="F144" s="293" t="s">
        <v>9198</v>
      </c>
      <c r="G144" s="293" t="s">
        <v>9197</v>
      </c>
      <c r="H144" s="354" t="s">
        <v>13482</v>
      </c>
      <c r="I144" s="264" t="s">
        <v>13483</v>
      </c>
      <c r="J144" s="354" t="s">
        <v>10602</v>
      </c>
      <c r="K144" s="275" t="s">
        <v>10659</v>
      </c>
    </row>
    <row r="145" spans="1:11" ht="14.55" customHeight="1" x14ac:dyDescent="0.25">
      <c r="A145" s="272" t="s">
        <v>9358</v>
      </c>
      <c r="B145" s="272" t="s">
        <v>10591</v>
      </c>
      <c r="C145" s="265" t="s">
        <v>9441</v>
      </c>
      <c r="D145" s="266" t="s">
        <v>9442</v>
      </c>
      <c r="E145" s="278" t="s">
        <v>10659</v>
      </c>
      <c r="F145" s="272" t="s">
        <v>9198</v>
      </c>
      <c r="G145" s="272" t="s">
        <v>9197</v>
      </c>
      <c r="H145" s="7" t="s">
        <v>10673</v>
      </c>
      <c r="I145" s="266" t="s">
        <v>10674</v>
      </c>
      <c r="J145" s="7" t="s">
        <v>10655</v>
      </c>
      <c r="K145" s="265" t="s">
        <v>10659</v>
      </c>
    </row>
    <row r="146" spans="1:11" ht="14.55" customHeight="1" x14ac:dyDescent="0.25">
      <c r="A146" s="286" t="s">
        <v>9358</v>
      </c>
      <c r="B146" s="293" t="s">
        <v>10591</v>
      </c>
      <c r="C146" s="294" t="s">
        <v>9441</v>
      </c>
      <c r="D146" s="353" t="s">
        <v>9442</v>
      </c>
      <c r="E146" s="357" t="s">
        <v>10659</v>
      </c>
      <c r="F146" s="293" t="s">
        <v>9198</v>
      </c>
      <c r="G146" s="293" t="s">
        <v>9197</v>
      </c>
      <c r="H146" s="354" t="s">
        <v>13482</v>
      </c>
      <c r="I146" s="264" t="s">
        <v>13483</v>
      </c>
      <c r="J146" s="354" t="s">
        <v>10602</v>
      </c>
      <c r="K146" s="275" t="s">
        <v>10659</v>
      </c>
    </row>
    <row r="147" spans="1:11" ht="14.55" customHeight="1" x14ac:dyDescent="0.25">
      <c r="A147" s="272" t="s">
        <v>9358</v>
      </c>
      <c r="B147" s="272" t="s">
        <v>10591</v>
      </c>
      <c r="C147" s="265" t="s">
        <v>9443</v>
      </c>
      <c r="D147" s="266" t="s">
        <v>9444</v>
      </c>
      <c r="E147" s="278" t="s">
        <v>10659</v>
      </c>
      <c r="F147" s="272" t="s">
        <v>9198</v>
      </c>
      <c r="G147" s="272" t="s">
        <v>9197</v>
      </c>
      <c r="H147" s="7" t="s">
        <v>10673</v>
      </c>
      <c r="I147" s="266" t="s">
        <v>10674</v>
      </c>
      <c r="J147" s="7" t="s">
        <v>10655</v>
      </c>
      <c r="K147" s="265" t="s">
        <v>10659</v>
      </c>
    </row>
    <row r="148" spans="1:11" ht="14.55" customHeight="1" x14ac:dyDescent="0.25">
      <c r="A148" s="286" t="s">
        <v>9358</v>
      </c>
      <c r="B148" s="293" t="s">
        <v>10591</v>
      </c>
      <c r="C148" s="294" t="s">
        <v>9443</v>
      </c>
      <c r="D148" s="353" t="s">
        <v>9444</v>
      </c>
      <c r="E148" s="357" t="s">
        <v>10659</v>
      </c>
      <c r="F148" s="293" t="s">
        <v>9198</v>
      </c>
      <c r="G148" s="293" t="s">
        <v>9197</v>
      </c>
      <c r="H148" s="354" t="s">
        <v>13482</v>
      </c>
      <c r="I148" s="264" t="s">
        <v>13483</v>
      </c>
      <c r="J148" s="354" t="s">
        <v>10602</v>
      </c>
      <c r="K148" s="275" t="s">
        <v>10659</v>
      </c>
    </row>
    <row r="149" spans="1:11" ht="14.55" customHeight="1" x14ac:dyDescent="0.25">
      <c r="A149" s="272" t="s">
        <v>9358</v>
      </c>
      <c r="B149" s="272" t="s">
        <v>10591</v>
      </c>
      <c r="C149" s="265" t="s">
        <v>9445</v>
      </c>
      <c r="D149" s="266" t="s">
        <v>9446</v>
      </c>
      <c r="E149" s="278" t="s">
        <v>10659</v>
      </c>
      <c r="F149" s="272" t="s">
        <v>9198</v>
      </c>
      <c r="G149" s="272" t="s">
        <v>9197</v>
      </c>
      <c r="H149" s="7" t="s">
        <v>10673</v>
      </c>
      <c r="I149" s="266" t="s">
        <v>10674</v>
      </c>
      <c r="J149" s="7" t="s">
        <v>10655</v>
      </c>
      <c r="K149" s="265" t="s">
        <v>10659</v>
      </c>
    </row>
    <row r="150" spans="1:11" ht="14.55" customHeight="1" x14ac:dyDescent="0.25">
      <c r="A150" s="286" t="s">
        <v>9358</v>
      </c>
      <c r="B150" s="293" t="s">
        <v>10591</v>
      </c>
      <c r="C150" s="294" t="s">
        <v>9445</v>
      </c>
      <c r="D150" s="353" t="s">
        <v>9446</v>
      </c>
      <c r="E150" s="357" t="s">
        <v>10659</v>
      </c>
      <c r="F150" s="293" t="s">
        <v>9198</v>
      </c>
      <c r="G150" s="293" t="s">
        <v>9197</v>
      </c>
      <c r="H150" s="354" t="s">
        <v>13482</v>
      </c>
      <c r="I150" s="264" t="s">
        <v>13483</v>
      </c>
      <c r="J150" s="354" t="s">
        <v>10602</v>
      </c>
      <c r="K150" s="275" t="s">
        <v>10659</v>
      </c>
    </row>
    <row r="151" spans="1:11" ht="14.55" customHeight="1" x14ac:dyDescent="0.25">
      <c r="A151" s="272" t="s">
        <v>9358</v>
      </c>
      <c r="B151" s="272" t="s">
        <v>10591</v>
      </c>
      <c r="C151" s="265" t="s">
        <v>9447</v>
      </c>
      <c r="D151" s="266" t="s">
        <v>9448</v>
      </c>
      <c r="E151" s="278" t="s">
        <v>10659</v>
      </c>
      <c r="F151" s="272" t="s">
        <v>9198</v>
      </c>
      <c r="G151" s="272" t="s">
        <v>9197</v>
      </c>
      <c r="H151" s="7" t="s">
        <v>10673</v>
      </c>
      <c r="I151" s="266" t="s">
        <v>10674</v>
      </c>
      <c r="J151" s="7" t="s">
        <v>10655</v>
      </c>
      <c r="K151" s="265" t="s">
        <v>10659</v>
      </c>
    </row>
    <row r="152" spans="1:11" ht="14.55" customHeight="1" x14ac:dyDescent="0.25">
      <c r="A152" s="286" t="s">
        <v>9358</v>
      </c>
      <c r="B152" s="293" t="s">
        <v>10591</v>
      </c>
      <c r="C152" s="294" t="s">
        <v>9447</v>
      </c>
      <c r="D152" s="353" t="s">
        <v>9448</v>
      </c>
      <c r="E152" s="357" t="s">
        <v>10659</v>
      </c>
      <c r="F152" s="293" t="s">
        <v>9198</v>
      </c>
      <c r="G152" s="293" t="s">
        <v>9197</v>
      </c>
      <c r="H152" s="354" t="s">
        <v>13482</v>
      </c>
      <c r="I152" s="264" t="s">
        <v>13483</v>
      </c>
      <c r="J152" s="354" t="s">
        <v>10602</v>
      </c>
      <c r="K152" s="275" t="s">
        <v>10659</v>
      </c>
    </row>
    <row r="153" spans="1:11" ht="14.55" customHeight="1" x14ac:dyDescent="0.25">
      <c r="A153" s="297" t="s">
        <v>9358</v>
      </c>
      <c r="B153" s="296" t="s">
        <v>10591</v>
      </c>
      <c r="C153" s="275" t="s">
        <v>13491</v>
      </c>
      <c r="D153" s="350" t="s">
        <v>13492</v>
      </c>
      <c r="E153" s="355" t="s">
        <v>10659</v>
      </c>
      <c r="F153" s="296" t="s">
        <v>9198</v>
      </c>
      <c r="G153" s="296" t="s">
        <v>9197</v>
      </c>
      <c r="H153" s="354" t="s">
        <v>10673</v>
      </c>
      <c r="I153" s="264" t="s">
        <v>10674</v>
      </c>
      <c r="J153" s="354" t="s">
        <v>10655</v>
      </c>
      <c r="K153" s="275" t="s">
        <v>10659</v>
      </c>
    </row>
    <row r="154" spans="1:11" ht="14.55" customHeight="1" x14ac:dyDescent="0.25">
      <c r="A154" s="297" t="s">
        <v>9358</v>
      </c>
      <c r="B154" s="296" t="s">
        <v>10591</v>
      </c>
      <c r="C154" s="275" t="s">
        <v>13491</v>
      </c>
      <c r="D154" s="350" t="s">
        <v>13492</v>
      </c>
      <c r="E154" s="355" t="s">
        <v>10659</v>
      </c>
      <c r="F154" s="296" t="s">
        <v>9198</v>
      </c>
      <c r="G154" s="296" t="s">
        <v>9197</v>
      </c>
      <c r="H154" s="354" t="s">
        <v>13482</v>
      </c>
      <c r="I154" s="350" t="s">
        <v>13483</v>
      </c>
      <c r="J154" s="354" t="s">
        <v>10602</v>
      </c>
      <c r="K154" s="275" t="s">
        <v>10659</v>
      </c>
    </row>
    <row r="155" spans="1:11" s="358" customFormat="1" ht="14.55" customHeight="1" x14ac:dyDescent="0.25">
      <c r="A155" s="359" t="s">
        <v>9358</v>
      </c>
      <c r="B155" s="360" t="s">
        <v>10591</v>
      </c>
      <c r="C155" s="361" t="s">
        <v>9449</v>
      </c>
      <c r="D155" s="362" t="s">
        <v>9450</v>
      </c>
      <c r="E155" s="364" t="s">
        <v>10663</v>
      </c>
      <c r="F155" s="360" t="s">
        <v>9198</v>
      </c>
      <c r="G155" s="360" t="s">
        <v>9197</v>
      </c>
      <c r="H155" s="363" t="s">
        <v>10673</v>
      </c>
      <c r="I155" s="365" t="s">
        <v>10674</v>
      </c>
      <c r="J155" s="363" t="s">
        <v>10655</v>
      </c>
      <c r="K155" s="361" t="s">
        <v>10655</v>
      </c>
    </row>
    <row r="156" spans="1:11" s="358" customFormat="1" ht="14.55" customHeight="1" x14ac:dyDescent="0.25">
      <c r="A156" s="359" t="s">
        <v>9358</v>
      </c>
      <c r="B156" s="360" t="s">
        <v>10591</v>
      </c>
      <c r="C156" s="361" t="s">
        <v>9449</v>
      </c>
      <c r="D156" s="362" t="s">
        <v>9450</v>
      </c>
      <c r="E156" s="364" t="s">
        <v>10663</v>
      </c>
      <c r="F156" s="360" t="s">
        <v>9198</v>
      </c>
      <c r="G156" s="360" t="s">
        <v>9197</v>
      </c>
      <c r="H156" s="363" t="s">
        <v>10675</v>
      </c>
      <c r="I156" s="365" t="s">
        <v>10676</v>
      </c>
      <c r="J156" s="363" t="s">
        <v>10658</v>
      </c>
      <c r="K156" s="361" t="s">
        <v>10658</v>
      </c>
    </row>
    <row r="157" spans="1:11" s="280" customFormat="1" ht="14.55" customHeight="1" x14ac:dyDescent="0.25">
      <c r="A157" s="272" t="s">
        <v>9358</v>
      </c>
      <c r="B157" s="272" t="s">
        <v>10591</v>
      </c>
      <c r="C157" s="265" t="s">
        <v>9451</v>
      </c>
      <c r="D157" s="266" t="s">
        <v>9452</v>
      </c>
      <c r="E157" s="278" t="s">
        <v>10663</v>
      </c>
      <c r="F157" s="272" t="s">
        <v>9198</v>
      </c>
      <c r="G157" s="272" t="s">
        <v>9197</v>
      </c>
      <c r="H157" s="7" t="s">
        <v>10673</v>
      </c>
      <c r="I157" s="266" t="s">
        <v>10674</v>
      </c>
      <c r="J157" s="7" t="s">
        <v>10655</v>
      </c>
      <c r="K157" s="265" t="s">
        <v>10655</v>
      </c>
    </row>
    <row r="158" spans="1:11" ht="14.55" customHeight="1" x14ac:dyDescent="0.25">
      <c r="A158" s="286" t="s">
        <v>9358</v>
      </c>
      <c r="B158" s="293" t="s">
        <v>10591</v>
      </c>
      <c r="C158" s="294" t="s">
        <v>9451</v>
      </c>
      <c r="D158" s="353" t="s">
        <v>9452</v>
      </c>
      <c r="E158" s="357" t="s">
        <v>10663</v>
      </c>
      <c r="F158" s="293" t="s">
        <v>9198</v>
      </c>
      <c r="G158" s="293" t="s">
        <v>9197</v>
      </c>
      <c r="H158" s="354" t="s">
        <v>13482</v>
      </c>
      <c r="I158" s="264" t="s">
        <v>13483</v>
      </c>
      <c r="J158" s="354" t="s">
        <v>10602</v>
      </c>
      <c r="K158" s="275" t="s">
        <v>10663</v>
      </c>
    </row>
    <row r="159" spans="1:11" ht="14.55" customHeight="1" x14ac:dyDescent="0.25">
      <c r="A159" s="272" t="s">
        <v>9358</v>
      </c>
      <c r="B159" s="272" t="s">
        <v>10591</v>
      </c>
      <c r="C159" s="265" t="s">
        <v>9453</v>
      </c>
      <c r="D159" s="266" t="s">
        <v>9454</v>
      </c>
      <c r="E159" s="278" t="s">
        <v>10659</v>
      </c>
      <c r="F159" s="272" t="s">
        <v>9198</v>
      </c>
      <c r="G159" s="272" t="s">
        <v>9197</v>
      </c>
      <c r="H159" s="7" t="s">
        <v>10673</v>
      </c>
      <c r="I159" s="266" t="s">
        <v>10674</v>
      </c>
      <c r="J159" s="7" t="s">
        <v>10655</v>
      </c>
      <c r="K159" s="265" t="s">
        <v>10659</v>
      </c>
    </row>
    <row r="160" spans="1:11" ht="14.55" customHeight="1" x14ac:dyDescent="0.25">
      <c r="A160" s="286" t="s">
        <v>9358</v>
      </c>
      <c r="B160" s="293" t="s">
        <v>10591</v>
      </c>
      <c r="C160" s="294" t="s">
        <v>9453</v>
      </c>
      <c r="D160" s="353" t="s">
        <v>9454</v>
      </c>
      <c r="E160" s="357" t="s">
        <v>10659</v>
      </c>
      <c r="F160" s="293" t="s">
        <v>9198</v>
      </c>
      <c r="G160" s="293" t="s">
        <v>9197</v>
      </c>
      <c r="H160" s="354" t="s">
        <v>13482</v>
      </c>
      <c r="I160" s="264" t="s">
        <v>13483</v>
      </c>
      <c r="J160" s="354" t="s">
        <v>10602</v>
      </c>
      <c r="K160" s="275" t="s">
        <v>10659</v>
      </c>
    </row>
    <row r="161" spans="1:11" ht="14.55" customHeight="1" x14ac:dyDescent="0.25">
      <c r="A161" s="272" t="s">
        <v>9358</v>
      </c>
      <c r="B161" s="272" t="s">
        <v>10591</v>
      </c>
      <c r="C161" s="265" t="s">
        <v>9455</v>
      </c>
      <c r="D161" s="266" t="s">
        <v>9456</v>
      </c>
      <c r="E161" s="278" t="s">
        <v>10659</v>
      </c>
      <c r="F161" s="272" t="s">
        <v>9198</v>
      </c>
      <c r="G161" s="272" t="s">
        <v>9197</v>
      </c>
      <c r="H161" s="7" t="s">
        <v>10673</v>
      </c>
      <c r="I161" s="266" t="s">
        <v>10674</v>
      </c>
      <c r="J161" s="7" t="s">
        <v>10655</v>
      </c>
      <c r="K161" s="265" t="s">
        <v>10659</v>
      </c>
    </row>
    <row r="162" spans="1:11" ht="14.55" customHeight="1" x14ac:dyDescent="0.25">
      <c r="A162" s="272" t="s">
        <v>9358</v>
      </c>
      <c r="B162" s="272" t="s">
        <v>10591</v>
      </c>
      <c r="C162" s="265" t="s">
        <v>9455</v>
      </c>
      <c r="D162" s="266" t="s">
        <v>9456</v>
      </c>
      <c r="E162" s="278" t="s">
        <v>10659</v>
      </c>
      <c r="F162" s="272" t="s">
        <v>9198</v>
      </c>
      <c r="G162" s="272" t="s">
        <v>9197</v>
      </c>
      <c r="H162" s="7" t="s">
        <v>10677</v>
      </c>
      <c r="I162" s="266" t="s">
        <v>10678</v>
      </c>
      <c r="J162" s="7" t="s">
        <v>10655</v>
      </c>
      <c r="K162" s="265" t="s">
        <v>10659</v>
      </c>
    </row>
    <row r="163" spans="1:11" ht="14.55" customHeight="1" x14ac:dyDescent="0.25">
      <c r="A163" s="286" t="s">
        <v>9358</v>
      </c>
      <c r="B163" s="293" t="s">
        <v>10591</v>
      </c>
      <c r="C163" s="294" t="s">
        <v>9455</v>
      </c>
      <c r="D163" s="353" t="s">
        <v>9456</v>
      </c>
      <c r="E163" s="357" t="s">
        <v>10659</v>
      </c>
      <c r="F163" s="293" t="s">
        <v>9198</v>
      </c>
      <c r="G163" s="293" t="s">
        <v>9197</v>
      </c>
      <c r="H163" s="354" t="s">
        <v>13482</v>
      </c>
      <c r="I163" s="264" t="s">
        <v>13483</v>
      </c>
      <c r="J163" s="354" t="s">
        <v>10602</v>
      </c>
      <c r="K163" s="275" t="s">
        <v>10659</v>
      </c>
    </row>
    <row r="164" spans="1:11" ht="14.55" customHeight="1" x14ac:dyDescent="0.25">
      <c r="A164" s="272" t="s">
        <v>9358</v>
      </c>
      <c r="B164" s="272" t="s">
        <v>10591</v>
      </c>
      <c r="C164" s="265" t="s">
        <v>9457</v>
      </c>
      <c r="D164" s="266" t="s">
        <v>10679</v>
      </c>
      <c r="E164" s="278" t="s">
        <v>10659</v>
      </c>
      <c r="F164" s="272" t="s">
        <v>9198</v>
      </c>
      <c r="G164" s="272" t="s">
        <v>9197</v>
      </c>
      <c r="H164" s="7" t="s">
        <v>10673</v>
      </c>
      <c r="I164" s="266" t="s">
        <v>10674</v>
      </c>
      <c r="J164" s="7" t="s">
        <v>10655</v>
      </c>
      <c r="K164" s="265" t="s">
        <v>10659</v>
      </c>
    </row>
    <row r="165" spans="1:11" ht="14.55" customHeight="1" x14ac:dyDescent="0.25">
      <c r="A165" s="272" t="s">
        <v>9358</v>
      </c>
      <c r="B165" s="272" t="s">
        <v>10591</v>
      </c>
      <c r="C165" s="265" t="s">
        <v>9457</v>
      </c>
      <c r="D165" s="266" t="s">
        <v>10679</v>
      </c>
      <c r="E165" s="278" t="s">
        <v>10659</v>
      </c>
      <c r="F165" s="272" t="s">
        <v>9198</v>
      </c>
      <c r="G165" s="272" t="s">
        <v>9197</v>
      </c>
      <c r="H165" s="7" t="s">
        <v>10680</v>
      </c>
      <c r="I165" s="266" t="s">
        <v>10681</v>
      </c>
      <c r="J165" s="7" t="s">
        <v>10655</v>
      </c>
      <c r="K165" s="265" t="s">
        <v>10659</v>
      </c>
    </row>
    <row r="166" spans="1:11" ht="14.55" customHeight="1" x14ac:dyDescent="0.25">
      <c r="A166" s="286" t="s">
        <v>9358</v>
      </c>
      <c r="B166" s="293" t="s">
        <v>10591</v>
      </c>
      <c r="C166" s="294" t="s">
        <v>9457</v>
      </c>
      <c r="D166" s="353" t="s">
        <v>10679</v>
      </c>
      <c r="E166" s="357" t="s">
        <v>10659</v>
      </c>
      <c r="F166" s="293" t="s">
        <v>9198</v>
      </c>
      <c r="G166" s="293" t="s">
        <v>9197</v>
      </c>
      <c r="H166" s="354" t="s">
        <v>13482</v>
      </c>
      <c r="I166" s="264" t="s">
        <v>13483</v>
      </c>
      <c r="J166" s="354" t="s">
        <v>10602</v>
      </c>
      <c r="K166" s="275" t="s">
        <v>10659</v>
      </c>
    </row>
    <row r="167" spans="1:11" ht="14.55" customHeight="1" x14ac:dyDescent="0.25">
      <c r="A167" s="272" t="s">
        <v>9358</v>
      </c>
      <c r="B167" s="272" t="s">
        <v>10591</v>
      </c>
      <c r="C167" s="265" t="s">
        <v>9459</v>
      </c>
      <c r="D167" s="266" t="s">
        <v>9460</v>
      </c>
      <c r="E167" s="278" t="s">
        <v>10663</v>
      </c>
      <c r="F167" s="272" t="s">
        <v>9198</v>
      </c>
      <c r="G167" s="272" t="s">
        <v>9197</v>
      </c>
      <c r="H167" s="7" t="s">
        <v>10682</v>
      </c>
      <c r="I167" s="266" t="s">
        <v>10683</v>
      </c>
      <c r="J167" s="7" t="s">
        <v>10655</v>
      </c>
      <c r="K167" s="265" t="s">
        <v>10655</v>
      </c>
    </row>
    <row r="168" spans="1:11" ht="14.55" customHeight="1" x14ac:dyDescent="0.25">
      <c r="A168" s="272" t="s">
        <v>9358</v>
      </c>
      <c r="B168" s="272" t="s">
        <v>10591</v>
      </c>
      <c r="C168" s="265" t="s">
        <v>9459</v>
      </c>
      <c r="D168" s="266" t="s">
        <v>9460</v>
      </c>
      <c r="E168" s="278" t="s">
        <v>10663</v>
      </c>
      <c r="F168" s="272" t="s">
        <v>9198</v>
      </c>
      <c r="G168" s="272" t="s">
        <v>9197</v>
      </c>
      <c r="H168" s="7" t="s">
        <v>10684</v>
      </c>
      <c r="I168" s="266" t="s">
        <v>10685</v>
      </c>
      <c r="J168" s="7" t="s">
        <v>10655</v>
      </c>
      <c r="K168" s="265" t="s">
        <v>10655</v>
      </c>
    </row>
    <row r="169" spans="1:11" s="282" customFormat="1" ht="14.55" customHeight="1" x14ac:dyDescent="0.25">
      <c r="A169" s="272" t="s">
        <v>9358</v>
      </c>
      <c r="B169" s="272" t="s">
        <v>10591</v>
      </c>
      <c r="C169" s="265" t="s">
        <v>9459</v>
      </c>
      <c r="D169" s="266" t="s">
        <v>9460</v>
      </c>
      <c r="E169" s="278" t="s">
        <v>10663</v>
      </c>
      <c r="F169" s="272" t="s">
        <v>9198</v>
      </c>
      <c r="G169" s="272" t="s">
        <v>9197</v>
      </c>
      <c r="H169" s="7" t="s">
        <v>10686</v>
      </c>
      <c r="I169" s="266" t="s">
        <v>10687</v>
      </c>
      <c r="J169" s="7" t="s">
        <v>10655</v>
      </c>
      <c r="K169" s="265" t="s">
        <v>10655</v>
      </c>
    </row>
    <row r="170" spans="1:11" ht="14.55" customHeight="1" x14ac:dyDescent="0.25">
      <c r="A170" s="286" t="s">
        <v>9358</v>
      </c>
      <c r="B170" s="293" t="s">
        <v>10591</v>
      </c>
      <c r="C170" s="294" t="s">
        <v>9459</v>
      </c>
      <c r="D170" s="353" t="s">
        <v>9460</v>
      </c>
      <c r="E170" s="357" t="s">
        <v>10663</v>
      </c>
      <c r="F170" s="293" t="s">
        <v>9198</v>
      </c>
      <c r="G170" s="293" t="s">
        <v>9197</v>
      </c>
      <c r="H170" s="354" t="s">
        <v>13482</v>
      </c>
      <c r="I170" s="264" t="s">
        <v>13483</v>
      </c>
      <c r="J170" s="354" t="s">
        <v>10602</v>
      </c>
      <c r="K170" s="275" t="s">
        <v>10663</v>
      </c>
    </row>
    <row r="171" spans="1:11" ht="14.55" customHeight="1" x14ac:dyDescent="0.25">
      <c r="A171" s="272" t="s">
        <v>9358</v>
      </c>
      <c r="B171" s="272" t="s">
        <v>10591</v>
      </c>
      <c r="C171" s="265" t="s">
        <v>9459</v>
      </c>
      <c r="D171" s="266" t="s">
        <v>9460</v>
      </c>
      <c r="E171" s="278" t="s">
        <v>10663</v>
      </c>
      <c r="F171" s="272" t="s">
        <v>9198</v>
      </c>
      <c r="G171" s="272" t="s">
        <v>9197</v>
      </c>
      <c r="H171" s="7" t="s">
        <v>10688</v>
      </c>
      <c r="I171" s="266" t="s">
        <v>10689</v>
      </c>
      <c r="J171" s="7" t="s">
        <v>10658</v>
      </c>
      <c r="K171" s="7" t="s">
        <v>10658</v>
      </c>
    </row>
    <row r="172" spans="1:11" s="280" customFormat="1" ht="14.55" customHeight="1" x14ac:dyDescent="0.25">
      <c r="A172" s="272" t="s">
        <v>9358</v>
      </c>
      <c r="B172" s="272" t="s">
        <v>10591</v>
      </c>
      <c r="C172" s="265" t="s">
        <v>9459</v>
      </c>
      <c r="D172" s="266" t="s">
        <v>9460</v>
      </c>
      <c r="E172" s="278" t="s">
        <v>10663</v>
      </c>
      <c r="F172" s="272" t="s">
        <v>9198</v>
      </c>
      <c r="G172" s="272" t="s">
        <v>9197</v>
      </c>
      <c r="H172" s="7" t="s">
        <v>10690</v>
      </c>
      <c r="I172" s="266" t="s">
        <v>10691</v>
      </c>
      <c r="J172" s="7" t="s">
        <v>10658</v>
      </c>
      <c r="K172" s="7" t="s">
        <v>10658</v>
      </c>
    </row>
    <row r="173" spans="1:11" s="283" customFormat="1" ht="14.55" customHeight="1" x14ac:dyDescent="0.25">
      <c r="A173" s="272" t="s">
        <v>9358</v>
      </c>
      <c r="B173" s="272" t="s">
        <v>10591</v>
      </c>
      <c r="C173" s="265" t="s">
        <v>9459</v>
      </c>
      <c r="D173" s="266" t="s">
        <v>9460</v>
      </c>
      <c r="E173" s="278" t="s">
        <v>10663</v>
      </c>
      <c r="F173" s="272" t="s">
        <v>9198</v>
      </c>
      <c r="G173" s="272" t="s">
        <v>9197</v>
      </c>
      <c r="H173" s="7" t="s">
        <v>10692</v>
      </c>
      <c r="I173" s="266" t="s">
        <v>10693</v>
      </c>
      <c r="J173" s="7" t="s">
        <v>10658</v>
      </c>
      <c r="K173" s="7" t="s">
        <v>10658</v>
      </c>
    </row>
    <row r="174" spans="1:11" s="280" customFormat="1" ht="14.55" customHeight="1" x14ac:dyDescent="0.25">
      <c r="A174" s="272" t="s">
        <v>9358</v>
      </c>
      <c r="B174" s="272" t="s">
        <v>10591</v>
      </c>
      <c r="C174" s="265" t="s">
        <v>9461</v>
      </c>
      <c r="D174" s="266" t="s">
        <v>9462</v>
      </c>
      <c r="E174" s="278" t="s">
        <v>10663</v>
      </c>
      <c r="F174" s="272" t="s">
        <v>9198</v>
      </c>
      <c r="G174" s="272" t="s">
        <v>9197</v>
      </c>
      <c r="H174" s="7" t="s">
        <v>10682</v>
      </c>
      <c r="I174" s="266" t="s">
        <v>10683</v>
      </c>
      <c r="J174" s="7" t="s">
        <v>10655</v>
      </c>
      <c r="K174" s="265" t="s">
        <v>10655</v>
      </c>
    </row>
    <row r="175" spans="1:11" s="280" customFormat="1" ht="14.55" customHeight="1" x14ac:dyDescent="0.25">
      <c r="A175" s="272" t="s">
        <v>9358</v>
      </c>
      <c r="B175" s="272" t="s">
        <v>10591</v>
      </c>
      <c r="C175" s="265" t="s">
        <v>9461</v>
      </c>
      <c r="D175" s="266" t="s">
        <v>9462</v>
      </c>
      <c r="E175" s="278" t="s">
        <v>10663</v>
      </c>
      <c r="F175" s="272" t="s">
        <v>9198</v>
      </c>
      <c r="G175" s="272" t="s">
        <v>9197</v>
      </c>
      <c r="H175" s="7" t="s">
        <v>10684</v>
      </c>
      <c r="I175" s="266" t="s">
        <v>10685</v>
      </c>
      <c r="J175" s="7" t="s">
        <v>10655</v>
      </c>
      <c r="K175" s="265" t="s">
        <v>10655</v>
      </c>
    </row>
    <row r="176" spans="1:11" s="282" customFormat="1" ht="14.55" customHeight="1" x14ac:dyDescent="0.25">
      <c r="A176" s="272" t="s">
        <v>9358</v>
      </c>
      <c r="B176" s="272" t="s">
        <v>10591</v>
      </c>
      <c r="C176" s="265" t="s">
        <v>9461</v>
      </c>
      <c r="D176" s="266" t="s">
        <v>9462</v>
      </c>
      <c r="E176" s="278" t="s">
        <v>10663</v>
      </c>
      <c r="F176" s="272" t="s">
        <v>9198</v>
      </c>
      <c r="G176" s="272" t="s">
        <v>9197</v>
      </c>
      <c r="H176" s="7" t="s">
        <v>10686</v>
      </c>
      <c r="I176" s="266" t="s">
        <v>10687</v>
      </c>
      <c r="J176" s="7" t="s">
        <v>10655</v>
      </c>
      <c r="K176" s="265" t="s">
        <v>10655</v>
      </c>
    </row>
    <row r="177" spans="1:11" ht="14.55" customHeight="1" x14ac:dyDescent="0.25">
      <c r="A177" s="286" t="s">
        <v>9358</v>
      </c>
      <c r="B177" s="293" t="s">
        <v>10591</v>
      </c>
      <c r="C177" s="294" t="s">
        <v>9461</v>
      </c>
      <c r="D177" s="353" t="s">
        <v>9462</v>
      </c>
      <c r="E177" s="357" t="s">
        <v>10663</v>
      </c>
      <c r="F177" s="293" t="s">
        <v>9198</v>
      </c>
      <c r="G177" s="293" t="s">
        <v>9197</v>
      </c>
      <c r="H177" s="354" t="s">
        <v>13482</v>
      </c>
      <c r="I177" s="264" t="s">
        <v>13483</v>
      </c>
      <c r="J177" s="354" t="s">
        <v>10602</v>
      </c>
      <c r="K177" s="275" t="s">
        <v>10663</v>
      </c>
    </row>
    <row r="178" spans="1:11" s="280" customFormat="1" ht="14.55" customHeight="1" x14ac:dyDescent="0.25">
      <c r="A178" s="272" t="s">
        <v>9358</v>
      </c>
      <c r="B178" s="272" t="s">
        <v>10591</v>
      </c>
      <c r="C178" s="265" t="s">
        <v>9461</v>
      </c>
      <c r="D178" s="266" t="s">
        <v>9462</v>
      </c>
      <c r="E178" s="278" t="s">
        <v>10663</v>
      </c>
      <c r="F178" s="272" t="s">
        <v>9198</v>
      </c>
      <c r="G178" s="272" t="s">
        <v>9197</v>
      </c>
      <c r="H178" s="7" t="s">
        <v>10688</v>
      </c>
      <c r="I178" s="266" t="s">
        <v>10689</v>
      </c>
      <c r="J178" s="7" t="s">
        <v>10658</v>
      </c>
      <c r="K178" s="265" t="s">
        <v>10658</v>
      </c>
    </row>
    <row r="179" spans="1:11" ht="14.55" customHeight="1" x14ac:dyDescent="0.25">
      <c r="A179" s="272" t="s">
        <v>9358</v>
      </c>
      <c r="B179" s="272" t="s">
        <v>10591</v>
      </c>
      <c r="C179" s="265" t="s">
        <v>9461</v>
      </c>
      <c r="D179" s="266" t="s">
        <v>9462</v>
      </c>
      <c r="E179" s="278" t="s">
        <v>10663</v>
      </c>
      <c r="F179" s="272" t="s">
        <v>9198</v>
      </c>
      <c r="G179" s="272" t="s">
        <v>9197</v>
      </c>
      <c r="H179" s="7" t="s">
        <v>10690</v>
      </c>
      <c r="I179" s="266" t="s">
        <v>10691</v>
      </c>
      <c r="J179" s="7" t="s">
        <v>10658</v>
      </c>
      <c r="K179" s="265" t="s">
        <v>10658</v>
      </c>
    </row>
    <row r="180" spans="1:11" s="283" customFormat="1" ht="14.55" customHeight="1" x14ac:dyDescent="0.25">
      <c r="A180" s="272" t="s">
        <v>9358</v>
      </c>
      <c r="B180" s="272" t="s">
        <v>10591</v>
      </c>
      <c r="C180" s="265" t="s">
        <v>9461</v>
      </c>
      <c r="D180" s="266" t="s">
        <v>9462</v>
      </c>
      <c r="E180" s="278" t="s">
        <v>10663</v>
      </c>
      <c r="F180" s="272" t="s">
        <v>9198</v>
      </c>
      <c r="G180" s="272" t="s">
        <v>9197</v>
      </c>
      <c r="H180" s="7" t="s">
        <v>10692</v>
      </c>
      <c r="I180" s="266" t="s">
        <v>10693</v>
      </c>
      <c r="J180" s="7" t="s">
        <v>10658</v>
      </c>
      <c r="K180" s="265" t="s">
        <v>10658</v>
      </c>
    </row>
    <row r="181" spans="1:11" ht="14.55" customHeight="1" x14ac:dyDescent="0.25">
      <c r="A181" s="272" t="s">
        <v>9358</v>
      </c>
      <c r="B181" s="272" t="s">
        <v>10591</v>
      </c>
      <c r="C181" s="265" t="s">
        <v>9463</v>
      </c>
      <c r="D181" s="266" t="s">
        <v>9464</v>
      </c>
      <c r="E181" s="278" t="s">
        <v>10663</v>
      </c>
      <c r="F181" s="272" t="s">
        <v>9198</v>
      </c>
      <c r="G181" s="272" t="s">
        <v>9197</v>
      </c>
      <c r="H181" s="7" t="s">
        <v>10682</v>
      </c>
      <c r="I181" s="266" t="s">
        <v>10683</v>
      </c>
      <c r="J181" s="7" t="s">
        <v>10655</v>
      </c>
      <c r="K181" s="265" t="s">
        <v>10655</v>
      </c>
    </row>
    <row r="182" spans="1:11" s="282" customFormat="1" ht="14.55" customHeight="1" x14ac:dyDescent="0.25">
      <c r="A182" s="272" t="s">
        <v>9358</v>
      </c>
      <c r="B182" s="272" t="s">
        <v>10591</v>
      </c>
      <c r="C182" s="265" t="s">
        <v>9463</v>
      </c>
      <c r="D182" s="266" t="s">
        <v>9464</v>
      </c>
      <c r="E182" s="278" t="s">
        <v>10663</v>
      </c>
      <c r="F182" s="272" t="s">
        <v>9198</v>
      </c>
      <c r="G182" s="272" t="s">
        <v>9197</v>
      </c>
      <c r="H182" s="7" t="s">
        <v>10694</v>
      </c>
      <c r="I182" s="266" t="s">
        <v>10695</v>
      </c>
      <c r="J182" s="7" t="s">
        <v>10655</v>
      </c>
      <c r="K182" s="265" t="s">
        <v>10655</v>
      </c>
    </row>
    <row r="183" spans="1:11" ht="14.55" customHeight="1" x14ac:dyDescent="0.25">
      <c r="A183" s="286" t="s">
        <v>9358</v>
      </c>
      <c r="B183" s="293" t="s">
        <v>10591</v>
      </c>
      <c r="C183" s="294" t="s">
        <v>9463</v>
      </c>
      <c r="D183" s="353" t="s">
        <v>9464</v>
      </c>
      <c r="E183" s="357" t="s">
        <v>10663</v>
      </c>
      <c r="F183" s="293" t="s">
        <v>9198</v>
      </c>
      <c r="G183" s="293" t="s">
        <v>9197</v>
      </c>
      <c r="H183" s="354" t="s">
        <v>13482</v>
      </c>
      <c r="I183" s="264" t="s">
        <v>13483</v>
      </c>
      <c r="J183" s="354" t="s">
        <v>10602</v>
      </c>
      <c r="K183" s="275" t="s">
        <v>10663</v>
      </c>
    </row>
    <row r="184" spans="1:11" ht="14.55" customHeight="1" x14ac:dyDescent="0.25">
      <c r="A184" s="272" t="s">
        <v>9358</v>
      </c>
      <c r="B184" s="272" t="s">
        <v>10591</v>
      </c>
      <c r="C184" s="265" t="s">
        <v>9463</v>
      </c>
      <c r="D184" s="266" t="s">
        <v>9464</v>
      </c>
      <c r="E184" s="278" t="s">
        <v>10663</v>
      </c>
      <c r="F184" s="272" t="s">
        <v>9198</v>
      </c>
      <c r="G184" s="272" t="s">
        <v>9197</v>
      </c>
      <c r="H184" s="7" t="s">
        <v>10696</v>
      </c>
      <c r="I184" s="266" t="s">
        <v>10697</v>
      </c>
      <c r="J184" s="7" t="s">
        <v>10658</v>
      </c>
      <c r="K184" s="265" t="s">
        <v>10658</v>
      </c>
    </row>
    <row r="185" spans="1:11" s="283" customFormat="1" ht="14.55" customHeight="1" x14ac:dyDescent="0.25">
      <c r="A185" s="272" t="s">
        <v>9358</v>
      </c>
      <c r="B185" s="272" t="s">
        <v>10591</v>
      </c>
      <c r="C185" s="265" t="s">
        <v>9463</v>
      </c>
      <c r="D185" s="266" t="s">
        <v>9464</v>
      </c>
      <c r="E185" s="278" t="s">
        <v>10663</v>
      </c>
      <c r="F185" s="272" t="s">
        <v>9198</v>
      </c>
      <c r="G185" s="272" t="s">
        <v>9197</v>
      </c>
      <c r="H185" s="7" t="s">
        <v>10692</v>
      </c>
      <c r="I185" s="266" t="s">
        <v>10693</v>
      </c>
      <c r="J185" s="7" t="s">
        <v>10658</v>
      </c>
      <c r="K185" s="265" t="s">
        <v>10658</v>
      </c>
    </row>
    <row r="186" spans="1:11" ht="14.55" customHeight="1" x14ac:dyDescent="0.25">
      <c r="A186" s="272" t="s">
        <v>9358</v>
      </c>
      <c r="B186" s="272" t="s">
        <v>10591</v>
      </c>
      <c r="C186" s="265" t="s">
        <v>9465</v>
      </c>
      <c r="D186" s="266" t="s">
        <v>9466</v>
      </c>
      <c r="E186" s="278" t="s">
        <v>10659</v>
      </c>
      <c r="F186" s="272" t="s">
        <v>9198</v>
      </c>
      <c r="G186" s="272" t="s">
        <v>9197</v>
      </c>
      <c r="H186" s="7" t="s">
        <v>10682</v>
      </c>
      <c r="I186" s="266" t="s">
        <v>10683</v>
      </c>
      <c r="J186" s="7" t="s">
        <v>10655</v>
      </c>
      <c r="K186" s="265" t="s">
        <v>10659</v>
      </c>
    </row>
    <row r="187" spans="1:11" ht="14.55" customHeight="1" x14ac:dyDescent="0.25">
      <c r="A187" s="272" t="s">
        <v>9358</v>
      </c>
      <c r="B187" s="272" t="s">
        <v>10591</v>
      </c>
      <c r="C187" s="265" t="s">
        <v>9465</v>
      </c>
      <c r="D187" s="266" t="s">
        <v>9466</v>
      </c>
      <c r="E187" s="278" t="s">
        <v>10659</v>
      </c>
      <c r="F187" s="272" t="s">
        <v>9198</v>
      </c>
      <c r="G187" s="272" t="s">
        <v>9197</v>
      </c>
      <c r="H187" s="7" t="s">
        <v>10694</v>
      </c>
      <c r="I187" s="266" t="s">
        <v>10695</v>
      </c>
      <c r="J187" s="7" t="s">
        <v>10655</v>
      </c>
      <c r="K187" s="265" t="s">
        <v>10659</v>
      </c>
    </row>
    <row r="188" spans="1:11" ht="14.55" customHeight="1" x14ac:dyDescent="0.25">
      <c r="A188" s="286" t="s">
        <v>9358</v>
      </c>
      <c r="B188" s="293" t="s">
        <v>10591</v>
      </c>
      <c r="C188" s="294" t="s">
        <v>9465</v>
      </c>
      <c r="D188" s="353" t="s">
        <v>9466</v>
      </c>
      <c r="E188" s="357" t="s">
        <v>10659</v>
      </c>
      <c r="F188" s="293" t="s">
        <v>9198</v>
      </c>
      <c r="G188" s="293" t="s">
        <v>9197</v>
      </c>
      <c r="H188" s="354" t="s">
        <v>13482</v>
      </c>
      <c r="I188" s="264" t="s">
        <v>13483</v>
      </c>
      <c r="J188" s="354" t="s">
        <v>10602</v>
      </c>
      <c r="K188" s="275" t="s">
        <v>10659</v>
      </c>
    </row>
    <row r="189" spans="1:11" ht="14.55" customHeight="1" x14ac:dyDescent="0.25">
      <c r="A189" s="272" t="s">
        <v>9358</v>
      </c>
      <c r="B189" s="272" t="s">
        <v>10591</v>
      </c>
      <c r="C189" s="265" t="s">
        <v>9467</v>
      </c>
      <c r="D189" s="266" t="s">
        <v>9468</v>
      </c>
      <c r="E189" s="278" t="s">
        <v>10659</v>
      </c>
      <c r="F189" s="272" t="s">
        <v>9198</v>
      </c>
      <c r="G189" s="272" t="s">
        <v>9197</v>
      </c>
      <c r="H189" s="7" t="s">
        <v>10682</v>
      </c>
      <c r="I189" s="266" t="s">
        <v>10683</v>
      </c>
      <c r="J189" s="7" t="s">
        <v>10655</v>
      </c>
      <c r="K189" s="265" t="s">
        <v>10659</v>
      </c>
    </row>
    <row r="190" spans="1:11" ht="14.55" customHeight="1" x14ac:dyDescent="0.25">
      <c r="A190" s="272" t="s">
        <v>9358</v>
      </c>
      <c r="B190" s="272" t="s">
        <v>10591</v>
      </c>
      <c r="C190" s="265" t="s">
        <v>9467</v>
      </c>
      <c r="D190" s="266" t="s">
        <v>9468</v>
      </c>
      <c r="E190" s="278" t="s">
        <v>10659</v>
      </c>
      <c r="F190" s="272" t="s">
        <v>9198</v>
      </c>
      <c r="G190" s="272" t="s">
        <v>9197</v>
      </c>
      <c r="H190" s="7" t="s">
        <v>10694</v>
      </c>
      <c r="I190" s="266" t="s">
        <v>10695</v>
      </c>
      <c r="J190" s="7" t="s">
        <v>10655</v>
      </c>
      <c r="K190" s="265" t="s">
        <v>10659</v>
      </c>
    </row>
    <row r="191" spans="1:11" ht="14.55" customHeight="1" x14ac:dyDescent="0.25">
      <c r="A191" s="286" t="s">
        <v>9358</v>
      </c>
      <c r="B191" s="293" t="s">
        <v>10591</v>
      </c>
      <c r="C191" s="294" t="s">
        <v>9467</v>
      </c>
      <c r="D191" s="353" t="s">
        <v>9468</v>
      </c>
      <c r="E191" s="357" t="s">
        <v>10659</v>
      </c>
      <c r="F191" s="293" t="s">
        <v>9198</v>
      </c>
      <c r="G191" s="293" t="s">
        <v>9197</v>
      </c>
      <c r="H191" s="354" t="s">
        <v>13482</v>
      </c>
      <c r="I191" s="264" t="s">
        <v>13483</v>
      </c>
      <c r="J191" s="354" t="s">
        <v>10602</v>
      </c>
      <c r="K191" s="275" t="s">
        <v>10659</v>
      </c>
    </row>
    <row r="192" spans="1:11" ht="14.55" customHeight="1" x14ac:dyDescent="0.25">
      <c r="A192" s="272" t="s">
        <v>9358</v>
      </c>
      <c r="B192" s="272" t="s">
        <v>10591</v>
      </c>
      <c r="C192" s="265" t="s">
        <v>9469</v>
      </c>
      <c r="D192" s="266" t="s">
        <v>9470</v>
      </c>
      <c r="E192" s="278" t="s">
        <v>10663</v>
      </c>
      <c r="F192" s="272" t="s">
        <v>9198</v>
      </c>
      <c r="G192" s="272" t="s">
        <v>9197</v>
      </c>
      <c r="H192" s="7" t="s">
        <v>10682</v>
      </c>
      <c r="I192" s="266" t="s">
        <v>10683</v>
      </c>
      <c r="J192" s="7" t="s">
        <v>10655</v>
      </c>
      <c r="K192" s="7" t="s">
        <v>10655</v>
      </c>
    </row>
    <row r="193" spans="1:11" ht="14.55" customHeight="1" x14ac:dyDescent="0.25">
      <c r="A193" s="272" t="s">
        <v>9358</v>
      </c>
      <c r="B193" s="272" t="s">
        <v>10591</v>
      </c>
      <c r="C193" s="265" t="s">
        <v>9469</v>
      </c>
      <c r="D193" s="266" t="s">
        <v>9470</v>
      </c>
      <c r="E193" s="278" t="s">
        <v>10663</v>
      </c>
      <c r="F193" s="272" t="s">
        <v>9198</v>
      </c>
      <c r="G193" s="272" t="s">
        <v>9197</v>
      </c>
      <c r="H193" s="7" t="s">
        <v>10698</v>
      </c>
      <c r="I193" s="266" t="s">
        <v>10699</v>
      </c>
      <c r="J193" s="7" t="s">
        <v>10655</v>
      </c>
      <c r="K193" s="7" t="s">
        <v>10655</v>
      </c>
    </row>
    <row r="194" spans="1:11" s="282" customFormat="1" ht="14.55" customHeight="1" x14ac:dyDescent="0.25">
      <c r="A194" s="272" t="s">
        <v>9358</v>
      </c>
      <c r="B194" s="272" t="s">
        <v>10591</v>
      </c>
      <c r="C194" s="265" t="s">
        <v>9469</v>
      </c>
      <c r="D194" s="266" t="s">
        <v>9470</v>
      </c>
      <c r="E194" s="278" t="s">
        <v>10663</v>
      </c>
      <c r="F194" s="272" t="s">
        <v>9198</v>
      </c>
      <c r="G194" s="272" t="s">
        <v>9197</v>
      </c>
      <c r="H194" s="7" t="s">
        <v>10700</v>
      </c>
      <c r="I194" s="266" t="s">
        <v>10701</v>
      </c>
      <c r="J194" s="7" t="s">
        <v>10655</v>
      </c>
      <c r="K194" s="7" t="s">
        <v>10655</v>
      </c>
    </row>
    <row r="195" spans="1:11" ht="14.55" customHeight="1" x14ac:dyDescent="0.25">
      <c r="A195" s="286" t="s">
        <v>9358</v>
      </c>
      <c r="B195" s="293" t="s">
        <v>10591</v>
      </c>
      <c r="C195" s="294" t="s">
        <v>9469</v>
      </c>
      <c r="D195" s="353" t="s">
        <v>9470</v>
      </c>
      <c r="E195" s="357" t="s">
        <v>10663</v>
      </c>
      <c r="F195" s="293" t="s">
        <v>9198</v>
      </c>
      <c r="G195" s="293" t="s">
        <v>9197</v>
      </c>
      <c r="H195" s="354" t="s">
        <v>13482</v>
      </c>
      <c r="I195" s="264" t="s">
        <v>13483</v>
      </c>
      <c r="J195" s="354" t="s">
        <v>10602</v>
      </c>
      <c r="K195" s="275" t="s">
        <v>10663</v>
      </c>
    </row>
    <row r="196" spans="1:11" ht="14.55" customHeight="1" x14ac:dyDescent="0.25">
      <c r="A196" s="272" t="s">
        <v>9358</v>
      </c>
      <c r="B196" s="272" t="s">
        <v>10591</v>
      </c>
      <c r="C196" s="265" t="s">
        <v>9469</v>
      </c>
      <c r="D196" s="266" t="s">
        <v>9470</v>
      </c>
      <c r="E196" s="278" t="s">
        <v>10663</v>
      </c>
      <c r="F196" s="272" t="s">
        <v>9198</v>
      </c>
      <c r="G196" s="272" t="s">
        <v>9197</v>
      </c>
      <c r="H196" s="7" t="s">
        <v>10702</v>
      </c>
      <c r="I196" s="266" t="s">
        <v>10703</v>
      </c>
      <c r="J196" s="7" t="s">
        <v>10658</v>
      </c>
      <c r="K196" s="265" t="s">
        <v>10658</v>
      </c>
    </row>
    <row r="197" spans="1:11" ht="14.55" customHeight="1" x14ac:dyDescent="0.25">
      <c r="A197" s="272" t="s">
        <v>9358</v>
      </c>
      <c r="B197" s="272" t="s">
        <v>10591</v>
      </c>
      <c r="C197" s="265" t="s">
        <v>9469</v>
      </c>
      <c r="D197" s="266" t="s">
        <v>9470</v>
      </c>
      <c r="E197" s="278" t="s">
        <v>10663</v>
      </c>
      <c r="F197" s="272" t="s">
        <v>9198</v>
      </c>
      <c r="G197" s="272" t="s">
        <v>9197</v>
      </c>
      <c r="H197" s="7" t="s">
        <v>10704</v>
      </c>
      <c r="I197" s="266" t="s">
        <v>10705</v>
      </c>
      <c r="J197" s="7" t="s">
        <v>10658</v>
      </c>
      <c r="K197" s="265" t="s">
        <v>10658</v>
      </c>
    </row>
    <row r="198" spans="1:11" ht="14.55" customHeight="1" x14ac:dyDescent="0.25">
      <c r="A198" s="272" t="s">
        <v>9358</v>
      </c>
      <c r="B198" s="272" t="s">
        <v>10591</v>
      </c>
      <c r="C198" s="265" t="s">
        <v>9471</v>
      </c>
      <c r="D198" s="266" t="s">
        <v>9472</v>
      </c>
      <c r="E198" s="278" t="s">
        <v>10659</v>
      </c>
      <c r="F198" s="272" t="s">
        <v>9198</v>
      </c>
      <c r="G198" s="272" t="s">
        <v>9197</v>
      </c>
      <c r="H198" s="7" t="s">
        <v>10682</v>
      </c>
      <c r="I198" s="266" t="s">
        <v>10683</v>
      </c>
      <c r="J198" s="7" t="s">
        <v>10655</v>
      </c>
      <c r="K198" s="265" t="s">
        <v>10659</v>
      </c>
    </row>
    <row r="199" spans="1:11" ht="14.55" customHeight="1" x14ac:dyDescent="0.25">
      <c r="A199" s="272" t="s">
        <v>9358</v>
      </c>
      <c r="B199" s="272" t="s">
        <v>10591</v>
      </c>
      <c r="C199" s="265" t="s">
        <v>9471</v>
      </c>
      <c r="D199" s="266" t="s">
        <v>9472</v>
      </c>
      <c r="E199" s="278" t="s">
        <v>10659</v>
      </c>
      <c r="F199" s="272" t="s">
        <v>9198</v>
      </c>
      <c r="G199" s="272" t="s">
        <v>9197</v>
      </c>
      <c r="H199" s="7" t="s">
        <v>10698</v>
      </c>
      <c r="I199" s="266" t="s">
        <v>10699</v>
      </c>
      <c r="J199" s="7" t="s">
        <v>10655</v>
      </c>
      <c r="K199" s="265" t="s">
        <v>10659</v>
      </c>
    </row>
    <row r="200" spans="1:11" ht="14.55" customHeight="1" x14ac:dyDescent="0.25">
      <c r="A200" s="272" t="s">
        <v>9358</v>
      </c>
      <c r="B200" s="272" t="s">
        <v>10591</v>
      </c>
      <c r="C200" s="265" t="s">
        <v>9471</v>
      </c>
      <c r="D200" s="266" t="s">
        <v>9472</v>
      </c>
      <c r="E200" s="278" t="s">
        <v>10659</v>
      </c>
      <c r="F200" s="272" t="s">
        <v>9198</v>
      </c>
      <c r="G200" s="272" t="s">
        <v>9197</v>
      </c>
      <c r="H200" s="7" t="s">
        <v>10700</v>
      </c>
      <c r="I200" s="266" t="s">
        <v>10701</v>
      </c>
      <c r="J200" s="7" t="s">
        <v>10655</v>
      </c>
      <c r="K200" s="265" t="s">
        <v>10659</v>
      </c>
    </row>
    <row r="201" spans="1:11" ht="14.55" customHeight="1" x14ac:dyDescent="0.25">
      <c r="A201" s="286" t="s">
        <v>9358</v>
      </c>
      <c r="B201" s="293" t="s">
        <v>10591</v>
      </c>
      <c r="C201" s="294" t="s">
        <v>9471</v>
      </c>
      <c r="D201" s="353" t="s">
        <v>9472</v>
      </c>
      <c r="E201" s="357" t="s">
        <v>10659</v>
      </c>
      <c r="F201" s="293" t="s">
        <v>9198</v>
      </c>
      <c r="G201" s="293" t="s">
        <v>9197</v>
      </c>
      <c r="H201" s="354" t="s">
        <v>13482</v>
      </c>
      <c r="I201" s="264" t="s">
        <v>13483</v>
      </c>
      <c r="J201" s="354" t="s">
        <v>10602</v>
      </c>
      <c r="K201" s="275" t="s">
        <v>10659</v>
      </c>
    </row>
    <row r="202" spans="1:11" ht="14.55" customHeight="1" x14ac:dyDescent="0.25">
      <c r="A202" s="272" t="s">
        <v>9358</v>
      </c>
      <c r="B202" s="272" t="s">
        <v>10591</v>
      </c>
      <c r="C202" s="265" t="s">
        <v>9473</v>
      </c>
      <c r="D202" s="266" t="s">
        <v>9474</v>
      </c>
      <c r="E202" s="278" t="s">
        <v>10659</v>
      </c>
      <c r="F202" s="272" t="s">
        <v>9198</v>
      </c>
      <c r="G202" s="272" t="s">
        <v>9197</v>
      </c>
      <c r="H202" s="7" t="s">
        <v>10682</v>
      </c>
      <c r="I202" s="266" t="s">
        <v>10683</v>
      </c>
      <c r="J202" s="7" t="s">
        <v>10655</v>
      </c>
      <c r="K202" s="265" t="s">
        <v>10659</v>
      </c>
    </row>
    <row r="203" spans="1:11" ht="14.55" customHeight="1" x14ac:dyDescent="0.25">
      <c r="A203" s="272" t="s">
        <v>9358</v>
      </c>
      <c r="B203" s="272" t="s">
        <v>10591</v>
      </c>
      <c r="C203" s="265" t="s">
        <v>9473</v>
      </c>
      <c r="D203" s="266" t="s">
        <v>9474</v>
      </c>
      <c r="E203" s="278" t="s">
        <v>10659</v>
      </c>
      <c r="F203" s="272" t="s">
        <v>9198</v>
      </c>
      <c r="G203" s="272" t="s">
        <v>9197</v>
      </c>
      <c r="H203" s="7" t="s">
        <v>10698</v>
      </c>
      <c r="I203" s="266" t="s">
        <v>10699</v>
      </c>
      <c r="J203" s="7" t="s">
        <v>10655</v>
      </c>
      <c r="K203" s="265" t="s">
        <v>10659</v>
      </c>
    </row>
    <row r="204" spans="1:11" ht="14.55" customHeight="1" x14ac:dyDescent="0.25">
      <c r="A204" s="272" t="s">
        <v>9358</v>
      </c>
      <c r="B204" s="272" t="s">
        <v>10591</v>
      </c>
      <c r="C204" s="265" t="s">
        <v>9473</v>
      </c>
      <c r="D204" s="266" t="s">
        <v>9474</v>
      </c>
      <c r="E204" s="278" t="s">
        <v>10659</v>
      </c>
      <c r="F204" s="272" t="s">
        <v>9198</v>
      </c>
      <c r="G204" s="272" t="s">
        <v>9197</v>
      </c>
      <c r="H204" s="7" t="s">
        <v>10700</v>
      </c>
      <c r="I204" s="266" t="s">
        <v>10701</v>
      </c>
      <c r="J204" s="7" t="s">
        <v>10655</v>
      </c>
      <c r="K204" s="265" t="s">
        <v>10659</v>
      </c>
    </row>
    <row r="205" spans="1:11" ht="14.55" customHeight="1" x14ac:dyDescent="0.25">
      <c r="A205" s="286" t="s">
        <v>9358</v>
      </c>
      <c r="B205" s="293" t="s">
        <v>10591</v>
      </c>
      <c r="C205" s="294" t="s">
        <v>9473</v>
      </c>
      <c r="D205" s="353" t="s">
        <v>9474</v>
      </c>
      <c r="E205" s="357" t="s">
        <v>10659</v>
      </c>
      <c r="F205" s="293" t="s">
        <v>9198</v>
      </c>
      <c r="G205" s="293" t="s">
        <v>9197</v>
      </c>
      <c r="H205" s="354" t="s">
        <v>13482</v>
      </c>
      <c r="I205" s="264" t="s">
        <v>13483</v>
      </c>
      <c r="J205" s="354" t="s">
        <v>10602</v>
      </c>
      <c r="K205" s="275" t="s">
        <v>10659</v>
      </c>
    </row>
    <row r="206" spans="1:11" ht="14.55" customHeight="1" x14ac:dyDescent="0.25">
      <c r="A206" s="272" t="s">
        <v>9358</v>
      </c>
      <c r="B206" s="272" t="s">
        <v>10591</v>
      </c>
      <c r="C206" s="265" t="s">
        <v>9475</v>
      </c>
      <c r="D206" s="266" t="s">
        <v>9476</v>
      </c>
      <c r="E206" s="278" t="s">
        <v>10663</v>
      </c>
      <c r="F206" s="272" t="s">
        <v>9198</v>
      </c>
      <c r="G206" s="272" t="s">
        <v>9197</v>
      </c>
      <c r="H206" s="7" t="s">
        <v>10682</v>
      </c>
      <c r="I206" s="266" t="s">
        <v>10683</v>
      </c>
      <c r="J206" s="7" t="s">
        <v>10655</v>
      </c>
      <c r="K206" s="7" t="s">
        <v>10655</v>
      </c>
    </row>
    <row r="207" spans="1:11" ht="14.55" customHeight="1" x14ac:dyDescent="0.25">
      <c r="A207" s="272" t="s">
        <v>9358</v>
      </c>
      <c r="B207" s="272" t="s">
        <v>10591</v>
      </c>
      <c r="C207" s="265" t="s">
        <v>9475</v>
      </c>
      <c r="D207" s="266" t="s">
        <v>9476</v>
      </c>
      <c r="E207" s="278" t="s">
        <v>10663</v>
      </c>
      <c r="F207" s="272" t="s">
        <v>9198</v>
      </c>
      <c r="G207" s="272" t="s">
        <v>9197</v>
      </c>
      <c r="H207" s="7" t="s">
        <v>10698</v>
      </c>
      <c r="I207" s="266" t="s">
        <v>10699</v>
      </c>
      <c r="J207" s="7" t="s">
        <v>10655</v>
      </c>
      <c r="K207" s="7" t="s">
        <v>10655</v>
      </c>
    </row>
    <row r="208" spans="1:11" s="282" customFormat="1" ht="14.55" customHeight="1" x14ac:dyDescent="0.25">
      <c r="A208" s="272" t="s">
        <v>9358</v>
      </c>
      <c r="B208" s="272" t="s">
        <v>10591</v>
      </c>
      <c r="C208" s="265" t="s">
        <v>9475</v>
      </c>
      <c r="D208" s="266" t="s">
        <v>9476</v>
      </c>
      <c r="E208" s="278" t="s">
        <v>10663</v>
      </c>
      <c r="F208" s="272" t="s">
        <v>9198</v>
      </c>
      <c r="G208" s="272" t="s">
        <v>9197</v>
      </c>
      <c r="H208" s="7" t="s">
        <v>10706</v>
      </c>
      <c r="I208" s="266" t="s">
        <v>10707</v>
      </c>
      <c r="J208" s="7" t="s">
        <v>10655</v>
      </c>
      <c r="K208" s="7" t="s">
        <v>10655</v>
      </c>
    </row>
    <row r="209" spans="1:11" ht="14.55" customHeight="1" x14ac:dyDescent="0.25">
      <c r="A209" s="286" t="s">
        <v>9358</v>
      </c>
      <c r="B209" s="293" t="s">
        <v>10591</v>
      </c>
      <c r="C209" s="294" t="s">
        <v>9475</v>
      </c>
      <c r="D209" s="353" t="s">
        <v>9476</v>
      </c>
      <c r="E209" s="357" t="s">
        <v>10663</v>
      </c>
      <c r="F209" s="293" t="s">
        <v>9198</v>
      </c>
      <c r="G209" s="293" t="s">
        <v>9197</v>
      </c>
      <c r="H209" s="354" t="s">
        <v>13482</v>
      </c>
      <c r="I209" s="264" t="s">
        <v>13483</v>
      </c>
      <c r="J209" s="354" t="s">
        <v>10602</v>
      </c>
      <c r="K209" s="275" t="s">
        <v>10663</v>
      </c>
    </row>
    <row r="210" spans="1:11" ht="14.55" customHeight="1" x14ac:dyDescent="0.25">
      <c r="A210" s="272" t="s">
        <v>9358</v>
      </c>
      <c r="B210" s="272" t="s">
        <v>10591</v>
      </c>
      <c r="C210" s="265" t="s">
        <v>9475</v>
      </c>
      <c r="D210" s="266" t="s">
        <v>9476</v>
      </c>
      <c r="E210" s="278" t="s">
        <v>10663</v>
      </c>
      <c r="F210" s="272" t="s">
        <v>9198</v>
      </c>
      <c r="G210" s="272" t="s">
        <v>9197</v>
      </c>
      <c r="H210" s="7" t="s">
        <v>10702</v>
      </c>
      <c r="I210" s="266" t="s">
        <v>10703</v>
      </c>
      <c r="J210" s="7" t="s">
        <v>10658</v>
      </c>
      <c r="K210" s="265" t="s">
        <v>10658</v>
      </c>
    </row>
    <row r="211" spans="1:11" ht="14.55" customHeight="1" x14ac:dyDescent="0.25">
      <c r="A211" s="272" t="s">
        <v>9358</v>
      </c>
      <c r="B211" s="272" t="s">
        <v>10591</v>
      </c>
      <c r="C211" s="265" t="s">
        <v>9475</v>
      </c>
      <c r="D211" s="266" t="s">
        <v>9476</v>
      </c>
      <c r="E211" s="278" t="s">
        <v>10663</v>
      </c>
      <c r="F211" s="272" t="s">
        <v>9198</v>
      </c>
      <c r="G211" s="272" t="s">
        <v>9197</v>
      </c>
      <c r="H211" s="7" t="s">
        <v>10708</v>
      </c>
      <c r="I211" s="266" t="s">
        <v>10709</v>
      </c>
      <c r="J211" s="7" t="s">
        <v>10658</v>
      </c>
      <c r="K211" s="265" t="s">
        <v>10658</v>
      </c>
    </row>
    <row r="212" spans="1:11" ht="14.55" customHeight="1" x14ac:dyDescent="0.25">
      <c r="A212" s="272" t="s">
        <v>9358</v>
      </c>
      <c r="B212" s="272" t="s">
        <v>10591</v>
      </c>
      <c r="C212" s="265" t="s">
        <v>9477</v>
      </c>
      <c r="D212" s="266" t="s">
        <v>9478</v>
      </c>
      <c r="E212" s="278" t="s">
        <v>10659</v>
      </c>
      <c r="F212" s="272" t="s">
        <v>9198</v>
      </c>
      <c r="G212" s="272" t="s">
        <v>9197</v>
      </c>
      <c r="H212" s="7" t="s">
        <v>10682</v>
      </c>
      <c r="I212" s="266" t="s">
        <v>10683</v>
      </c>
      <c r="J212" s="7" t="s">
        <v>10655</v>
      </c>
      <c r="K212" s="278" t="s">
        <v>10659</v>
      </c>
    </row>
    <row r="213" spans="1:11" ht="14.55" customHeight="1" x14ac:dyDescent="0.25">
      <c r="A213" s="272" t="s">
        <v>9358</v>
      </c>
      <c r="B213" s="272" t="s">
        <v>10591</v>
      </c>
      <c r="C213" s="265" t="s">
        <v>9477</v>
      </c>
      <c r="D213" s="266" t="s">
        <v>9478</v>
      </c>
      <c r="E213" s="278" t="s">
        <v>10659</v>
      </c>
      <c r="F213" s="272" t="s">
        <v>9198</v>
      </c>
      <c r="G213" s="272" t="s">
        <v>9197</v>
      </c>
      <c r="H213" s="7" t="s">
        <v>10698</v>
      </c>
      <c r="I213" s="266" t="s">
        <v>10699</v>
      </c>
      <c r="J213" s="7" t="s">
        <v>10655</v>
      </c>
      <c r="K213" s="278" t="s">
        <v>10659</v>
      </c>
    </row>
    <row r="214" spans="1:11" ht="14.55" customHeight="1" x14ac:dyDescent="0.25">
      <c r="A214" s="272" t="s">
        <v>9358</v>
      </c>
      <c r="B214" s="272" t="s">
        <v>10591</v>
      </c>
      <c r="C214" s="265" t="s">
        <v>9477</v>
      </c>
      <c r="D214" s="266" t="s">
        <v>9478</v>
      </c>
      <c r="E214" s="278" t="s">
        <v>10659</v>
      </c>
      <c r="F214" s="272" t="s">
        <v>9198</v>
      </c>
      <c r="G214" s="272" t="s">
        <v>9197</v>
      </c>
      <c r="H214" s="7" t="s">
        <v>10706</v>
      </c>
      <c r="I214" s="266" t="s">
        <v>10707</v>
      </c>
      <c r="J214" s="7" t="s">
        <v>10655</v>
      </c>
      <c r="K214" s="278" t="s">
        <v>10659</v>
      </c>
    </row>
    <row r="215" spans="1:11" ht="14.55" customHeight="1" x14ac:dyDescent="0.25">
      <c r="A215" s="286" t="s">
        <v>9358</v>
      </c>
      <c r="B215" s="293" t="s">
        <v>10591</v>
      </c>
      <c r="C215" s="294" t="s">
        <v>9477</v>
      </c>
      <c r="D215" s="353" t="s">
        <v>9478</v>
      </c>
      <c r="E215" s="357" t="s">
        <v>10659</v>
      </c>
      <c r="F215" s="293" t="s">
        <v>9198</v>
      </c>
      <c r="G215" s="293" t="s">
        <v>9197</v>
      </c>
      <c r="H215" s="354" t="s">
        <v>13482</v>
      </c>
      <c r="I215" s="264" t="s">
        <v>13483</v>
      </c>
      <c r="J215" s="354" t="s">
        <v>10602</v>
      </c>
      <c r="K215" s="275" t="s">
        <v>10659</v>
      </c>
    </row>
    <row r="216" spans="1:11" ht="14.55" customHeight="1" x14ac:dyDescent="0.25">
      <c r="A216" s="272" t="s">
        <v>9358</v>
      </c>
      <c r="B216" s="272" t="s">
        <v>10591</v>
      </c>
      <c r="C216" s="265" t="s">
        <v>9479</v>
      </c>
      <c r="D216" s="266" t="s">
        <v>9480</v>
      </c>
      <c r="E216" s="278" t="s">
        <v>10663</v>
      </c>
      <c r="F216" s="272" t="s">
        <v>9198</v>
      </c>
      <c r="G216" s="272" t="s">
        <v>9197</v>
      </c>
      <c r="H216" s="7" t="s">
        <v>10682</v>
      </c>
      <c r="I216" s="266" t="s">
        <v>10683</v>
      </c>
      <c r="J216" s="7" t="s">
        <v>10655</v>
      </c>
      <c r="K216" s="7" t="s">
        <v>10655</v>
      </c>
    </row>
    <row r="217" spans="1:11" ht="14.55" customHeight="1" x14ac:dyDescent="0.25">
      <c r="A217" s="272" t="s">
        <v>9358</v>
      </c>
      <c r="B217" s="272" t="s">
        <v>10591</v>
      </c>
      <c r="C217" s="265" t="s">
        <v>9479</v>
      </c>
      <c r="D217" s="266" t="s">
        <v>9480</v>
      </c>
      <c r="E217" s="278" t="s">
        <v>10663</v>
      </c>
      <c r="F217" s="272" t="s">
        <v>9198</v>
      </c>
      <c r="G217" s="272" t="s">
        <v>9197</v>
      </c>
      <c r="H217" s="7" t="s">
        <v>10698</v>
      </c>
      <c r="I217" s="266" t="s">
        <v>10699</v>
      </c>
      <c r="J217" s="7" t="s">
        <v>10655</v>
      </c>
      <c r="K217" s="7" t="s">
        <v>10655</v>
      </c>
    </row>
    <row r="218" spans="1:11" ht="14.55" customHeight="1" x14ac:dyDescent="0.25">
      <c r="A218" s="272" t="s">
        <v>9358</v>
      </c>
      <c r="B218" s="272" t="s">
        <v>10591</v>
      </c>
      <c r="C218" s="265" t="s">
        <v>9479</v>
      </c>
      <c r="D218" s="266" t="s">
        <v>9480</v>
      </c>
      <c r="E218" s="278" t="s">
        <v>10663</v>
      </c>
      <c r="F218" s="272" t="s">
        <v>9198</v>
      </c>
      <c r="G218" s="272" t="s">
        <v>9197</v>
      </c>
      <c r="H218" s="7" t="s">
        <v>10700</v>
      </c>
      <c r="I218" s="266" t="s">
        <v>10701</v>
      </c>
      <c r="J218" s="7" t="s">
        <v>10655</v>
      </c>
      <c r="K218" s="7" t="s">
        <v>10655</v>
      </c>
    </row>
    <row r="219" spans="1:11" s="282" customFormat="1" ht="14.55" customHeight="1" x14ac:dyDescent="0.25">
      <c r="A219" s="272" t="s">
        <v>9358</v>
      </c>
      <c r="B219" s="272" t="s">
        <v>10591</v>
      </c>
      <c r="C219" s="265" t="s">
        <v>9479</v>
      </c>
      <c r="D219" s="266" t="s">
        <v>9480</v>
      </c>
      <c r="E219" s="278" t="s">
        <v>10663</v>
      </c>
      <c r="F219" s="272" t="s">
        <v>9198</v>
      </c>
      <c r="G219" s="272" t="s">
        <v>9197</v>
      </c>
      <c r="H219" s="7" t="s">
        <v>10706</v>
      </c>
      <c r="I219" s="266" t="s">
        <v>10707</v>
      </c>
      <c r="J219" s="7" t="s">
        <v>10655</v>
      </c>
      <c r="K219" s="7" t="s">
        <v>10655</v>
      </c>
    </row>
    <row r="220" spans="1:11" ht="14.55" customHeight="1" x14ac:dyDescent="0.25">
      <c r="A220" s="286" t="s">
        <v>9358</v>
      </c>
      <c r="B220" s="293" t="s">
        <v>10591</v>
      </c>
      <c r="C220" s="294" t="s">
        <v>9479</v>
      </c>
      <c r="D220" s="353" t="s">
        <v>9480</v>
      </c>
      <c r="E220" s="357" t="s">
        <v>10663</v>
      </c>
      <c r="F220" s="293" t="s">
        <v>9198</v>
      </c>
      <c r="G220" s="293" t="s">
        <v>9197</v>
      </c>
      <c r="H220" s="354" t="s">
        <v>13482</v>
      </c>
      <c r="I220" s="264" t="s">
        <v>13483</v>
      </c>
      <c r="J220" s="354" t="s">
        <v>10602</v>
      </c>
      <c r="K220" s="275" t="s">
        <v>10663</v>
      </c>
    </row>
    <row r="221" spans="1:11" ht="14.55" customHeight="1" x14ac:dyDescent="0.25">
      <c r="A221" s="272" t="s">
        <v>9358</v>
      </c>
      <c r="B221" s="272" t="s">
        <v>10591</v>
      </c>
      <c r="C221" s="265" t="s">
        <v>9479</v>
      </c>
      <c r="D221" s="266" t="s">
        <v>9480</v>
      </c>
      <c r="E221" s="278" t="s">
        <v>10663</v>
      </c>
      <c r="F221" s="272" t="s">
        <v>9198</v>
      </c>
      <c r="G221" s="272" t="s">
        <v>9197</v>
      </c>
      <c r="H221" s="7" t="s">
        <v>10702</v>
      </c>
      <c r="I221" s="266" t="s">
        <v>10703</v>
      </c>
      <c r="J221" s="7" t="s">
        <v>10658</v>
      </c>
      <c r="K221" s="7" t="s">
        <v>10658</v>
      </c>
    </row>
    <row r="222" spans="1:11" ht="14.55" customHeight="1" x14ac:dyDescent="0.25">
      <c r="A222" s="272" t="s">
        <v>9358</v>
      </c>
      <c r="B222" s="272" t="s">
        <v>10591</v>
      </c>
      <c r="C222" s="265" t="s">
        <v>9479</v>
      </c>
      <c r="D222" s="266" t="s">
        <v>9480</v>
      </c>
      <c r="E222" s="278" t="s">
        <v>10663</v>
      </c>
      <c r="F222" s="272" t="s">
        <v>9198</v>
      </c>
      <c r="G222" s="272" t="s">
        <v>9197</v>
      </c>
      <c r="H222" s="7" t="s">
        <v>10704</v>
      </c>
      <c r="I222" s="266" t="s">
        <v>10705</v>
      </c>
      <c r="J222" s="7" t="s">
        <v>10658</v>
      </c>
      <c r="K222" s="7" t="s">
        <v>10658</v>
      </c>
    </row>
    <row r="223" spans="1:11" ht="14.55" customHeight="1" x14ac:dyDescent="0.25">
      <c r="A223" s="272" t="s">
        <v>9358</v>
      </c>
      <c r="B223" s="272" t="s">
        <v>10591</v>
      </c>
      <c r="C223" s="265" t="s">
        <v>9479</v>
      </c>
      <c r="D223" s="266" t="s">
        <v>9480</v>
      </c>
      <c r="E223" s="278" t="s">
        <v>10663</v>
      </c>
      <c r="F223" s="272" t="s">
        <v>9198</v>
      </c>
      <c r="G223" s="272" t="s">
        <v>9197</v>
      </c>
      <c r="H223" s="7" t="s">
        <v>10708</v>
      </c>
      <c r="I223" s="266" t="s">
        <v>10709</v>
      </c>
      <c r="J223" s="7" t="s">
        <v>10658</v>
      </c>
      <c r="K223" s="7" t="s">
        <v>10658</v>
      </c>
    </row>
    <row r="224" spans="1:11" ht="14.55" customHeight="1" x14ac:dyDescent="0.25">
      <c r="A224" s="272" t="s">
        <v>9358</v>
      </c>
      <c r="B224" s="272" t="s">
        <v>10591</v>
      </c>
      <c r="C224" s="265" t="s">
        <v>9479</v>
      </c>
      <c r="D224" s="266" t="s">
        <v>9480</v>
      </c>
      <c r="E224" s="278" t="s">
        <v>10663</v>
      </c>
      <c r="F224" s="272" t="s">
        <v>9198</v>
      </c>
      <c r="G224" s="272" t="s">
        <v>9197</v>
      </c>
      <c r="H224" s="7" t="s">
        <v>10692</v>
      </c>
      <c r="I224" s="266" t="s">
        <v>10693</v>
      </c>
      <c r="J224" s="7" t="s">
        <v>10658</v>
      </c>
      <c r="K224" s="7" t="s">
        <v>10658</v>
      </c>
    </row>
    <row r="225" spans="1:11" ht="14.55" customHeight="1" x14ac:dyDescent="0.25">
      <c r="A225" s="272" t="s">
        <v>9358</v>
      </c>
      <c r="B225" s="272" t="s">
        <v>10591</v>
      </c>
      <c r="C225" s="265" t="s">
        <v>9481</v>
      </c>
      <c r="D225" s="266" t="s">
        <v>9482</v>
      </c>
      <c r="E225" s="278" t="s">
        <v>10659</v>
      </c>
      <c r="F225" s="272" t="s">
        <v>9198</v>
      </c>
      <c r="G225" s="272" t="s">
        <v>9197</v>
      </c>
      <c r="H225" s="7" t="s">
        <v>10682</v>
      </c>
      <c r="I225" s="266" t="s">
        <v>10683</v>
      </c>
      <c r="J225" s="7" t="s">
        <v>10655</v>
      </c>
      <c r="K225" s="265" t="s">
        <v>10659</v>
      </c>
    </row>
    <row r="226" spans="1:11" ht="14.55" customHeight="1" x14ac:dyDescent="0.25">
      <c r="A226" s="272" t="s">
        <v>9358</v>
      </c>
      <c r="B226" s="272" t="s">
        <v>10591</v>
      </c>
      <c r="C226" s="265" t="s">
        <v>9481</v>
      </c>
      <c r="D226" s="266" t="s">
        <v>9482</v>
      </c>
      <c r="E226" s="278" t="s">
        <v>10659</v>
      </c>
      <c r="F226" s="272" t="s">
        <v>9198</v>
      </c>
      <c r="G226" s="272" t="s">
        <v>9197</v>
      </c>
      <c r="H226" s="7" t="s">
        <v>10698</v>
      </c>
      <c r="I226" s="266" t="s">
        <v>10699</v>
      </c>
      <c r="J226" s="7" t="s">
        <v>10655</v>
      </c>
      <c r="K226" s="265" t="s">
        <v>10659</v>
      </c>
    </row>
    <row r="227" spans="1:11" ht="14.55" customHeight="1" x14ac:dyDescent="0.25">
      <c r="A227" s="272" t="s">
        <v>9358</v>
      </c>
      <c r="B227" s="272" t="s">
        <v>10591</v>
      </c>
      <c r="C227" s="265" t="s">
        <v>9481</v>
      </c>
      <c r="D227" s="266" t="s">
        <v>9482</v>
      </c>
      <c r="E227" s="278" t="s">
        <v>10659</v>
      </c>
      <c r="F227" s="272" t="s">
        <v>9198</v>
      </c>
      <c r="G227" s="272" t="s">
        <v>9197</v>
      </c>
      <c r="H227" s="7" t="s">
        <v>10706</v>
      </c>
      <c r="I227" s="266" t="s">
        <v>10707</v>
      </c>
      <c r="J227" s="7" t="s">
        <v>10655</v>
      </c>
      <c r="K227" s="265" t="s">
        <v>10659</v>
      </c>
    </row>
    <row r="228" spans="1:11" ht="14.55" customHeight="1" x14ac:dyDescent="0.25">
      <c r="A228" s="286" t="s">
        <v>9358</v>
      </c>
      <c r="B228" s="293" t="s">
        <v>10591</v>
      </c>
      <c r="C228" s="294" t="s">
        <v>9481</v>
      </c>
      <c r="D228" s="353" t="s">
        <v>9482</v>
      </c>
      <c r="E228" s="357" t="s">
        <v>10659</v>
      </c>
      <c r="F228" s="293" t="s">
        <v>9198</v>
      </c>
      <c r="G228" s="293" t="s">
        <v>9197</v>
      </c>
      <c r="H228" s="354" t="s">
        <v>13482</v>
      </c>
      <c r="I228" s="264" t="s">
        <v>13483</v>
      </c>
      <c r="J228" s="354" t="s">
        <v>10602</v>
      </c>
      <c r="K228" s="275" t="s">
        <v>10659</v>
      </c>
    </row>
    <row r="229" spans="1:11" ht="14.55" customHeight="1" x14ac:dyDescent="0.25">
      <c r="A229" s="272" t="s">
        <v>9358</v>
      </c>
      <c r="B229" s="272" t="s">
        <v>10591</v>
      </c>
      <c r="C229" s="265" t="s">
        <v>9483</v>
      </c>
      <c r="D229" s="266" t="s">
        <v>9484</v>
      </c>
      <c r="E229" s="278" t="s">
        <v>10659</v>
      </c>
      <c r="F229" s="272" t="s">
        <v>9198</v>
      </c>
      <c r="G229" s="272" t="s">
        <v>9197</v>
      </c>
      <c r="H229" s="7" t="s">
        <v>10682</v>
      </c>
      <c r="I229" s="266" t="s">
        <v>10683</v>
      </c>
      <c r="J229" s="7" t="s">
        <v>10655</v>
      </c>
      <c r="K229" s="265" t="s">
        <v>10659</v>
      </c>
    </row>
    <row r="230" spans="1:11" ht="14.55" customHeight="1" x14ac:dyDescent="0.25">
      <c r="A230" s="272" t="s">
        <v>9358</v>
      </c>
      <c r="B230" s="272" t="s">
        <v>10591</v>
      </c>
      <c r="C230" s="265" t="s">
        <v>9483</v>
      </c>
      <c r="D230" s="266" t="s">
        <v>9484</v>
      </c>
      <c r="E230" s="278" t="s">
        <v>10659</v>
      </c>
      <c r="F230" s="272" t="s">
        <v>9198</v>
      </c>
      <c r="G230" s="272" t="s">
        <v>9197</v>
      </c>
      <c r="H230" s="7" t="s">
        <v>10698</v>
      </c>
      <c r="I230" s="266" t="s">
        <v>10699</v>
      </c>
      <c r="J230" s="7" t="s">
        <v>10655</v>
      </c>
      <c r="K230" s="265" t="s">
        <v>10659</v>
      </c>
    </row>
    <row r="231" spans="1:11" ht="14.55" customHeight="1" x14ac:dyDescent="0.25">
      <c r="A231" s="272" t="s">
        <v>9358</v>
      </c>
      <c r="B231" s="272" t="s">
        <v>10591</v>
      </c>
      <c r="C231" s="265" t="s">
        <v>9483</v>
      </c>
      <c r="D231" s="266" t="s">
        <v>9484</v>
      </c>
      <c r="E231" s="278" t="s">
        <v>10659</v>
      </c>
      <c r="F231" s="272" t="s">
        <v>9198</v>
      </c>
      <c r="G231" s="272" t="s">
        <v>9197</v>
      </c>
      <c r="H231" s="7" t="s">
        <v>10706</v>
      </c>
      <c r="I231" s="266" t="s">
        <v>10707</v>
      </c>
      <c r="J231" s="7" t="s">
        <v>10655</v>
      </c>
      <c r="K231" s="265" t="s">
        <v>10659</v>
      </c>
    </row>
    <row r="232" spans="1:11" ht="14.55" customHeight="1" x14ac:dyDescent="0.25">
      <c r="A232" s="286" t="s">
        <v>9358</v>
      </c>
      <c r="B232" s="293" t="s">
        <v>10591</v>
      </c>
      <c r="C232" s="294" t="s">
        <v>9483</v>
      </c>
      <c r="D232" s="353" t="s">
        <v>9484</v>
      </c>
      <c r="E232" s="357" t="s">
        <v>10659</v>
      </c>
      <c r="F232" s="293" t="s">
        <v>9198</v>
      </c>
      <c r="G232" s="293" t="s">
        <v>9197</v>
      </c>
      <c r="H232" s="354" t="s">
        <v>13482</v>
      </c>
      <c r="I232" s="264" t="s">
        <v>13483</v>
      </c>
      <c r="J232" s="354" t="s">
        <v>10602</v>
      </c>
      <c r="K232" s="275" t="s">
        <v>10659</v>
      </c>
    </row>
    <row r="233" spans="1:11" ht="14.55" customHeight="1" x14ac:dyDescent="0.25">
      <c r="A233" s="272" t="s">
        <v>9358</v>
      </c>
      <c r="B233" s="272" t="s">
        <v>10591</v>
      </c>
      <c r="C233" s="265" t="s">
        <v>9485</v>
      </c>
      <c r="D233" s="266" t="s">
        <v>9486</v>
      </c>
      <c r="E233" s="278" t="s">
        <v>10659</v>
      </c>
      <c r="F233" s="272" t="s">
        <v>9198</v>
      </c>
      <c r="G233" s="272" t="s">
        <v>9197</v>
      </c>
      <c r="H233" s="7" t="s">
        <v>10682</v>
      </c>
      <c r="I233" s="266" t="s">
        <v>10683</v>
      </c>
      <c r="J233" s="7" t="s">
        <v>10655</v>
      </c>
      <c r="K233" s="265" t="s">
        <v>10659</v>
      </c>
    </row>
    <row r="234" spans="1:11" ht="14.55" customHeight="1" x14ac:dyDescent="0.25">
      <c r="A234" s="272" t="s">
        <v>9358</v>
      </c>
      <c r="B234" s="272" t="s">
        <v>10591</v>
      </c>
      <c r="C234" s="265" t="s">
        <v>9485</v>
      </c>
      <c r="D234" s="266" t="s">
        <v>9486</v>
      </c>
      <c r="E234" s="278" t="s">
        <v>10659</v>
      </c>
      <c r="F234" s="272" t="s">
        <v>9198</v>
      </c>
      <c r="G234" s="272" t="s">
        <v>9197</v>
      </c>
      <c r="H234" s="7" t="s">
        <v>10684</v>
      </c>
      <c r="I234" s="266" t="s">
        <v>10685</v>
      </c>
      <c r="J234" s="7" t="s">
        <v>10655</v>
      </c>
      <c r="K234" s="265" t="s">
        <v>10659</v>
      </c>
    </row>
    <row r="235" spans="1:11" ht="14.55" customHeight="1" x14ac:dyDescent="0.25">
      <c r="A235" s="286" t="s">
        <v>9358</v>
      </c>
      <c r="B235" s="293" t="s">
        <v>10591</v>
      </c>
      <c r="C235" s="294" t="s">
        <v>9485</v>
      </c>
      <c r="D235" s="353" t="s">
        <v>9486</v>
      </c>
      <c r="E235" s="357" t="s">
        <v>10659</v>
      </c>
      <c r="F235" s="293" t="s">
        <v>9198</v>
      </c>
      <c r="G235" s="293" t="s">
        <v>9197</v>
      </c>
      <c r="H235" s="354" t="s">
        <v>13482</v>
      </c>
      <c r="I235" s="264" t="s">
        <v>13483</v>
      </c>
      <c r="J235" s="354" t="s">
        <v>10602</v>
      </c>
      <c r="K235" s="275" t="s">
        <v>10659</v>
      </c>
    </row>
    <row r="236" spans="1:11" ht="14.55" customHeight="1" x14ac:dyDescent="0.25">
      <c r="A236" s="272" t="s">
        <v>9358</v>
      </c>
      <c r="B236" s="272" t="s">
        <v>10591</v>
      </c>
      <c r="C236" s="265" t="s">
        <v>9487</v>
      </c>
      <c r="D236" s="266" t="s">
        <v>9488</v>
      </c>
      <c r="E236" s="278" t="s">
        <v>10659</v>
      </c>
      <c r="F236" s="272" t="s">
        <v>9198</v>
      </c>
      <c r="G236" s="272" t="s">
        <v>9197</v>
      </c>
      <c r="H236" s="7" t="s">
        <v>10682</v>
      </c>
      <c r="I236" s="266" t="s">
        <v>10683</v>
      </c>
      <c r="J236" s="7" t="s">
        <v>10655</v>
      </c>
      <c r="K236" s="265" t="s">
        <v>10659</v>
      </c>
    </row>
    <row r="237" spans="1:11" ht="14.55" customHeight="1" x14ac:dyDescent="0.25">
      <c r="A237" s="272" t="s">
        <v>9358</v>
      </c>
      <c r="B237" s="272" t="s">
        <v>10591</v>
      </c>
      <c r="C237" s="265" t="s">
        <v>9487</v>
      </c>
      <c r="D237" s="266" t="s">
        <v>9488</v>
      </c>
      <c r="E237" s="278" t="s">
        <v>10659</v>
      </c>
      <c r="F237" s="272" t="s">
        <v>9198</v>
      </c>
      <c r="G237" s="272" t="s">
        <v>9197</v>
      </c>
      <c r="H237" s="7" t="s">
        <v>10684</v>
      </c>
      <c r="I237" s="266" t="s">
        <v>10685</v>
      </c>
      <c r="J237" s="7" t="s">
        <v>10655</v>
      </c>
      <c r="K237" s="265" t="s">
        <v>10659</v>
      </c>
    </row>
    <row r="238" spans="1:11" ht="14.55" customHeight="1" x14ac:dyDescent="0.25">
      <c r="A238" s="286" t="s">
        <v>9358</v>
      </c>
      <c r="B238" s="293" t="s">
        <v>10591</v>
      </c>
      <c r="C238" s="294" t="s">
        <v>9487</v>
      </c>
      <c r="D238" s="353" t="s">
        <v>9488</v>
      </c>
      <c r="E238" s="357" t="s">
        <v>10659</v>
      </c>
      <c r="F238" s="293" t="s">
        <v>9198</v>
      </c>
      <c r="G238" s="293" t="s">
        <v>9197</v>
      </c>
      <c r="H238" s="354" t="s">
        <v>13482</v>
      </c>
      <c r="I238" s="264" t="s">
        <v>13483</v>
      </c>
      <c r="J238" s="354" t="s">
        <v>10602</v>
      </c>
      <c r="K238" s="275" t="s">
        <v>10659</v>
      </c>
    </row>
    <row r="239" spans="1:11" ht="14.55" customHeight="1" x14ac:dyDescent="0.25">
      <c r="A239" s="272" t="s">
        <v>9358</v>
      </c>
      <c r="B239" s="272" t="s">
        <v>10591</v>
      </c>
      <c r="C239" s="265" t="s">
        <v>9489</v>
      </c>
      <c r="D239" s="266" t="s">
        <v>9490</v>
      </c>
      <c r="E239" s="278" t="s">
        <v>10659</v>
      </c>
      <c r="F239" s="272" t="s">
        <v>9198</v>
      </c>
      <c r="G239" s="272" t="s">
        <v>9197</v>
      </c>
      <c r="H239" s="7" t="s">
        <v>10677</v>
      </c>
      <c r="I239" s="266" t="s">
        <v>10678</v>
      </c>
      <c r="J239" s="7" t="s">
        <v>10655</v>
      </c>
      <c r="K239" s="265" t="s">
        <v>10659</v>
      </c>
    </row>
    <row r="240" spans="1:11" ht="14.55" customHeight="1" x14ac:dyDescent="0.25">
      <c r="A240" s="272" t="s">
        <v>9358</v>
      </c>
      <c r="B240" s="272" t="s">
        <v>10591</v>
      </c>
      <c r="C240" s="265" t="s">
        <v>9489</v>
      </c>
      <c r="D240" s="266" t="s">
        <v>9490</v>
      </c>
      <c r="E240" s="278" t="s">
        <v>10659</v>
      </c>
      <c r="F240" s="272" t="s">
        <v>9198</v>
      </c>
      <c r="G240" s="272" t="s">
        <v>9197</v>
      </c>
      <c r="H240" s="7" t="s">
        <v>10682</v>
      </c>
      <c r="I240" s="266" t="s">
        <v>10683</v>
      </c>
      <c r="J240" s="7" t="s">
        <v>10655</v>
      </c>
      <c r="K240" s="265" t="s">
        <v>10659</v>
      </c>
    </row>
    <row r="241" spans="1:11" ht="14.55" customHeight="1" x14ac:dyDescent="0.25">
      <c r="A241" s="272" t="s">
        <v>9358</v>
      </c>
      <c r="B241" s="272" t="s">
        <v>10591</v>
      </c>
      <c r="C241" s="265" t="s">
        <v>9489</v>
      </c>
      <c r="D241" s="266" t="s">
        <v>9490</v>
      </c>
      <c r="E241" s="278" t="s">
        <v>10659</v>
      </c>
      <c r="F241" s="272" t="s">
        <v>9198</v>
      </c>
      <c r="G241" s="272" t="s">
        <v>9197</v>
      </c>
      <c r="H241" s="7" t="s">
        <v>10694</v>
      </c>
      <c r="I241" s="266" t="s">
        <v>10695</v>
      </c>
      <c r="J241" s="7" t="s">
        <v>10655</v>
      </c>
      <c r="K241" s="265" t="s">
        <v>10659</v>
      </c>
    </row>
    <row r="242" spans="1:11" ht="14.55" customHeight="1" x14ac:dyDescent="0.25">
      <c r="A242" s="272" t="s">
        <v>9358</v>
      </c>
      <c r="B242" s="272" t="s">
        <v>10591</v>
      </c>
      <c r="C242" s="265" t="s">
        <v>9489</v>
      </c>
      <c r="D242" s="266" t="s">
        <v>9490</v>
      </c>
      <c r="E242" s="278" t="s">
        <v>10659</v>
      </c>
      <c r="F242" s="272" t="s">
        <v>9198</v>
      </c>
      <c r="G242" s="272" t="s">
        <v>9197</v>
      </c>
      <c r="H242" s="7" t="s">
        <v>10698</v>
      </c>
      <c r="I242" s="266" t="s">
        <v>10699</v>
      </c>
      <c r="J242" s="7" t="s">
        <v>10655</v>
      </c>
      <c r="K242" s="265" t="s">
        <v>10659</v>
      </c>
    </row>
    <row r="243" spans="1:11" ht="14.55" customHeight="1" x14ac:dyDescent="0.25">
      <c r="A243" s="272" t="s">
        <v>9358</v>
      </c>
      <c r="B243" s="272" t="s">
        <v>10591</v>
      </c>
      <c r="C243" s="265" t="s">
        <v>9489</v>
      </c>
      <c r="D243" s="266" t="s">
        <v>9490</v>
      </c>
      <c r="E243" s="278" t="s">
        <v>10659</v>
      </c>
      <c r="F243" s="272" t="s">
        <v>9198</v>
      </c>
      <c r="G243" s="272" t="s">
        <v>9197</v>
      </c>
      <c r="H243" s="7" t="s">
        <v>10700</v>
      </c>
      <c r="I243" s="266" t="s">
        <v>10701</v>
      </c>
      <c r="J243" s="7" t="s">
        <v>10655</v>
      </c>
      <c r="K243" s="265" t="s">
        <v>10659</v>
      </c>
    </row>
    <row r="244" spans="1:11" ht="14.55" customHeight="1" x14ac:dyDescent="0.25">
      <c r="A244" s="272" t="s">
        <v>9358</v>
      </c>
      <c r="B244" s="272" t="s">
        <v>10591</v>
      </c>
      <c r="C244" s="265" t="s">
        <v>9489</v>
      </c>
      <c r="D244" s="266" t="s">
        <v>9490</v>
      </c>
      <c r="E244" s="278" t="s">
        <v>10659</v>
      </c>
      <c r="F244" s="272" t="s">
        <v>9198</v>
      </c>
      <c r="G244" s="272" t="s">
        <v>9197</v>
      </c>
      <c r="H244" s="7" t="s">
        <v>10706</v>
      </c>
      <c r="I244" s="266" t="s">
        <v>10707</v>
      </c>
      <c r="J244" s="7" t="s">
        <v>10655</v>
      </c>
      <c r="K244" s="265" t="s">
        <v>10659</v>
      </c>
    </row>
    <row r="245" spans="1:11" ht="14.55" customHeight="1" x14ac:dyDescent="0.25">
      <c r="A245" s="272" t="s">
        <v>9358</v>
      </c>
      <c r="B245" s="272" t="s">
        <v>10591</v>
      </c>
      <c r="C245" s="265" t="s">
        <v>9489</v>
      </c>
      <c r="D245" s="266" t="s">
        <v>9490</v>
      </c>
      <c r="E245" s="278" t="s">
        <v>10659</v>
      </c>
      <c r="F245" s="272" t="s">
        <v>9198</v>
      </c>
      <c r="G245" s="272" t="s">
        <v>9197</v>
      </c>
      <c r="H245" s="7" t="s">
        <v>10684</v>
      </c>
      <c r="I245" s="266" t="s">
        <v>10685</v>
      </c>
      <c r="J245" s="7" t="s">
        <v>10655</v>
      </c>
      <c r="K245" s="265" t="s">
        <v>10659</v>
      </c>
    </row>
    <row r="246" spans="1:11" ht="14.55" customHeight="1" x14ac:dyDescent="0.25">
      <c r="A246" s="272" t="s">
        <v>9358</v>
      </c>
      <c r="B246" s="272" t="s">
        <v>10591</v>
      </c>
      <c r="C246" s="265" t="s">
        <v>9489</v>
      </c>
      <c r="D246" s="266" t="s">
        <v>9490</v>
      </c>
      <c r="E246" s="278" t="s">
        <v>10659</v>
      </c>
      <c r="F246" s="272" t="s">
        <v>9198</v>
      </c>
      <c r="G246" s="272" t="s">
        <v>9197</v>
      </c>
      <c r="H246" s="7" t="s">
        <v>10686</v>
      </c>
      <c r="I246" s="266" t="s">
        <v>10687</v>
      </c>
      <c r="J246" s="7" t="s">
        <v>10655</v>
      </c>
      <c r="K246" s="265" t="s">
        <v>10659</v>
      </c>
    </row>
    <row r="247" spans="1:11" ht="14.55" customHeight="1" x14ac:dyDescent="0.25">
      <c r="A247" s="286" t="s">
        <v>9358</v>
      </c>
      <c r="B247" s="293" t="s">
        <v>10591</v>
      </c>
      <c r="C247" s="294" t="s">
        <v>9489</v>
      </c>
      <c r="D247" s="353" t="s">
        <v>9490</v>
      </c>
      <c r="E247" s="357" t="s">
        <v>10659</v>
      </c>
      <c r="F247" s="293" t="s">
        <v>9198</v>
      </c>
      <c r="G247" s="293" t="s">
        <v>9197</v>
      </c>
      <c r="H247" s="354" t="s">
        <v>13482</v>
      </c>
      <c r="I247" s="264" t="s">
        <v>13483</v>
      </c>
      <c r="J247" s="354" t="s">
        <v>10602</v>
      </c>
      <c r="K247" s="275" t="s">
        <v>10659</v>
      </c>
    </row>
    <row r="248" spans="1:11" ht="14.55" customHeight="1" x14ac:dyDescent="0.25">
      <c r="A248" s="272" t="s">
        <v>9358</v>
      </c>
      <c r="B248" s="272" t="s">
        <v>10591</v>
      </c>
      <c r="C248" s="265" t="s">
        <v>9491</v>
      </c>
      <c r="D248" s="266" t="s">
        <v>9492</v>
      </c>
      <c r="E248" s="278" t="s">
        <v>10659</v>
      </c>
      <c r="F248" s="272" t="s">
        <v>9198</v>
      </c>
      <c r="G248" s="272" t="s">
        <v>9197</v>
      </c>
      <c r="H248" s="7" t="s">
        <v>10682</v>
      </c>
      <c r="I248" s="266" t="s">
        <v>10683</v>
      </c>
      <c r="J248" s="7" t="s">
        <v>10655</v>
      </c>
      <c r="K248" s="265" t="s">
        <v>10659</v>
      </c>
    </row>
    <row r="249" spans="1:11" ht="14.55" customHeight="1" x14ac:dyDescent="0.25">
      <c r="A249" s="272" t="s">
        <v>9358</v>
      </c>
      <c r="B249" s="272" t="s">
        <v>10591</v>
      </c>
      <c r="C249" s="265" t="s">
        <v>9491</v>
      </c>
      <c r="D249" s="266" t="s">
        <v>9492</v>
      </c>
      <c r="E249" s="278" t="s">
        <v>10659</v>
      </c>
      <c r="F249" s="272" t="s">
        <v>9198</v>
      </c>
      <c r="G249" s="272" t="s">
        <v>9197</v>
      </c>
      <c r="H249" s="7" t="s">
        <v>10694</v>
      </c>
      <c r="I249" s="266" t="s">
        <v>10695</v>
      </c>
      <c r="J249" s="7" t="s">
        <v>10655</v>
      </c>
      <c r="K249" s="265" t="s">
        <v>10659</v>
      </c>
    </row>
    <row r="250" spans="1:11" ht="14.55" customHeight="1" x14ac:dyDescent="0.25">
      <c r="A250" s="272" t="s">
        <v>9358</v>
      </c>
      <c r="B250" s="272" t="s">
        <v>10591</v>
      </c>
      <c r="C250" s="265" t="s">
        <v>9491</v>
      </c>
      <c r="D250" s="266" t="s">
        <v>9492</v>
      </c>
      <c r="E250" s="278" t="s">
        <v>10659</v>
      </c>
      <c r="F250" s="272" t="s">
        <v>9198</v>
      </c>
      <c r="G250" s="272" t="s">
        <v>9197</v>
      </c>
      <c r="H250" s="7" t="s">
        <v>10698</v>
      </c>
      <c r="I250" s="266" t="s">
        <v>10699</v>
      </c>
      <c r="J250" s="7" t="s">
        <v>10655</v>
      </c>
      <c r="K250" s="265" t="s">
        <v>10659</v>
      </c>
    </row>
    <row r="251" spans="1:11" ht="14.55" customHeight="1" x14ac:dyDescent="0.25">
      <c r="A251" s="272" t="s">
        <v>9358</v>
      </c>
      <c r="B251" s="272" t="s">
        <v>10591</v>
      </c>
      <c r="C251" s="265" t="s">
        <v>9491</v>
      </c>
      <c r="D251" s="266" t="s">
        <v>9492</v>
      </c>
      <c r="E251" s="278" t="s">
        <v>10659</v>
      </c>
      <c r="F251" s="272" t="s">
        <v>9198</v>
      </c>
      <c r="G251" s="272" t="s">
        <v>9197</v>
      </c>
      <c r="H251" s="7" t="s">
        <v>10700</v>
      </c>
      <c r="I251" s="266" t="s">
        <v>10701</v>
      </c>
      <c r="J251" s="7" t="s">
        <v>10655</v>
      </c>
      <c r="K251" s="265" t="s">
        <v>10659</v>
      </c>
    </row>
    <row r="252" spans="1:11" ht="14.55" customHeight="1" x14ac:dyDescent="0.25">
      <c r="A252" s="272" t="s">
        <v>9358</v>
      </c>
      <c r="B252" s="272" t="s">
        <v>10591</v>
      </c>
      <c r="C252" s="265" t="s">
        <v>9491</v>
      </c>
      <c r="D252" s="266" t="s">
        <v>9492</v>
      </c>
      <c r="E252" s="278" t="s">
        <v>10659</v>
      </c>
      <c r="F252" s="272" t="s">
        <v>9198</v>
      </c>
      <c r="G252" s="272" t="s">
        <v>9197</v>
      </c>
      <c r="H252" s="7" t="s">
        <v>10706</v>
      </c>
      <c r="I252" s="266" t="s">
        <v>10707</v>
      </c>
      <c r="J252" s="7" t="s">
        <v>10655</v>
      </c>
      <c r="K252" s="265" t="s">
        <v>10659</v>
      </c>
    </row>
    <row r="253" spans="1:11" ht="14.55" customHeight="1" x14ac:dyDescent="0.25">
      <c r="A253" s="272" t="s">
        <v>9358</v>
      </c>
      <c r="B253" s="272" t="s">
        <v>10591</v>
      </c>
      <c r="C253" s="265" t="s">
        <v>9491</v>
      </c>
      <c r="D253" s="266" t="s">
        <v>9492</v>
      </c>
      <c r="E253" s="278" t="s">
        <v>10659</v>
      </c>
      <c r="F253" s="272" t="s">
        <v>9198</v>
      </c>
      <c r="G253" s="272" t="s">
        <v>9197</v>
      </c>
      <c r="H253" s="7" t="s">
        <v>10684</v>
      </c>
      <c r="I253" s="266" t="s">
        <v>10685</v>
      </c>
      <c r="J253" s="7" t="s">
        <v>10655</v>
      </c>
      <c r="K253" s="265" t="s">
        <v>10659</v>
      </c>
    </row>
    <row r="254" spans="1:11" ht="14.55" customHeight="1" x14ac:dyDescent="0.25">
      <c r="A254" s="272" t="s">
        <v>9358</v>
      </c>
      <c r="B254" s="272" t="s">
        <v>10591</v>
      </c>
      <c r="C254" s="265" t="s">
        <v>9491</v>
      </c>
      <c r="D254" s="266" t="s">
        <v>9492</v>
      </c>
      <c r="E254" s="278" t="s">
        <v>10659</v>
      </c>
      <c r="F254" s="272" t="s">
        <v>9198</v>
      </c>
      <c r="G254" s="272" t="s">
        <v>9197</v>
      </c>
      <c r="H254" s="7" t="s">
        <v>10686</v>
      </c>
      <c r="I254" s="266" t="s">
        <v>10687</v>
      </c>
      <c r="J254" s="7" t="s">
        <v>10655</v>
      </c>
      <c r="K254" s="265" t="s">
        <v>10659</v>
      </c>
    </row>
    <row r="255" spans="1:11" ht="14.55" customHeight="1" x14ac:dyDescent="0.25">
      <c r="A255" s="272" t="s">
        <v>9358</v>
      </c>
      <c r="B255" s="272" t="s">
        <v>10591</v>
      </c>
      <c r="C255" s="265" t="s">
        <v>9491</v>
      </c>
      <c r="D255" s="266" t="s">
        <v>9492</v>
      </c>
      <c r="E255" s="278" t="s">
        <v>10659</v>
      </c>
      <c r="F255" s="272" t="s">
        <v>9198</v>
      </c>
      <c r="G255" s="272" t="s">
        <v>9197</v>
      </c>
      <c r="H255" s="7" t="s">
        <v>10680</v>
      </c>
      <c r="I255" s="266" t="s">
        <v>10681</v>
      </c>
      <c r="J255" s="7" t="s">
        <v>10655</v>
      </c>
      <c r="K255" s="265" t="s">
        <v>10659</v>
      </c>
    </row>
    <row r="256" spans="1:11" ht="14.55" customHeight="1" x14ac:dyDescent="0.25">
      <c r="A256" s="286" t="s">
        <v>9358</v>
      </c>
      <c r="B256" s="293" t="s">
        <v>10591</v>
      </c>
      <c r="C256" s="294" t="s">
        <v>9491</v>
      </c>
      <c r="D256" s="353" t="s">
        <v>9492</v>
      </c>
      <c r="E256" s="357" t="s">
        <v>10659</v>
      </c>
      <c r="F256" s="293" t="s">
        <v>9198</v>
      </c>
      <c r="G256" s="293" t="s">
        <v>9197</v>
      </c>
      <c r="H256" s="354" t="s">
        <v>13482</v>
      </c>
      <c r="I256" s="264" t="s">
        <v>13483</v>
      </c>
      <c r="J256" s="354" t="s">
        <v>10602</v>
      </c>
      <c r="K256" s="275" t="s">
        <v>10659</v>
      </c>
    </row>
    <row r="257" spans="1:11" ht="14.55" customHeight="1" x14ac:dyDescent="0.25">
      <c r="A257" s="272" t="s">
        <v>9358</v>
      </c>
      <c r="B257" s="272" t="s">
        <v>10591</v>
      </c>
      <c r="C257" s="265" t="s">
        <v>9493</v>
      </c>
      <c r="D257" s="266" t="s">
        <v>9494</v>
      </c>
      <c r="E257" s="278" t="s">
        <v>10663</v>
      </c>
      <c r="F257" s="272" t="s">
        <v>9198</v>
      </c>
      <c r="G257" s="272" t="s">
        <v>9197</v>
      </c>
      <c r="H257" s="7" t="s">
        <v>10710</v>
      </c>
      <c r="I257" s="266" t="s">
        <v>10711</v>
      </c>
      <c r="J257" s="7" t="s">
        <v>10655</v>
      </c>
      <c r="K257" s="265" t="s">
        <v>10655</v>
      </c>
    </row>
    <row r="258" spans="1:11" ht="14.55" customHeight="1" x14ac:dyDescent="0.25">
      <c r="A258" s="272" t="s">
        <v>9358</v>
      </c>
      <c r="B258" s="272" t="s">
        <v>10591</v>
      </c>
      <c r="C258" s="265" t="s">
        <v>9493</v>
      </c>
      <c r="D258" s="266" t="s">
        <v>9494</v>
      </c>
      <c r="E258" s="278" t="s">
        <v>10663</v>
      </c>
      <c r="F258" s="272" t="s">
        <v>9198</v>
      </c>
      <c r="G258" s="272" t="s">
        <v>9197</v>
      </c>
      <c r="H258" s="7" t="s">
        <v>10712</v>
      </c>
      <c r="I258" s="266" t="s">
        <v>10713</v>
      </c>
      <c r="J258" s="7" t="s">
        <v>10655</v>
      </c>
      <c r="K258" s="265" t="s">
        <v>10655</v>
      </c>
    </row>
    <row r="259" spans="1:11" ht="14.55" customHeight="1" x14ac:dyDescent="0.25">
      <c r="A259" s="272" t="s">
        <v>9358</v>
      </c>
      <c r="B259" s="272" t="s">
        <v>10591</v>
      </c>
      <c r="C259" s="265" t="s">
        <v>9493</v>
      </c>
      <c r="D259" s="266" t="s">
        <v>9494</v>
      </c>
      <c r="E259" s="278" t="s">
        <v>10663</v>
      </c>
      <c r="F259" s="272" t="s">
        <v>9198</v>
      </c>
      <c r="G259" s="272" t="s">
        <v>9197</v>
      </c>
      <c r="H259" s="7" t="s">
        <v>10714</v>
      </c>
      <c r="I259" s="263" t="s">
        <v>10715</v>
      </c>
      <c r="J259" s="7" t="s">
        <v>10658</v>
      </c>
      <c r="K259" s="265" t="s">
        <v>10658</v>
      </c>
    </row>
    <row r="260" spans="1:11" ht="14.55" customHeight="1" x14ac:dyDescent="0.25">
      <c r="A260" s="272" t="s">
        <v>9358</v>
      </c>
      <c r="B260" s="272" t="s">
        <v>10591</v>
      </c>
      <c r="C260" s="265" t="s">
        <v>9493</v>
      </c>
      <c r="D260" s="266" t="s">
        <v>9494</v>
      </c>
      <c r="E260" s="278" t="s">
        <v>10663</v>
      </c>
      <c r="F260" s="272" t="s">
        <v>9198</v>
      </c>
      <c r="G260" s="272" t="s">
        <v>9197</v>
      </c>
      <c r="H260" s="7" t="s">
        <v>10716</v>
      </c>
      <c r="I260" s="266" t="s">
        <v>10717</v>
      </c>
      <c r="J260" s="7" t="s">
        <v>10658</v>
      </c>
      <c r="K260" s="265" t="s">
        <v>10658</v>
      </c>
    </row>
    <row r="261" spans="1:11" ht="14.55" customHeight="1" x14ac:dyDescent="0.25">
      <c r="A261" s="286" t="s">
        <v>9358</v>
      </c>
      <c r="B261" s="293" t="s">
        <v>10591</v>
      </c>
      <c r="C261" s="294" t="s">
        <v>9493</v>
      </c>
      <c r="D261" s="353" t="s">
        <v>9494</v>
      </c>
      <c r="E261" s="357" t="s">
        <v>10663</v>
      </c>
      <c r="F261" s="293" t="s">
        <v>9198</v>
      </c>
      <c r="G261" s="293" t="s">
        <v>9197</v>
      </c>
      <c r="H261" s="354" t="s">
        <v>13482</v>
      </c>
      <c r="I261" s="264" t="s">
        <v>13483</v>
      </c>
      <c r="J261" s="354" t="s">
        <v>10602</v>
      </c>
      <c r="K261" s="275" t="s">
        <v>10659</v>
      </c>
    </row>
    <row r="262" spans="1:11" ht="14.55" customHeight="1" x14ac:dyDescent="0.25">
      <c r="A262" s="272" t="s">
        <v>9358</v>
      </c>
      <c r="B262" s="272" t="s">
        <v>10591</v>
      </c>
      <c r="C262" s="265" t="s">
        <v>9495</v>
      </c>
      <c r="D262" s="266" t="s">
        <v>9496</v>
      </c>
      <c r="E262" s="278" t="s">
        <v>10659</v>
      </c>
      <c r="F262" s="272" t="s">
        <v>9198</v>
      </c>
      <c r="G262" s="272" t="s">
        <v>9197</v>
      </c>
      <c r="H262" s="7" t="s">
        <v>10710</v>
      </c>
      <c r="I262" s="266" t="s">
        <v>10711</v>
      </c>
      <c r="J262" s="7" t="s">
        <v>10655</v>
      </c>
      <c r="K262" s="265" t="s">
        <v>10659</v>
      </c>
    </row>
    <row r="263" spans="1:11" ht="14.55" customHeight="1" x14ac:dyDescent="0.25">
      <c r="A263" s="272" t="s">
        <v>9358</v>
      </c>
      <c r="B263" s="272" t="s">
        <v>10591</v>
      </c>
      <c r="C263" s="265" t="s">
        <v>9495</v>
      </c>
      <c r="D263" s="266" t="s">
        <v>9496</v>
      </c>
      <c r="E263" s="278" t="s">
        <v>10659</v>
      </c>
      <c r="F263" s="272" t="s">
        <v>9198</v>
      </c>
      <c r="G263" s="272" t="s">
        <v>9197</v>
      </c>
      <c r="H263" s="7" t="s">
        <v>10712</v>
      </c>
      <c r="I263" s="266" t="s">
        <v>10713</v>
      </c>
      <c r="J263" s="7" t="s">
        <v>10655</v>
      </c>
      <c r="K263" s="265" t="s">
        <v>10659</v>
      </c>
    </row>
    <row r="264" spans="1:11" ht="14.55" customHeight="1" x14ac:dyDescent="0.25">
      <c r="A264" s="286" t="s">
        <v>9358</v>
      </c>
      <c r="B264" s="293" t="s">
        <v>10591</v>
      </c>
      <c r="C264" s="294" t="s">
        <v>9495</v>
      </c>
      <c r="D264" s="353" t="s">
        <v>9496</v>
      </c>
      <c r="E264" s="357" t="s">
        <v>10659</v>
      </c>
      <c r="F264" s="293" t="s">
        <v>9198</v>
      </c>
      <c r="G264" s="293" t="s">
        <v>9197</v>
      </c>
      <c r="H264" s="354" t="s">
        <v>13482</v>
      </c>
      <c r="I264" s="264" t="s">
        <v>13483</v>
      </c>
      <c r="J264" s="354" t="s">
        <v>10602</v>
      </c>
      <c r="K264" s="275" t="s">
        <v>10659</v>
      </c>
    </row>
    <row r="265" spans="1:11" ht="14.55" customHeight="1" x14ac:dyDescent="0.25">
      <c r="A265" s="272" t="s">
        <v>9358</v>
      </c>
      <c r="B265" s="272" t="s">
        <v>10591</v>
      </c>
      <c r="C265" s="265" t="s">
        <v>9497</v>
      </c>
      <c r="D265" s="266" t="s">
        <v>9498</v>
      </c>
      <c r="E265" s="278" t="s">
        <v>10659</v>
      </c>
      <c r="F265" s="272" t="s">
        <v>9198</v>
      </c>
      <c r="G265" s="272" t="s">
        <v>9197</v>
      </c>
      <c r="H265" s="7" t="s">
        <v>10710</v>
      </c>
      <c r="I265" s="266" t="s">
        <v>10711</v>
      </c>
      <c r="J265" s="7" t="s">
        <v>10655</v>
      </c>
      <c r="K265" s="265" t="s">
        <v>10659</v>
      </c>
    </row>
    <row r="266" spans="1:11" ht="14.55" customHeight="1" x14ac:dyDescent="0.25">
      <c r="A266" s="272" t="s">
        <v>9358</v>
      </c>
      <c r="B266" s="272" t="s">
        <v>10591</v>
      </c>
      <c r="C266" s="265" t="s">
        <v>9497</v>
      </c>
      <c r="D266" s="266" t="s">
        <v>9498</v>
      </c>
      <c r="E266" s="278" t="s">
        <v>10659</v>
      </c>
      <c r="F266" s="272" t="s">
        <v>9198</v>
      </c>
      <c r="G266" s="272" t="s">
        <v>9197</v>
      </c>
      <c r="H266" s="7" t="s">
        <v>10712</v>
      </c>
      <c r="I266" s="266" t="s">
        <v>10713</v>
      </c>
      <c r="J266" s="7" t="s">
        <v>10655</v>
      </c>
      <c r="K266" s="265" t="s">
        <v>10659</v>
      </c>
    </row>
    <row r="267" spans="1:11" ht="14.55" customHeight="1" x14ac:dyDescent="0.25">
      <c r="A267" s="286" t="s">
        <v>9358</v>
      </c>
      <c r="B267" s="293" t="s">
        <v>10591</v>
      </c>
      <c r="C267" s="294" t="s">
        <v>9497</v>
      </c>
      <c r="D267" s="353" t="s">
        <v>9498</v>
      </c>
      <c r="E267" s="357" t="s">
        <v>10659</v>
      </c>
      <c r="F267" s="293" t="s">
        <v>9198</v>
      </c>
      <c r="G267" s="293" t="s">
        <v>9197</v>
      </c>
      <c r="H267" s="354" t="s">
        <v>13482</v>
      </c>
      <c r="I267" s="264" t="s">
        <v>13483</v>
      </c>
      <c r="J267" s="354" t="s">
        <v>10602</v>
      </c>
      <c r="K267" s="275" t="s">
        <v>10659</v>
      </c>
    </row>
    <row r="268" spans="1:11" ht="14.55" customHeight="1" x14ac:dyDescent="0.25">
      <c r="A268" s="272" t="s">
        <v>9358</v>
      </c>
      <c r="B268" s="272" t="s">
        <v>10591</v>
      </c>
      <c r="C268" s="265" t="s">
        <v>9499</v>
      </c>
      <c r="D268" s="266" t="s">
        <v>9500</v>
      </c>
      <c r="E268" s="278" t="s">
        <v>10663</v>
      </c>
      <c r="F268" s="272" t="s">
        <v>9198</v>
      </c>
      <c r="G268" s="272" t="s">
        <v>9197</v>
      </c>
      <c r="H268" s="7" t="s">
        <v>10710</v>
      </c>
      <c r="I268" s="266" t="s">
        <v>10711</v>
      </c>
      <c r="J268" s="7" t="s">
        <v>10655</v>
      </c>
      <c r="K268" s="7" t="s">
        <v>10655</v>
      </c>
    </row>
    <row r="269" spans="1:11" ht="14.55" customHeight="1" x14ac:dyDescent="0.25">
      <c r="A269" s="272" t="s">
        <v>9358</v>
      </c>
      <c r="B269" s="272" t="s">
        <v>10591</v>
      </c>
      <c r="C269" s="265" t="s">
        <v>9499</v>
      </c>
      <c r="D269" s="266" t="s">
        <v>9500</v>
      </c>
      <c r="E269" s="278" t="s">
        <v>10663</v>
      </c>
      <c r="F269" s="272" t="s">
        <v>9198</v>
      </c>
      <c r="G269" s="272" t="s">
        <v>9197</v>
      </c>
      <c r="H269" s="7" t="s">
        <v>10718</v>
      </c>
      <c r="I269" s="266" t="s">
        <v>10719</v>
      </c>
      <c r="J269" s="7" t="s">
        <v>10655</v>
      </c>
      <c r="K269" s="7" t="s">
        <v>10655</v>
      </c>
    </row>
    <row r="270" spans="1:11" ht="14.55" customHeight="1" x14ac:dyDescent="0.25">
      <c r="A270" s="286" t="s">
        <v>9358</v>
      </c>
      <c r="B270" s="293" t="s">
        <v>10591</v>
      </c>
      <c r="C270" s="294" t="s">
        <v>9499</v>
      </c>
      <c r="D270" s="353" t="s">
        <v>9500</v>
      </c>
      <c r="E270" s="357" t="s">
        <v>10663</v>
      </c>
      <c r="F270" s="293" t="s">
        <v>9198</v>
      </c>
      <c r="G270" s="293" t="s">
        <v>9197</v>
      </c>
      <c r="H270" s="354" t="s">
        <v>13482</v>
      </c>
      <c r="I270" s="264" t="s">
        <v>13483</v>
      </c>
      <c r="J270" s="354" t="s">
        <v>10602</v>
      </c>
      <c r="K270" s="275" t="s">
        <v>10663</v>
      </c>
    </row>
    <row r="271" spans="1:11" ht="14.55" customHeight="1" x14ac:dyDescent="0.25">
      <c r="A271" s="272" t="s">
        <v>9358</v>
      </c>
      <c r="B271" s="272" t="s">
        <v>10591</v>
      </c>
      <c r="C271" s="265" t="s">
        <v>9499</v>
      </c>
      <c r="D271" s="266" t="s">
        <v>9500</v>
      </c>
      <c r="E271" s="278" t="s">
        <v>10663</v>
      </c>
      <c r="F271" s="272" t="s">
        <v>9198</v>
      </c>
      <c r="G271" s="272" t="s">
        <v>9197</v>
      </c>
      <c r="H271" s="265" t="s">
        <v>10714</v>
      </c>
      <c r="I271" s="263" t="s">
        <v>10715</v>
      </c>
      <c r="J271" s="7" t="s">
        <v>10658</v>
      </c>
      <c r="K271" s="265" t="s">
        <v>10658</v>
      </c>
    </row>
    <row r="272" spans="1:11" ht="14.55" customHeight="1" x14ac:dyDescent="0.25">
      <c r="A272" s="272" t="s">
        <v>9358</v>
      </c>
      <c r="B272" s="272" t="s">
        <v>10591</v>
      </c>
      <c r="C272" s="265" t="s">
        <v>9499</v>
      </c>
      <c r="D272" s="266" t="s">
        <v>9500</v>
      </c>
      <c r="E272" s="278" t="s">
        <v>10663</v>
      </c>
      <c r="F272" s="272" t="s">
        <v>9198</v>
      </c>
      <c r="G272" s="272" t="s">
        <v>9197</v>
      </c>
      <c r="H272" s="7" t="s">
        <v>10720</v>
      </c>
      <c r="I272" s="266" t="s">
        <v>10721</v>
      </c>
      <c r="J272" s="7" t="s">
        <v>10658</v>
      </c>
      <c r="K272" s="265" t="s">
        <v>10658</v>
      </c>
    </row>
    <row r="273" spans="1:11" ht="14.55" customHeight="1" x14ac:dyDescent="0.25">
      <c r="A273" s="272" t="s">
        <v>9358</v>
      </c>
      <c r="B273" s="272" t="s">
        <v>10591</v>
      </c>
      <c r="C273" s="265" t="s">
        <v>9501</v>
      </c>
      <c r="D273" s="266" t="s">
        <v>9502</v>
      </c>
      <c r="E273" s="278" t="s">
        <v>10659</v>
      </c>
      <c r="F273" s="272" t="s">
        <v>9198</v>
      </c>
      <c r="G273" s="272" t="s">
        <v>9197</v>
      </c>
      <c r="H273" s="7" t="s">
        <v>10710</v>
      </c>
      <c r="I273" s="266" t="s">
        <v>10711</v>
      </c>
      <c r="J273" s="7" t="s">
        <v>10655</v>
      </c>
      <c r="K273" s="265" t="s">
        <v>10655</v>
      </c>
    </row>
    <row r="274" spans="1:11" ht="14.55" customHeight="1" x14ac:dyDescent="0.25">
      <c r="A274" s="272" t="s">
        <v>9358</v>
      </c>
      <c r="B274" s="272" t="s">
        <v>10591</v>
      </c>
      <c r="C274" s="265" t="s">
        <v>9501</v>
      </c>
      <c r="D274" s="266" t="s">
        <v>9502</v>
      </c>
      <c r="E274" s="278" t="s">
        <v>10659</v>
      </c>
      <c r="F274" s="272" t="s">
        <v>9198</v>
      </c>
      <c r="G274" s="272" t="s">
        <v>9197</v>
      </c>
      <c r="H274" s="7" t="s">
        <v>10718</v>
      </c>
      <c r="I274" s="266" t="s">
        <v>10719</v>
      </c>
      <c r="J274" s="7" t="s">
        <v>10655</v>
      </c>
      <c r="K274" s="265" t="s">
        <v>10655</v>
      </c>
    </row>
    <row r="275" spans="1:11" ht="14.55" customHeight="1" x14ac:dyDescent="0.25">
      <c r="A275" s="286" t="s">
        <v>9358</v>
      </c>
      <c r="B275" s="293" t="s">
        <v>10591</v>
      </c>
      <c r="C275" s="294" t="s">
        <v>9501</v>
      </c>
      <c r="D275" s="353" t="s">
        <v>9502</v>
      </c>
      <c r="E275" s="357" t="s">
        <v>10659</v>
      </c>
      <c r="F275" s="293" t="s">
        <v>9198</v>
      </c>
      <c r="G275" s="293" t="s">
        <v>9197</v>
      </c>
      <c r="H275" s="354" t="s">
        <v>13482</v>
      </c>
      <c r="I275" s="264" t="s">
        <v>13483</v>
      </c>
      <c r="J275" s="354" t="s">
        <v>10602</v>
      </c>
      <c r="K275" s="275" t="s">
        <v>10659</v>
      </c>
    </row>
    <row r="276" spans="1:11" ht="14.55" customHeight="1" x14ac:dyDescent="0.25">
      <c r="A276" s="272" t="s">
        <v>9358</v>
      </c>
      <c r="B276" s="272" t="s">
        <v>10591</v>
      </c>
      <c r="C276" s="265" t="s">
        <v>9503</v>
      </c>
      <c r="D276" s="266" t="s">
        <v>9504</v>
      </c>
      <c r="E276" s="278" t="s">
        <v>10659</v>
      </c>
      <c r="F276" s="272" t="s">
        <v>9198</v>
      </c>
      <c r="G276" s="272" t="s">
        <v>9197</v>
      </c>
      <c r="H276" s="7" t="s">
        <v>10710</v>
      </c>
      <c r="I276" s="266" t="s">
        <v>10711</v>
      </c>
      <c r="J276" s="7" t="s">
        <v>10655</v>
      </c>
      <c r="K276" s="265" t="s">
        <v>10659</v>
      </c>
    </row>
    <row r="277" spans="1:11" ht="14.55" customHeight="1" x14ac:dyDescent="0.25">
      <c r="A277" s="272" t="s">
        <v>9358</v>
      </c>
      <c r="B277" s="272" t="s">
        <v>10591</v>
      </c>
      <c r="C277" s="265" t="s">
        <v>9503</v>
      </c>
      <c r="D277" s="266" t="s">
        <v>9504</v>
      </c>
      <c r="E277" s="278" t="s">
        <v>10659</v>
      </c>
      <c r="F277" s="272" t="s">
        <v>9198</v>
      </c>
      <c r="G277" s="272" t="s">
        <v>9197</v>
      </c>
      <c r="H277" s="7" t="s">
        <v>10718</v>
      </c>
      <c r="I277" s="266" t="s">
        <v>10719</v>
      </c>
      <c r="J277" s="7" t="s">
        <v>10655</v>
      </c>
      <c r="K277" s="265" t="s">
        <v>10659</v>
      </c>
    </row>
    <row r="278" spans="1:11" ht="14.55" customHeight="1" x14ac:dyDescent="0.25">
      <c r="A278" s="286" t="s">
        <v>9358</v>
      </c>
      <c r="B278" s="293" t="s">
        <v>10591</v>
      </c>
      <c r="C278" s="294" t="s">
        <v>9503</v>
      </c>
      <c r="D278" s="353" t="s">
        <v>9504</v>
      </c>
      <c r="E278" s="357" t="s">
        <v>10659</v>
      </c>
      <c r="F278" s="293" t="s">
        <v>9198</v>
      </c>
      <c r="G278" s="293" t="s">
        <v>9197</v>
      </c>
      <c r="H278" s="354" t="s">
        <v>13482</v>
      </c>
      <c r="I278" s="264" t="s">
        <v>13483</v>
      </c>
      <c r="J278" s="354" t="s">
        <v>10602</v>
      </c>
      <c r="K278" s="275" t="s">
        <v>10659</v>
      </c>
    </row>
    <row r="279" spans="1:11" ht="14.55" customHeight="1" x14ac:dyDescent="0.25">
      <c r="A279" s="272" t="s">
        <v>9358</v>
      </c>
      <c r="B279" s="272" t="s">
        <v>10591</v>
      </c>
      <c r="C279" s="265" t="s">
        <v>9505</v>
      </c>
      <c r="D279" s="266" t="s">
        <v>9506</v>
      </c>
      <c r="E279" s="278" t="s">
        <v>10663</v>
      </c>
      <c r="F279" s="272" t="s">
        <v>9198</v>
      </c>
      <c r="G279" s="272" t="s">
        <v>9197</v>
      </c>
      <c r="H279" s="7" t="s">
        <v>10710</v>
      </c>
      <c r="I279" s="266" t="s">
        <v>10711</v>
      </c>
      <c r="J279" s="7" t="s">
        <v>10655</v>
      </c>
      <c r="K279" s="7" t="s">
        <v>10655</v>
      </c>
    </row>
    <row r="280" spans="1:11" ht="14.55" customHeight="1" x14ac:dyDescent="0.25">
      <c r="A280" s="272" t="s">
        <v>9358</v>
      </c>
      <c r="B280" s="272" t="s">
        <v>10591</v>
      </c>
      <c r="C280" s="265" t="s">
        <v>9505</v>
      </c>
      <c r="D280" s="266" t="s">
        <v>9506</v>
      </c>
      <c r="E280" s="278" t="s">
        <v>10663</v>
      </c>
      <c r="F280" s="272" t="s">
        <v>9198</v>
      </c>
      <c r="G280" s="272" t="s">
        <v>9197</v>
      </c>
      <c r="H280" s="7" t="s">
        <v>10718</v>
      </c>
      <c r="I280" s="266" t="s">
        <v>10719</v>
      </c>
      <c r="J280" s="7" t="s">
        <v>10655</v>
      </c>
      <c r="K280" s="7" t="s">
        <v>10655</v>
      </c>
    </row>
    <row r="281" spans="1:11" ht="14.55" customHeight="1" x14ac:dyDescent="0.25">
      <c r="A281" s="286" t="s">
        <v>9358</v>
      </c>
      <c r="B281" s="293" t="s">
        <v>10591</v>
      </c>
      <c r="C281" s="294" t="s">
        <v>9505</v>
      </c>
      <c r="D281" s="353" t="s">
        <v>9506</v>
      </c>
      <c r="E281" s="357" t="s">
        <v>10663</v>
      </c>
      <c r="F281" s="293" t="s">
        <v>9198</v>
      </c>
      <c r="G281" s="293" t="s">
        <v>9197</v>
      </c>
      <c r="H281" s="354" t="s">
        <v>13482</v>
      </c>
      <c r="I281" s="264" t="s">
        <v>13483</v>
      </c>
      <c r="J281" s="354" t="s">
        <v>10602</v>
      </c>
      <c r="K281" s="275" t="s">
        <v>10663</v>
      </c>
    </row>
    <row r="282" spans="1:11" ht="14.55" customHeight="1" x14ac:dyDescent="0.25">
      <c r="A282" s="272" t="s">
        <v>9358</v>
      </c>
      <c r="B282" s="272" t="s">
        <v>10591</v>
      </c>
      <c r="C282" s="265" t="s">
        <v>9505</v>
      </c>
      <c r="D282" s="266" t="s">
        <v>9506</v>
      </c>
      <c r="E282" s="278" t="s">
        <v>10663</v>
      </c>
      <c r="F282" s="272" t="s">
        <v>9198</v>
      </c>
      <c r="G282" s="272" t="s">
        <v>9197</v>
      </c>
      <c r="H282" s="265" t="s">
        <v>10714</v>
      </c>
      <c r="I282" s="263" t="s">
        <v>10715</v>
      </c>
      <c r="J282" s="7" t="s">
        <v>10658</v>
      </c>
      <c r="K282" s="265" t="s">
        <v>10658</v>
      </c>
    </row>
    <row r="283" spans="1:11" ht="14.55" customHeight="1" x14ac:dyDescent="0.25">
      <c r="A283" s="272" t="s">
        <v>9358</v>
      </c>
      <c r="B283" s="272" t="s">
        <v>10591</v>
      </c>
      <c r="C283" s="265" t="s">
        <v>9505</v>
      </c>
      <c r="D283" s="266" t="s">
        <v>9506</v>
      </c>
      <c r="E283" s="278" t="s">
        <v>10663</v>
      </c>
      <c r="F283" s="272" t="s">
        <v>9198</v>
      </c>
      <c r="G283" s="272" t="s">
        <v>9197</v>
      </c>
      <c r="H283" s="7" t="s">
        <v>10720</v>
      </c>
      <c r="I283" s="266" t="s">
        <v>10721</v>
      </c>
      <c r="J283" s="7" t="s">
        <v>10658</v>
      </c>
      <c r="K283" s="265" t="s">
        <v>10658</v>
      </c>
    </row>
    <row r="284" spans="1:11" s="280" customFormat="1" ht="14.55" customHeight="1" x14ac:dyDescent="0.25">
      <c r="A284" s="272" t="s">
        <v>9358</v>
      </c>
      <c r="B284" s="272" t="s">
        <v>10591</v>
      </c>
      <c r="C284" s="265" t="s">
        <v>9507</v>
      </c>
      <c r="D284" s="266" t="s">
        <v>9508</v>
      </c>
      <c r="E284" s="278" t="s">
        <v>10659</v>
      </c>
      <c r="F284" s="272" t="s">
        <v>9198</v>
      </c>
      <c r="G284" s="272" t="s">
        <v>9197</v>
      </c>
      <c r="H284" s="7" t="s">
        <v>10710</v>
      </c>
      <c r="I284" s="266" t="s">
        <v>10711</v>
      </c>
      <c r="J284" s="7" t="s">
        <v>10655</v>
      </c>
      <c r="K284" s="7" t="s">
        <v>10655</v>
      </c>
    </row>
    <row r="285" spans="1:11" s="280" customFormat="1" ht="14.55" customHeight="1" x14ac:dyDescent="0.25">
      <c r="A285" s="272" t="s">
        <v>9358</v>
      </c>
      <c r="B285" s="272" t="s">
        <v>10591</v>
      </c>
      <c r="C285" s="265" t="s">
        <v>9507</v>
      </c>
      <c r="D285" s="266" t="s">
        <v>9508</v>
      </c>
      <c r="E285" s="278" t="s">
        <v>10659</v>
      </c>
      <c r="F285" s="272" t="s">
        <v>9198</v>
      </c>
      <c r="G285" s="272" t="s">
        <v>9197</v>
      </c>
      <c r="H285" s="7" t="s">
        <v>10718</v>
      </c>
      <c r="I285" s="266" t="s">
        <v>10719</v>
      </c>
      <c r="J285" s="7" t="s">
        <v>10655</v>
      </c>
      <c r="K285" s="7" t="s">
        <v>10655</v>
      </c>
    </row>
    <row r="286" spans="1:11" ht="14.55" customHeight="1" x14ac:dyDescent="0.25">
      <c r="A286" s="286" t="s">
        <v>9358</v>
      </c>
      <c r="B286" s="293" t="s">
        <v>10591</v>
      </c>
      <c r="C286" s="294" t="s">
        <v>9507</v>
      </c>
      <c r="D286" s="353" t="s">
        <v>9508</v>
      </c>
      <c r="E286" s="357" t="s">
        <v>10659</v>
      </c>
      <c r="F286" s="293" t="s">
        <v>9198</v>
      </c>
      <c r="G286" s="293" t="s">
        <v>9197</v>
      </c>
      <c r="H286" s="354" t="s">
        <v>13482</v>
      </c>
      <c r="I286" s="264" t="s">
        <v>13483</v>
      </c>
      <c r="J286" s="354" t="s">
        <v>10602</v>
      </c>
      <c r="K286" s="275" t="s">
        <v>10659</v>
      </c>
    </row>
    <row r="287" spans="1:11" s="280" customFormat="1" ht="14.55" customHeight="1" x14ac:dyDescent="0.25">
      <c r="A287" s="272" t="s">
        <v>9358</v>
      </c>
      <c r="B287" s="272" t="s">
        <v>10591</v>
      </c>
      <c r="C287" s="265" t="s">
        <v>9509</v>
      </c>
      <c r="D287" s="266" t="s">
        <v>9510</v>
      </c>
      <c r="E287" s="278" t="s">
        <v>10663</v>
      </c>
      <c r="F287" s="272" t="s">
        <v>9198</v>
      </c>
      <c r="G287" s="272" t="s">
        <v>9197</v>
      </c>
      <c r="H287" s="7" t="s">
        <v>10710</v>
      </c>
      <c r="I287" s="266" t="s">
        <v>10711</v>
      </c>
      <c r="J287" s="7" t="s">
        <v>10655</v>
      </c>
      <c r="K287" s="7" t="s">
        <v>10655</v>
      </c>
    </row>
    <row r="288" spans="1:11" ht="14.55" customHeight="1" x14ac:dyDescent="0.25">
      <c r="A288" s="272" t="s">
        <v>9358</v>
      </c>
      <c r="B288" s="272" t="s">
        <v>10591</v>
      </c>
      <c r="C288" s="265" t="s">
        <v>9509</v>
      </c>
      <c r="D288" s="266" t="s">
        <v>9510</v>
      </c>
      <c r="E288" s="278" t="s">
        <v>10663</v>
      </c>
      <c r="F288" s="272" t="s">
        <v>9198</v>
      </c>
      <c r="G288" s="272" t="s">
        <v>9197</v>
      </c>
      <c r="H288" s="7" t="s">
        <v>10722</v>
      </c>
      <c r="I288" s="266" t="s">
        <v>10723</v>
      </c>
      <c r="J288" s="7" t="s">
        <v>10655</v>
      </c>
      <c r="K288" s="7" t="s">
        <v>10655</v>
      </c>
    </row>
    <row r="289" spans="1:11" ht="14.55" customHeight="1" x14ac:dyDescent="0.25">
      <c r="A289" s="286" t="s">
        <v>9358</v>
      </c>
      <c r="B289" s="293" t="s">
        <v>10591</v>
      </c>
      <c r="C289" s="294" t="s">
        <v>9509</v>
      </c>
      <c r="D289" s="353" t="s">
        <v>9510</v>
      </c>
      <c r="E289" s="357" t="s">
        <v>10663</v>
      </c>
      <c r="F289" s="293" t="s">
        <v>9198</v>
      </c>
      <c r="G289" s="293" t="s">
        <v>9197</v>
      </c>
      <c r="H289" s="354" t="s">
        <v>13482</v>
      </c>
      <c r="I289" s="264" t="s">
        <v>13483</v>
      </c>
      <c r="J289" s="354" t="s">
        <v>10602</v>
      </c>
      <c r="K289" s="275" t="s">
        <v>10663</v>
      </c>
    </row>
    <row r="290" spans="1:11" ht="14.55" customHeight="1" x14ac:dyDescent="0.25">
      <c r="A290" s="272" t="s">
        <v>9358</v>
      </c>
      <c r="B290" s="272" t="s">
        <v>10591</v>
      </c>
      <c r="C290" s="265" t="s">
        <v>9509</v>
      </c>
      <c r="D290" s="266" t="s">
        <v>9510</v>
      </c>
      <c r="E290" s="278" t="s">
        <v>10663</v>
      </c>
      <c r="F290" s="272" t="s">
        <v>9198</v>
      </c>
      <c r="G290" s="272" t="s">
        <v>9197</v>
      </c>
      <c r="H290" s="265" t="s">
        <v>10714</v>
      </c>
      <c r="I290" s="263" t="s">
        <v>10715</v>
      </c>
      <c r="J290" s="7" t="s">
        <v>10658</v>
      </c>
      <c r="K290" s="7" t="s">
        <v>10658</v>
      </c>
    </row>
    <row r="291" spans="1:11" ht="14.55" customHeight="1" x14ac:dyDescent="0.25">
      <c r="A291" s="272" t="s">
        <v>9358</v>
      </c>
      <c r="B291" s="272" t="s">
        <v>10591</v>
      </c>
      <c r="C291" s="265" t="s">
        <v>9509</v>
      </c>
      <c r="D291" s="266" t="s">
        <v>9510</v>
      </c>
      <c r="E291" s="278" t="s">
        <v>10663</v>
      </c>
      <c r="F291" s="272" t="s">
        <v>9198</v>
      </c>
      <c r="G291" s="272" t="s">
        <v>9197</v>
      </c>
      <c r="H291" s="7" t="s">
        <v>10724</v>
      </c>
      <c r="I291" s="266" t="s">
        <v>10725</v>
      </c>
      <c r="J291" s="7" t="s">
        <v>10658</v>
      </c>
      <c r="K291" s="7" t="s">
        <v>10658</v>
      </c>
    </row>
    <row r="292" spans="1:11" ht="14.55" customHeight="1" x14ac:dyDescent="0.25">
      <c r="A292" s="272" t="s">
        <v>9358</v>
      </c>
      <c r="B292" s="272" t="s">
        <v>10591</v>
      </c>
      <c r="C292" s="265" t="s">
        <v>9511</v>
      </c>
      <c r="D292" s="266" t="s">
        <v>9512</v>
      </c>
      <c r="E292" s="278" t="s">
        <v>10659</v>
      </c>
      <c r="F292" s="272" t="s">
        <v>9198</v>
      </c>
      <c r="G292" s="272" t="s">
        <v>9197</v>
      </c>
      <c r="H292" s="7" t="s">
        <v>10710</v>
      </c>
      <c r="I292" s="266" t="s">
        <v>10711</v>
      </c>
      <c r="J292" s="7" t="s">
        <v>10655</v>
      </c>
      <c r="K292" s="265" t="s">
        <v>10659</v>
      </c>
    </row>
    <row r="293" spans="1:11" ht="14.55" customHeight="1" x14ac:dyDescent="0.25">
      <c r="A293" s="272" t="s">
        <v>9358</v>
      </c>
      <c r="B293" s="272" t="s">
        <v>10591</v>
      </c>
      <c r="C293" s="265" t="s">
        <v>9511</v>
      </c>
      <c r="D293" s="266" t="s">
        <v>9512</v>
      </c>
      <c r="E293" s="278" t="s">
        <v>10659</v>
      </c>
      <c r="F293" s="272" t="s">
        <v>9198</v>
      </c>
      <c r="G293" s="272" t="s">
        <v>9197</v>
      </c>
      <c r="H293" s="7" t="s">
        <v>10722</v>
      </c>
      <c r="I293" s="266" t="s">
        <v>10723</v>
      </c>
      <c r="J293" s="7" t="s">
        <v>10655</v>
      </c>
      <c r="K293" s="265" t="s">
        <v>10659</v>
      </c>
    </row>
    <row r="294" spans="1:11" ht="14.55" customHeight="1" x14ac:dyDescent="0.25">
      <c r="A294" s="286" t="s">
        <v>9358</v>
      </c>
      <c r="B294" s="293" t="s">
        <v>10591</v>
      </c>
      <c r="C294" s="294" t="s">
        <v>9511</v>
      </c>
      <c r="D294" s="353" t="s">
        <v>9512</v>
      </c>
      <c r="E294" s="357" t="s">
        <v>10659</v>
      </c>
      <c r="F294" s="293" t="s">
        <v>9198</v>
      </c>
      <c r="G294" s="293" t="s">
        <v>9197</v>
      </c>
      <c r="H294" s="354" t="s">
        <v>13482</v>
      </c>
      <c r="I294" s="264" t="s">
        <v>13483</v>
      </c>
      <c r="J294" s="354" t="s">
        <v>10602</v>
      </c>
      <c r="K294" s="275" t="s">
        <v>10659</v>
      </c>
    </row>
    <row r="295" spans="1:11" ht="14.55" customHeight="1" x14ac:dyDescent="0.25">
      <c r="A295" s="272" t="s">
        <v>9358</v>
      </c>
      <c r="B295" s="272" t="s">
        <v>10591</v>
      </c>
      <c r="C295" s="265" t="s">
        <v>9513</v>
      </c>
      <c r="D295" s="266" t="s">
        <v>9514</v>
      </c>
      <c r="E295" s="278" t="s">
        <v>10659</v>
      </c>
      <c r="F295" s="272" t="s">
        <v>9198</v>
      </c>
      <c r="G295" s="272" t="s">
        <v>9197</v>
      </c>
      <c r="H295" s="7" t="s">
        <v>10710</v>
      </c>
      <c r="I295" s="266" t="s">
        <v>10711</v>
      </c>
      <c r="J295" s="7" t="s">
        <v>10655</v>
      </c>
      <c r="K295" s="265" t="s">
        <v>10659</v>
      </c>
    </row>
    <row r="296" spans="1:11" ht="14.55" customHeight="1" x14ac:dyDescent="0.25">
      <c r="A296" s="272" t="s">
        <v>9358</v>
      </c>
      <c r="B296" s="272" t="s">
        <v>10591</v>
      </c>
      <c r="C296" s="265" t="s">
        <v>9513</v>
      </c>
      <c r="D296" s="266" t="s">
        <v>9514</v>
      </c>
      <c r="E296" s="278" t="s">
        <v>10659</v>
      </c>
      <c r="F296" s="272" t="s">
        <v>9198</v>
      </c>
      <c r="G296" s="272" t="s">
        <v>9197</v>
      </c>
      <c r="H296" s="7" t="s">
        <v>10722</v>
      </c>
      <c r="I296" s="266" t="s">
        <v>10723</v>
      </c>
      <c r="J296" s="7" t="s">
        <v>10655</v>
      </c>
      <c r="K296" s="265" t="s">
        <v>10659</v>
      </c>
    </row>
    <row r="297" spans="1:11" ht="14.55" customHeight="1" x14ac:dyDescent="0.25">
      <c r="A297" s="286" t="s">
        <v>9358</v>
      </c>
      <c r="B297" s="293" t="s">
        <v>10591</v>
      </c>
      <c r="C297" s="294" t="s">
        <v>9513</v>
      </c>
      <c r="D297" s="353" t="s">
        <v>9514</v>
      </c>
      <c r="E297" s="357" t="s">
        <v>10659</v>
      </c>
      <c r="F297" s="293" t="s">
        <v>9198</v>
      </c>
      <c r="G297" s="293" t="s">
        <v>9197</v>
      </c>
      <c r="H297" s="354" t="s">
        <v>13482</v>
      </c>
      <c r="I297" s="264" t="s">
        <v>13483</v>
      </c>
      <c r="J297" s="354" t="s">
        <v>10602</v>
      </c>
      <c r="K297" s="275" t="s">
        <v>10659</v>
      </c>
    </row>
    <row r="298" spans="1:11" ht="14.55" customHeight="1" x14ac:dyDescent="0.25">
      <c r="A298" s="272" t="s">
        <v>9358</v>
      </c>
      <c r="B298" s="272" t="s">
        <v>10591</v>
      </c>
      <c r="C298" s="265" t="s">
        <v>9515</v>
      </c>
      <c r="D298" s="266" t="s">
        <v>9516</v>
      </c>
      <c r="E298" s="278" t="s">
        <v>10663</v>
      </c>
      <c r="F298" s="272" t="s">
        <v>9198</v>
      </c>
      <c r="G298" s="272" t="s">
        <v>9197</v>
      </c>
      <c r="H298" s="7" t="s">
        <v>10710</v>
      </c>
      <c r="I298" s="266" t="s">
        <v>10711</v>
      </c>
      <c r="J298" s="7" t="s">
        <v>10655</v>
      </c>
      <c r="K298" s="7" t="s">
        <v>10655</v>
      </c>
    </row>
    <row r="299" spans="1:11" ht="14.55" customHeight="1" x14ac:dyDescent="0.25">
      <c r="A299" s="272" t="s">
        <v>9358</v>
      </c>
      <c r="B299" s="272" t="s">
        <v>10591</v>
      </c>
      <c r="C299" s="265" t="s">
        <v>9515</v>
      </c>
      <c r="D299" s="266" t="s">
        <v>9516</v>
      </c>
      <c r="E299" s="278" t="s">
        <v>10663</v>
      </c>
      <c r="F299" s="272" t="s">
        <v>9198</v>
      </c>
      <c r="G299" s="272" t="s">
        <v>9197</v>
      </c>
      <c r="H299" s="7" t="s">
        <v>10726</v>
      </c>
      <c r="I299" s="266" t="s">
        <v>10727</v>
      </c>
      <c r="J299" s="7" t="s">
        <v>10655</v>
      </c>
      <c r="K299" s="7" t="s">
        <v>10655</v>
      </c>
    </row>
    <row r="300" spans="1:11" ht="14.55" customHeight="1" x14ac:dyDescent="0.25">
      <c r="A300" s="286" t="s">
        <v>9358</v>
      </c>
      <c r="B300" s="293" t="s">
        <v>10591</v>
      </c>
      <c r="C300" s="294" t="s">
        <v>9515</v>
      </c>
      <c r="D300" s="353" t="s">
        <v>9516</v>
      </c>
      <c r="E300" s="357" t="s">
        <v>10663</v>
      </c>
      <c r="F300" s="293" t="s">
        <v>9198</v>
      </c>
      <c r="G300" s="293" t="s">
        <v>9197</v>
      </c>
      <c r="H300" s="354" t="s">
        <v>13482</v>
      </c>
      <c r="I300" s="264" t="s">
        <v>13483</v>
      </c>
      <c r="J300" s="354" t="s">
        <v>10602</v>
      </c>
      <c r="K300" s="275" t="s">
        <v>10663</v>
      </c>
    </row>
    <row r="301" spans="1:11" ht="14.55" customHeight="1" x14ac:dyDescent="0.25">
      <c r="A301" s="272" t="s">
        <v>9358</v>
      </c>
      <c r="B301" s="272" t="s">
        <v>10591</v>
      </c>
      <c r="C301" s="265" t="s">
        <v>9515</v>
      </c>
      <c r="D301" s="266" t="s">
        <v>9516</v>
      </c>
      <c r="E301" s="278" t="s">
        <v>10663</v>
      </c>
      <c r="F301" s="272" t="s">
        <v>9198</v>
      </c>
      <c r="G301" s="272" t="s">
        <v>9197</v>
      </c>
      <c r="H301" s="265" t="s">
        <v>10714</v>
      </c>
      <c r="I301" s="263" t="s">
        <v>10715</v>
      </c>
      <c r="J301" s="7" t="s">
        <v>10658</v>
      </c>
      <c r="K301" s="7" t="s">
        <v>10658</v>
      </c>
    </row>
    <row r="302" spans="1:11" ht="14.55" customHeight="1" x14ac:dyDescent="0.25">
      <c r="A302" s="272" t="s">
        <v>9358</v>
      </c>
      <c r="B302" s="272" t="s">
        <v>10591</v>
      </c>
      <c r="C302" s="265" t="s">
        <v>9515</v>
      </c>
      <c r="D302" s="266" t="s">
        <v>9516</v>
      </c>
      <c r="E302" s="278" t="s">
        <v>10663</v>
      </c>
      <c r="F302" s="272" t="s">
        <v>9198</v>
      </c>
      <c r="G302" s="272" t="s">
        <v>9197</v>
      </c>
      <c r="H302" s="7" t="s">
        <v>10728</v>
      </c>
      <c r="I302" s="266" t="s">
        <v>10729</v>
      </c>
      <c r="J302" s="7" t="s">
        <v>10658</v>
      </c>
      <c r="K302" s="7" t="s">
        <v>10658</v>
      </c>
    </row>
    <row r="303" spans="1:11" ht="14.55" customHeight="1" x14ac:dyDescent="0.25">
      <c r="A303" s="272" t="s">
        <v>9358</v>
      </c>
      <c r="B303" s="272" t="s">
        <v>10591</v>
      </c>
      <c r="C303" s="265" t="s">
        <v>9517</v>
      </c>
      <c r="D303" s="266" t="s">
        <v>9518</v>
      </c>
      <c r="E303" s="278" t="s">
        <v>10659</v>
      </c>
      <c r="F303" s="272" t="s">
        <v>9198</v>
      </c>
      <c r="G303" s="272" t="s">
        <v>9197</v>
      </c>
      <c r="H303" s="7" t="s">
        <v>10710</v>
      </c>
      <c r="I303" s="266" t="s">
        <v>10711</v>
      </c>
      <c r="J303" s="7" t="s">
        <v>10655</v>
      </c>
      <c r="K303" s="265" t="s">
        <v>10659</v>
      </c>
    </row>
    <row r="304" spans="1:11" ht="14.55" customHeight="1" x14ac:dyDescent="0.25">
      <c r="A304" s="272" t="s">
        <v>9358</v>
      </c>
      <c r="B304" s="272" t="s">
        <v>10591</v>
      </c>
      <c r="C304" s="265" t="s">
        <v>9517</v>
      </c>
      <c r="D304" s="266" t="s">
        <v>9518</v>
      </c>
      <c r="E304" s="278" t="s">
        <v>10659</v>
      </c>
      <c r="F304" s="272" t="s">
        <v>9198</v>
      </c>
      <c r="G304" s="272" t="s">
        <v>9197</v>
      </c>
      <c r="H304" s="7" t="s">
        <v>10726</v>
      </c>
      <c r="I304" s="266" t="s">
        <v>10727</v>
      </c>
      <c r="J304" s="7" t="s">
        <v>10655</v>
      </c>
      <c r="K304" s="265" t="s">
        <v>10659</v>
      </c>
    </row>
    <row r="305" spans="1:11" ht="14.55" customHeight="1" x14ac:dyDescent="0.25">
      <c r="A305" s="286" t="s">
        <v>9358</v>
      </c>
      <c r="B305" s="293" t="s">
        <v>10591</v>
      </c>
      <c r="C305" s="294" t="s">
        <v>9517</v>
      </c>
      <c r="D305" s="353" t="s">
        <v>9518</v>
      </c>
      <c r="E305" s="357" t="s">
        <v>10659</v>
      </c>
      <c r="F305" s="293" t="s">
        <v>9198</v>
      </c>
      <c r="G305" s="293" t="s">
        <v>9197</v>
      </c>
      <c r="H305" s="354" t="s">
        <v>13482</v>
      </c>
      <c r="I305" s="264" t="s">
        <v>13483</v>
      </c>
      <c r="J305" s="354" t="s">
        <v>10602</v>
      </c>
      <c r="K305" s="275" t="s">
        <v>10659</v>
      </c>
    </row>
    <row r="306" spans="1:11" ht="14.55" customHeight="1" x14ac:dyDescent="0.25">
      <c r="A306" s="272" t="s">
        <v>9358</v>
      </c>
      <c r="B306" s="272" t="s">
        <v>10591</v>
      </c>
      <c r="C306" s="265" t="s">
        <v>9519</v>
      </c>
      <c r="D306" s="266" t="s">
        <v>9520</v>
      </c>
      <c r="E306" s="278" t="s">
        <v>10659</v>
      </c>
      <c r="F306" s="272" t="s">
        <v>9198</v>
      </c>
      <c r="G306" s="272" t="s">
        <v>9197</v>
      </c>
      <c r="H306" s="7" t="s">
        <v>10710</v>
      </c>
      <c r="I306" s="266" t="s">
        <v>10711</v>
      </c>
      <c r="J306" s="7" t="s">
        <v>10655</v>
      </c>
      <c r="K306" s="265" t="s">
        <v>10659</v>
      </c>
    </row>
    <row r="307" spans="1:11" ht="14.55" customHeight="1" x14ac:dyDescent="0.25">
      <c r="A307" s="272" t="s">
        <v>9358</v>
      </c>
      <c r="B307" s="272" t="s">
        <v>10591</v>
      </c>
      <c r="C307" s="265" t="s">
        <v>9519</v>
      </c>
      <c r="D307" s="266" t="s">
        <v>9520</v>
      </c>
      <c r="E307" s="278" t="s">
        <v>10659</v>
      </c>
      <c r="F307" s="272" t="s">
        <v>9198</v>
      </c>
      <c r="G307" s="272" t="s">
        <v>9197</v>
      </c>
      <c r="H307" s="7" t="s">
        <v>10726</v>
      </c>
      <c r="I307" s="266" t="s">
        <v>10727</v>
      </c>
      <c r="J307" s="7" t="s">
        <v>10655</v>
      </c>
      <c r="K307" s="265" t="s">
        <v>10659</v>
      </c>
    </row>
    <row r="308" spans="1:11" ht="14.55" customHeight="1" x14ac:dyDescent="0.25">
      <c r="A308" s="286" t="s">
        <v>9358</v>
      </c>
      <c r="B308" s="293" t="s">
        <v>10591</v>
      </c>
      <c r="C308" s="294" t="s">
        <v>9519</v>
      </c>
      <c r="D308" s="353" t="s">
        <v>9520</v>
      </c>
      <c r="E308" s="357" t="s">
        <v>10659</v>
      </c>
      <c r="F308" s="293" t="s">
        <v>9198</v>
      </c>
      <c r="G308" s="293" t="s">
        <v>9197</v>
      </c>
      <c r="H308" s="354" t="s">
        <v>13482</v>
      </c>
      <c r="I308" s="264" t="s">
        <v>13483</v>
      </c>
      <c r="J308" s="354" t="s">
        <v>10602</v>
      </c>
      <c r="K308" s="275" t="s">
        <v>10659</v>
      </c>
    </row>
    <row r="309" spans="1:11" ht="14.55" customHeight="1" x14ac:dyDescent="0.25">
      <c r="A309" s="272" t="s">
        <v>9358</v>
      </c>
      <c r="B309" s="272" t="s">
        <v>10591</v>
      </c>
      <c r="C309" s="265" t="s">
        <v>9521</v>
      </c>
      <c r="D309" s="266" t="s">
        <v>9522</v>
      </c>
      <c r="E309" s="278" t="s">
        <v>10659</v>
      </c>
      <c r="F309" s="272" t="s">
        <v>9198</v>
      </c>
      <c r="G309" s="272" t="s">
        <v>9197</v>
      </c>
      <c r="H309" s="7" t="s">
        <v>10710</v>
      </c>
      <c r="I309" s="266" t="s">
        <v>10711</v>
      </c>
      <c r="J309" s="7" t="s">
        <v>10655</v>
      </c>
      <c r="K309" s="265" t="s">
        <v>10659</v>
      </c>
    </row>
    <row r="310" spans="1:11" ht="14.55" customHeight="1" x14ac:dyDescent="0.25">
      <c r="A310" s="272" t="s">
        <v>9358</v>
      </c>
      <c r="B310" s="272" t="s">
        <v>10591</v>
      </c>
      <c r="C310" s="265" t="s">
        <v>9521</v>
      </c>
      <c r="D310" s="266" t="s">
        <v>9522</v>
      </c>
      <c r="E310" s="278" t="s">
        <v>10659</v>
      </c>
      <c r="F310" s="272" t="s">
        <v>9198</v>
      </c>
      <c r="G310" s="272" t="s">
        <v>9197</v>
      </c>
      <c r="H310" s="7" t="s">
        <v>10726</v>
      </c>
      <c r="I310" s="266" t="s">
        <v>10727</v>
      </c>
      <c r="J310" s="7" t="s">
        <v>10655</v>
      </c>
      <c r="K310" s="265" t="s">
        <v>10659</v>
      </c>
    </row>
    <row r="311" spans="1:11" ht="14.55" customHeight="1" x14ac:dyDescent="0.25">
      <c r="A311" s="286" t="s">
        <v>9358</v>
      </c>
      <c r="B311" s="293" t="s">
        <v>10591</v>
      </c>
      <c r="C311" s="294" t="s">
        <v>9521</v>
      </c>
      <c r="D311" s="353" t="s">
        <v>9522</v>
      </c>
      <c r="E311" s="357" t="s">
        <v>10659</v>
      </c>
      <c r="F311" s="293" t="s">
        <v>9198</v>
      </c>
      <c r="G311" s="293" t="s">
        <v>9197</v>
      </c>
      <c r="H311" s="354" t="s">
        <v>13482</v>
      </c>
      <c r="I311" s="264" t="s">
        <v>13483</v>
      </c>
      <c r="J311" s="354" t="s">
        <v>10602</v>
      </c>
      <c r="K311" s="275" t="s">
        <v>10659</v>
      </c>
    </row>
    <row r="312" spans="1:11" ht="14.55" customHeight="1" x14ac:dyDescent="0.25">
      <c r="A312" s="272" t="s">
        <v>9358</v>
      </c>
      <c r="B312" s="272" t="s">
        <v>10591</v>
      </c>
      <c r="C312" s="265" t="s">
        <v>9523</v>
      </c>
      <c r="D312" s="266" t="s">
        <v>9524</v>
      </c>
      <c r="E312" s="278" t="s">
        <v>10659</v>
      </c>
      <c r="F312" s="272" t="s">
        <v>9198</v>
      </c>
      <c r="G312" s="272" t="s">
        <v>9197</v>
      </c>
      <c r="H312" s="7" t="s">
        <v>10710</v>
      </c>
      <c r="I312" s="266" t="s">
        <v>10711</v>
      </c>
      <c r="J312" s="7" t="s">
        <v>10655</v>
      </c>
      <c r="K312" s="265" t="s">
        <v>10659</v>
      </c>
    </row>
    <row r="313" spans="1:11" ht="14.55" customHeight="1" x14ac:dyDescent="0.25">
      <c r="A313" s="272" t="s">
        <v>9358</v>
      </c>
      <c r="B313" s="272" t="s">
        <v>10591</v>
      </c>
      <c r="C313" s="265" t="s">
        <v>9523</v>
      </c>
      <c r="D313" s="266" t="s">
        <v>9524</v>
      </c>
      <c r="E313" s="278" t="s">
        <v>10659</v>
      </c>
      <c r="F313" s="272" t="s">
        <v>9198</v>
      </c>
      <c r="G313" s="272" t="s">
        <v>9197</v>
      </c>
      <c r="H313" s="7" t="s">
        <v>10726</v>
      </c>
      <c r="I313" s="266" t="s">
        <v>10727</v>
      </c>
      <c r="J313" s="7" t="s">
        <v>10655</v>
      </c>
      <c r="K313" s="265" t="s">
        <v>10659</v>
      </c>
    </row>
    <row r="314" spans="1:11" ht="14.55" customHeight="1" x14ac:dyDescent="0.25">
      <c r="A314" s="286" t="s">
        <v>9358</v>
      </c>
      <c r="B314" s="293" t="s">
        <v>10591</v>
      </c>
      <c r="C314" s="294" t="s">
        <v>9523</v>
      </c>
      <c r="D314" s="353" t="s">
        <v>9524</v>
      </c>
      <c r="E314" s="357" t="s">
        <v>10659</v>
      </c>
      <c r="F314" s="293" t="s">
        <v>9198</v>
      </c>
      <c r="G314" s="293" t="s">
        <v>9197</v>
      </c>
      <c r="H314" s="354" t="s">
        <v>13482</v>
      </c>
      <c r="I314" s="264" t="s">
        <v>13483</v>
      </c>
      <c r="J314" s="354" t="s">
        <v>10602</v>
      </c>
      <c r="K314" s="275" t="s">
        <v>10659</v>
      </c>
    </row>
    <row r="315" spans="1:11" ht="14.55" customHeight="1" x14ac:dyDescent="0.25">
      <c r="A315" s="272" t="s">
        <v>9358</v>
      </c>
      <c r="B315" s="272" t="s">
        <v>10591</v>
      </c>
      <c r="C315" s="265" t="s">
        <v>9525</v>
      </c>
      <c r="D315" s="266" t="s">
        <v>9526</v>
      </c>
      <c r="E315" s="278" t="s">
        <v>10663</v>
      </c>
      <c r="F315" s="272" t="s">
        <v>9198</v>
      </c>
      <c r="G315" s="272" t="s">
        <v>9197</v>
      </c>
      <c r="H315" s="7" t="s">
        <v>10710</v>
      </c>
      <c r="I315" s="266" t="s">
        <v>10711</v>
      </c>
      <c r="J315" s="7" t="s">
        <v>10655</v>
      </c>
      <c r="K315" s="7" t="s">
        <v>10655</v>
      </c>
    </row>
    <row r="316" spans="1:11" ht="14.55" customHeight="1" x14ac:dyDescent="0.25">
      <c r="A316" s="272" t="s">
        <v>9358</v>
      </c>
      <c r="B316" s="272" t="s">
        <v>10591</v>
      </c>
      <c r="C316" s="265" t="s">
        <v>9525</v>
      </c>
      <c r="D316" s="266" t="s">
        <v>9526</v>
      </c>
      <c r="E316" s="278" t="s">
        <v>10663</v>
      </c>
      <c r="F316" s="272" t="s">
        <v>9198</v>
      </c>
      <c r="G316" s="272" t="s">
        <v>9197</v>
      </c>
      <c r="H316" s="7" t="s">
        <v>10730</v>
      </c>
      <c r="I316" s="266" t="s">
        <v>10731</v>
      </c>
      <c r="J316" s="7" t="s">
        <v>10655</v>
      </c>
      <c r="K316" s="7" t="s">
        <v>10655</v>
      </c>
    </row>
    <row r="317" spans="1:11" ht="14.55" customHeight="1" x14ac:dyDescent="0.25">
      <c r="A317" s="286" t="s">
        <v>9358</v>
      </c>
      <c r="B317" s="293" t="s">
        <v>10591</v>
      </c>
      <c r="C317" s="294" t="s">
        <v>9525</v>
      </c>
      <c r="D317" s="353" t="s">
        <v>9526</v>
      </c>
      <c r="E317" s="357" t="s">
        <v>10663</v>
      </c>
      <c r="F317" s="293" t="s">
        <v>9198</v>
      </c>
      <c r="G317" s="293" t="s">
        <v>9197</v>
      </c>
      <c r="H317" s="354" t="s">
        <v>13482</v>
      </c>
      <c r="I317" s="264" t="s">
        <v>13483</v>
      </c>
      <c r="J317" s="354" t="s">
        <v>10602</v>
      </c>
      <c r="K317" s="275" t="s">
        <v>10663</v>
      </c>
    </row>
    <row r="318" spans="1:11" ht="14.55" customHeight="1" x14ac:dyDescent="0.25">
      <c r="A318" s="272" t="s">
        <v>9358</v>
      </c>
      <c r="B318" s="272" t="s">
        <v>10591</v>
      </c>
      <c r="C318" s="265" t="s">
        <v>9525</v>
      </c>
      <c r="D318" s="266" t="s">
        <v>9526</v>
      </c>
      <c r="E318" s="278" t="s">
        <v>10663</v>
      </c>
      <c r="F318" s="272" t="s">
        <v>9198</v>
      </c>
      <c r="G318" s="272" t="s">
        <v>9197</v>
      </c>
      <c r="H318" s="265" t="s">
        <v>10714</v>
      </c>
      <c r="I318" s="263" t="s">
        <v>10715</v>
      </c>
      <c r="J318" s="7" t="s">
        <v>10658</v>
      </c>
      <c r="K318" s="7" t="s">
        <v>10658</v>
      </c>
    </row>
    <row r="319" spans="1:11" ht="14.55" customHeight="1" x14ac:dyDescent="0.25">
      <c r="A319" s="272" t="s">
        <v>9358</v>
      </c>
      <c r="B319" s="272" t="s">
        <v>10591</v>
      </c>
      <c r="C319" s="265" t="s">
        <v>9525</v>
      </c>
      <c r="D319" s="266" t="s">
        <v>9526</v>
      </c>
      <c r="E319" s="278" t="s">
        <v>10663</v>
      </c>
      <c r="F319" s="272" t="s">
        <v>9198</v>
      </c>
      <c r="G319" s="272" t="s">
        <v>9197</v>
      </c>
      <c r="H319" s="7" t="s">
        <v>10732</v>
      </c>
      <c r="I319" s="266" t="s">
        <v>10733</v>
      </c>
      <c r="J319" s="7" t="s">
        <v>10658</v>
      </c>
      <c r="K319" s="7" t="s">
        <v>10658</v>
      </c>
    </row>
    <row r="320" spans="1:11" ht="14.55" customHeight="1" x14ac:dyDescent="0.25">
      <c r="A320" s="272" t="s">
        <v>9358</v>
      </c>
      <c r="B320" s="272" t="s">
        <v>10591</v>
      </c>
      <c r="C320" s="265" t="s">
        <v>9527</v>
      </c>
      <c r="D320" s="266" t="s">
        <v>9528</v>
      </c>
      <c r="E320" s="278" t="s">
        <v>10659</v>
      </c>
      <c r="F320" s="272" t="s">
        <v>9198</v>
      </c>
      <c r="G320" s="272" t="s">
        <v>9197</v>
      </c>
      <c r="H320" s="7" t="s">
        <v>10710</v>
      </c>
      <c r="I320" s="266" t="s">
        <v>10711</v>
      </c>
      <c r="J320" s="7" t="s">
        <v>10655</v>
      </c>
      <c r="K320" s="265" t="s">
        <v>10659</v>
      </c>
    </row>
    <row r="321" spans="1:11" ht="14.55" customHeight="1" x14ac:dyDescent="0.25">
      <c r="A321" s="272" t="s">
        <v>9358</v>
      </c>
      <c r="B321" s="272" t="s">
        <v>10591</v>
      </c>
      <c r="C321" s="265" t="s">
        <v>9527</v>
      </c>
      <c r="D321" s="266" t="s">
        <v>9528</v>
      </c>
      <c r="E321" s="278" t="s">
        <v>10659</v>
      </c>
      <c r="F321" s="272" t="s">
        <v>9198</v>
      </c>
      <c r="G321" s="272" t="s">
        <v>9197</v>
      </c>
      <c r="H321" s="7" t="s">
        <v>10730</v>
      </c>
      <c r="I321" s="266" t="s">
        <v>10731</v>
      </c>
      <c r="J321" s="7" t="s">
        <v>10655</v>
      </c>
      <c r="K321" s="265" t="s">
        <v>10659</v>
      </c>
    </row>
    <row r="322" spans="1:11" ht="14.55" customHeight="1" x14ac:dyDescent="0.25">
      <c r="A322" s="286" t="s">
        <v>9358</v>
      </c>
      <c r="B322" s="293" t="s">
        <v>10591</v>
      </c>
      <c r="C322" s="294" t="s">
        <v>9527</v>
      </c>
      <c r="D322" s="353" t="s">
        <v>9528</v>
      </c>
      <c r="E322" s="357" t="s">
        <v>10659</v>
      </c>
      <c r="F322" s="293" t="s">
        <v>9198</v>
      </c>
      <c r="G322" s="293" t="s">
        <v>9197</v>
      </c>
      <c r="H322" s="354" t="s">
        <v>13482</v>
      </c>
      <c r="I322" s="264" t="s">
        <v>13483</v>
      </c>
      <c r="J322" s="354" t="s">
        <v>10602</v>
      </c>
      <c r="K322" s="275" t="s">
        <v>10659</v>
      </c>
    </row>
    <row r="323" spans="1:11" ht="14.55" customHeight="1" x14ac:dyDescent="0.25">
      <c r="A323" s="272" t="s">
        <v>9358</v>
      </c>
      <c r="B323" s="272" t="s">
        <v>10591</v>
      </c>
      <c r="C323" s="265" t="s">
        <v>9529</v>
      </c>
      <c r="D323" s="266" t="s">
        <v>9530</v>
      </c>
      <c r="E323" s="278" t="s">
        <v>10663</v>
      </c>
      <c r="F323" s="272" t="s">
        <v>9198</v>
      </c>
      <c r="G323" s="272" t="s">
        <v>9197</v>
      </c>
      <c r="H323" s="7" t="s">
        <v>10710</v>
      </c>
      <c r="I323" s="266" t="s">
        <v>10711</v>
      </c>
      <c r="J323" s="7" t="s">
        <v>10655</v>
      </c>
      <c r="K323" s="7" t="s">
        <v>10655</v>
      </c>
    </row>
    <row r="324" spans="1:11" ht="14.55" customHeight="1" x14ac:dyDescent="0.25">
      <c r="A324" s="272" t="s">
        <v>9358</v>
      </c>
      <c r="B324" s="272" t="s">
        <v>10591</v>
      </c>
      <c r="C324" s="265" t="s">
        <v>9529</v>
      </c>
      <c r="D324" s="266" t="s">
        <v>9530</v>
      </c>
      <c r="E324" s="278" t="s">
        <v>10663</v>
      </c>
      <c r="F324" s="272" t="s">
        <v>9198</v>
      </c>
      <c r="G324" s="272" t="s">
        <v>9197</v>
      </c>
      <c r="H324" s="7" t="s">
        <v>10734</v>
      </c>
      <c r="I324" s="266" t="s">
        <v>10735</v>
      </c>
      <c r="J324" s="7" t="s">
        <v>10655</v>
      </c>
      <c r="K324" s="7" t="s">
        <v>10655</v>
      </c>
    </row>
    <row r="325" spans="1:11" ht="14.55" customHeight="1" x14ac:dyDescent="0.25">
      <c r="A325" s="286" t="s">
        <v>9358</v>
      </c>
      <c r="B325" s="293" t="s">
        <v>10591</v>
      </c>
      <c r="C325" s="294" t="s">
        <v>9529</v>
      </c>
      <c r="D325" s="353" t="s">
        <v>9530</v>
      </c>
      <c r="E325" s="357" t="s">
        <v>10663</v>
      </c>
      <c r="F325" s="293" t="s">
        <v>9198</v>
      </c>
      <c r="G325" s="293" t="s">
        <v>9197</v>
      </c>
      <c r="H325" s="354" t="s">
        <v>13482</v>
      </c>
      <c r="I325" s="264" t="s">
        <v>13483</v>
      </c>
      <c r="J325" s="354" t="s">
        <v>10602</v>
      </c>
      <c r="K325" s="275" t="s">
        <v>10663</v>
      </c>
    </row>
    <row r="326" spans="1:11" ht="14.55" customHeight="1" x14ac:dyDescent="0.25">
      <c r="A326" s="272" t="s">
        <v>9358</v>
      </c>
      <c r="B326" s="272" t="s">
        <v>10591</v>
      </c>
      <c r="C326" s="265" t="s">
        <v>9529</v>
      </c>
      <c r="D326" s="266" t="s">
        <v>9530</v>
      </c>
      <c r="E326" s="278" t="s">
        <v>10663</v>
      </c>
      <c r="F326" s="272" t="s">
        <v>9198</v>
      </c>
      <c r="G326" s="272" t="s">
        <v>9197</v>
      </c>
      <c r="H326" s="265" t="s">
        <v>10714</v>
      </c>
      <c r="I326" s="263" t="s">
        <v>10715</v>
      </c>
      <c r="J326" s="7" t="s">
        <v>10658</v>
      </c>
      <c r="K326" s="7" t="s">
        <v>10658</v>
      </c>
    </row>
    <row r="327" spans="1:11" ht="14.55" customHeight="1" x14ac:dyDescent="0.25">
      <c r="A327" s="272" t="s">
        <v>9358</v>
      </c>
      <c r="B327" s="272" t="s">
        <v>10591</v>
      </c>
      <c r="C327" s="265" t="s">
        <v>9529</v>
      </c>
      <c r="D327" s="266" t="s">
        <v>9530</v>
      </c>
      <c r="E327" s="278" t="s">
        <v>10663</v>
      </c>
      <c r="F327" s="272" t="s">
        <v>9198</v>
      </c>
      <c r="G327" s="272" t="s">
        <v>9197</v>
      </c>
      <c r="H327" s="7" t="s">
        <v>10736</v>
      </c>
      <c r="I327" s="266" t="s">
        <v>10737</v>
      </c>
      <c r="J327" s="7" t="s">
        <v>10658</v>
      </c>
      <c r="K327" s="7" t="s">
        <v>10658</v>
      </c>
    </row>
    <row r="328" spans="1:11" ht="14.55" customHeight="1" x14ac:dyDescent="0.25">
      <c r="A328" s="272" t="s">
        <v>9358</v>
      </c>
      <c r="B328" s="272" t="s">
        <v>10591</v>
      </c>
      <c r="C328" s="265" t="s">
        <v>9531</v>
      </c>
      <c r="D328" s="266" t="s">
        <v>9532</v>
      </c>
      <c r="E328" s="278" t="s">
        <v>10659</v>
      </c>
      <c r="F328" s="272" t="s">
        <v>9198</v>
      </c>
      <c r="G328" s="272" t="s">
        <v>9197</v>
      </c>
      <c r="H328" s="7" t="s">
        <v>10710</v>
      </c>
      <c r="I328" s="266" t="s">
        <v>10711</v>
      </c>
      <c r="J328" s="7" t="s">
        <v>10655</v>
      </c>
      <c r="K328" s="265" t="s">
        <v>10659</v>
      </c>
    </row>
    <row r="329" spans="1:11" ht="14.55" customHeight="1" x14ac:dyDescent="0.25">
      <c r="A329" s="272" t="s">
        <v>9358</v>
      </c>
      <c r="B329" s="272" t="s">
        <v>10591</v>
      </c>
      <c r="C329" s="265" t="s">
        <v>9531</v>
      </c>
      <c r="D329" s="266" t="s">
        <v>9532</v>
      </c>
      <c r="E329" s="278" t="s">
        <v>10659</v>
      </c>
      <c r="F329" s="272" t="s">
        <v>9198</v>
      </c>
      <c r="G329" s="272" t="s">
        <v>9197</v>
      </c>
      <c r="H329" s="7" t="s">
        <v>10734</v>
      </c>
      <c r="I329" s="266" t="s">
        <v>10735</v>
      </c>
      <c r="J329" s="7" t="s">
        <v>10655</v>
      </c>
      <c r="K329" s="265" t="s">
        <v>10659</v>
      </c>
    </row>
    <row r="330" spans="1:11" ht="14.55" customHeight="1" x14ac:dyDescent="0.25">
      <c r="A330" s="286" t="s">
        <v>9358</v>
      </c>
      <c r="B330" s="293" t="s">
        <v>10591</v>
      </c>
      <c r="C330" s="294" t="s">
        <v>9531</v>
      </c>
      <c r="D330" s="353" t="s">
        <v>9532</v>
      </c>
      <c r="E330" s="357" t="s">
        <v>10659</v>
      </c>
      <c r="F330" s="293" t="s">
        <v>9198</v>
      </c>
      <c r="G330" s="293" t="s">
        <v>9197</v>
      </c>
      <c r="H330" s="354" t="s">
        <v>13482</v>
      </c>
      <c r="I330" s="264" t="s">
        <v>13483</v>
      </c>
      <c r="J330" s="354" t="s">
        <v>10602</v>
      </c>
      <c r="K330" s="275" t="s">
        <v>10659</v>
      </c>
    </row>
    <row r="331" spans="1:11" ht="14.55" customHeight="1" x14ac:dyDescent="0.25">
      <c r="A331" s="272" t="s">
        <v>9358</v>
      </c>
      <c r="B331" s="272" t="s">
        <v>10591</v>
      </c>
      <c r="C331" s="265" t="s">
        <v>9533</v>
      </c>
      <c r="D331" s="266" t="s">
        <v>9534</v>
      </c>
      <c r="E331" s="278" t="s">
        <v>10659</v>
      </c>
      <c r="F331" s="272" t="s">
        <v>9198</v>
      </c>
      <c r="G331" s="272" t="s">
        <v>9197</v>
      </c>
      <c r="H331" s="7" t="s">
        <v>10710</v>
      </c>
      <c r="I331" s="266" t="s">
        <v>10711</v>
      </c>
      <c r="J331" s="7" t="s">
        <v>10655</v>
      </c>
      <c r="K331" s="265" t="s">
        <v>10659</v>
      </c>
    </row>
    <row r="332" spans="1:11" ht="14.55" customHeight="1" x14ac:dyDescent="0.25">
      <c r="A332" s="272" t="s">
        <v>9358</v>
      </c>
      <c r="B332" s="272" t="s">
        <v>10591</v>
      </c>
      <c r="C332" s="265" t="s">
        <v>9533</v>
      </c>
      <c r="D332" s="266" t="s">
        <v>9534</v>
      </c>
      <c r="E332" s="278" t="s">
        <v>10659</v>
      </c>
      <c r="F332" s="272" t="s">
        <v>9198</v>
      </c>
      <c r="G332" s="272" t="s">
        <v>9197</v>
      </c>
      <c r="H332" s="7" t="s">
        <v>10734</v>
      </c>
      <c r="I332" s="266" t="s">
        <v>10735</v>
      </c>
      <c r="J332" s="7" t="s">
        <v>10655</v>
      </c>
      <c r="K332" s="265" t="s">
        <v>10659</v>
      </c>
    </row>
    <row r="333" spans="1:11" ht="14.55" customHeight="1" x14ac:dyDescent="0.25">
      <c r="A333" s="286" t="s">
        <v>9358</v>
      </c>
      <c r="B333" s="293" t="s">
        <v>10591</v>
      </c>
      <c r="C333" s="294" t="s">
        <v>9533</v>
      </c>
      <c r="D333" s="353" t="s">
        <v>9534</v>
      </c>
      <c r="E333" s="357" t="s">
        <v>10659</v>
      </c>
      <c r="F333" s="293" t="s">
        <v>9198</v>
      </c>
      <c r="G333" s="293" t="s">
        <v>9197</v>
      </c>
      <c r="H333" s="354" t="s">
        <v>13482</v>
      </c>
      <c r="I333" s="264" t="s">
        <v>13483</v>
      </c>
      <c r="J333" s="354" t="s">
        <v>10602</v>
      </c>
      <c r="K333" s="275" t="s">
        <v>10659</v>
      </c>
    </row>
    <row r="334" spans="1:11" ht="14.55" customHeight="1" x14ac:dyDescent="0.25">
      <c r="A334" s="272" t="s">
        <v>9358</v>
      </c>
      <c r="B334" s="272" t="s">
        <v>10591</v>
      </c>
      <c r="C334" s="265" t="s">
        <v>9535</v>
      </c>
      <c r="D334" s="266" t="s">
        <v>9536</v>
      </c>
      <c r="E334" s="278" t="s">
        <v>10663</v>
      </c>
      <c r="F334" s="272" t="s">
        <v>9198</v>
      </c>
      <c r="G334" s="272" t="s">
        <v>9197</v>
      </c>
      <c r="H334" s="7" t="s">
        <v>10710</v>
      </c>
      <c r="I334" s="266" t="s">
        <v>10711</v>
      </c>
      <c r="J334" s="7" t="s">
        <v>10655</v>
      </c>
      <c r="K334" s="7" t="s">
        <v>10655</v>
      </c>
    </row>
    <row r="335" spans="1:11" ht="14.55" customHeight="1" x14ac:dyDescent="0.25">
      <c r="A335" s="272" t="s">
        <v>9358</v>
      </c>
      <c r="B335" s="272" t="s">
        <v>10591</v>
      </c>
      <c r="C335" s="265" t="s">
        <v>9535</v>
      </c>
      <c r="D335" s="266" t="s">
        <v>9536</v>
      </c>
      <c r="E335" s="278" t="s">
        <v>10663</v>
      </c>
      <c r="F335" s="272" t="s">
        <v>9198</v>
      </c>
      <c r="G335" s="272" t="s">
        <v>9197</v>
      </c>
      <c r="H335" s="7" t="s">
        <v>10738</v>
      </c>
      <c r="I335" s="266" t="s">
        <v>10739</v>
      </c>
      <c r="J335" s="7" t="s">
        <v>10655</v>
      </c>
      <c r="K335" s="7" t="s">
        <v>10655</v>
      </c>
    </row>
    <row r="336" spans="1:11" ht="14.55" customHeight="1" x14ac:dyDescent="0.25">
      <c r="A336" s="272" t="s">
        <v>9358</v>
      </c>
      <c r="B336" s="272" t="s">
        <v>10591</v>
      </c>
      <c r="C336" s="265" t="s">
        <v>9535</v>
      </c>
      <c r="D336" s="266" t="s">
        <v>9536</v>
      </c>
      <c r="E336" s="278" t="s">
        <v>10663</v>
      </c>
      <c r="F336" s="272" t="s">
        <v>9198</v>
      </c>
      <c r="G336" s="272" t="s">
        <v>9197</v>
      </c>
      <c r="H336" s="7" t="s">
        <v>10730</v>
      </c>
      <c r="I336" s="266" t="s">
        <v>10731</v>
      </c>
      <c r="J336" s="7" t="s">
        <v>10655</v>
      </c>
      <c r="K336" s="7" t="s">
        <v>10655</v>
      </c>
    </row>
    <row r="337" spans="1:11" ht="14.55" customHeight="1" x14ac:dyDescent="0.25">
      <c r="A337" s="286" t="s">
        <v>9358</v>
      </c>
      <c r="B337" s="293" t="s">
        <v>10591</v>
      </c>
      <c r="C337" s="294" t="s">
        <v>9535</v>
      </c>
      <c r="D337" s="353" t="s">
        <v>9536</v>
      </c>
      <c r="E337" s="357" t="s">
        <v>10663</v>
      </c>
      <c r="F337" s="293" t="s">
        <v>9198</v>
      </c>
      <c r="G337" s="293" t="s">
        <v>9197</v>
      </c>
      <c r="H337" s="354" t="s">
        <v>13482</v>
      </c>
      <c r="I337" s="264" t="s">
        <v>13483</v>
      </c>
      <c r="J337" s="354" t="s">
        <v>10602</v>
      </c>
      <c r="K337" s="275" t="s">
        <v>10663</v>
      </c>
    </row>
    <row r="338" spans="1:11" ht="14.55" customHeight="1" x14ac:dyDescent="0.25">
      <c r="A338" s="272" t="s">
        <v>9358</v>
      </c>
      <c r="B338" s="272" t="s">
        <v>10591</v>
      </c>
      <c r="C338" s="265" t="s">
        <v>9535</v>
      </c>
      <c r="D338" s="266" t="s">
        <v>9536</v>
      </c>
      <c r="E338" s="278" t="s">
        <v>10663</v>
      </c>
      <c r="F338" s="272" t="s">
        <v>9198</v>
      </c>
      <c r="G338" s="272" t="s">
        <v>9197</v>
      </c>
      <c r="H338" s="265" t="s">
        <v>10714</v>
      </c>
      <c r="I338" s="263" t="s">
        <v>10715</v>
      </c>
      <c r="J338" s="7" t="s">
        <v>10658</v>
      </c>
      <c r="K338" s="7" t="s">
        <v>10658</v>
      </c>
    </row>
    <row r="339" spans="1:11" ht="14.55" customHeight="1" x14ac:dyDescent="0.25">
      <c r="A339" s="272" t="s">
        <v>9358</v>
      </c>
      <c r="B339" s="272" t="s">
        <v>10591</v>
      </c>
      <c r="C339" s="265" t="s">
        <v>9535</v>
      </c>
      <c r="D339" s="266" t="s">
        <v>9536</v>
      </c>
      <c r="E339" s="278" t="s">
        <v>10663</v>
      </c>
      <c r="F339" s="272" t="s">
        <v>9198</v>
      </c>
      <c r="G339" s="272" t="s">
        <v>9197</v>
      </c>
      <c r="H339" s="7" t="s">
        <v>10740</v>
      </c>
      <c r="I339" s="266" t="s">
        <v>10741</v>
      </c>
      <c r="J339" s="7" t="s">
        <v>10658</v>
      </c>
      <c r="K339" s="7" t="s">
        <v>10658</v>
      </c>
    </row>
    <row r="340" spans="1:11" ht="14.55" customHeight="1" x14ac:dyDescent="0.25">
      <c r="A340" s="272" t="s">
        <v>9358</v>
      </c>
      <c r="B340" s="272" t="s">
        <v>10591</v>
      </c>
      <c r="C340" s="265" t="s">
        <v>9535</v>
      </c>
      <c r="D340" s="266" t="s">
        <v>9536</v>
      </c>
      <c r="E340" s="278" t="s">
        <v>10663</v>
      </c>
      <c r="F340" s="272" t="s">
        <v>9198</v>
      </c>
      <c r="G340" s="272" t="s">
        <v>9197</v>
      </c>
      <c r="H340" s="7" t="s">
        <v>10732</v>
      </c>
      <c r="I340" s="266" t="s">
        <v>10733</v>
      </c>
      <c r="J340" s="7" t="s">
        <v>10658</v>
      </c>
      <c r="K340" s="7" t="s">
        <v>10658</v>
      </c>
    </row>
    <row r="341" spans="1:11" ht="14.55" customHeight="1" x14ac:dyDescent="0.25">
      <c r="A341" s="272" t="s">
        <v>9358</v>
      </c>
      <c r="B341" s="272" t="s">
        <v>10591</v>
      </c>
      <c r="C341" s="265" t="s">
        <v>9537</v>
      </c>
      <c r="D341" s="266" t="s">
        <v>9538</v>
      </c>
      <c r="E341" s="278" t="s">
        <v>10663</v>
      </c>
      <c r="F341" s="272" t="s">
        <v>9198</v>
      </c>
      <c r="G341" s="272" t="s">
        <v>9197</v>
      </c>
      <c r="H341" s="7" t="s">
        <v>10653</v>
      </c>
      <c r="I341" s="266" t="s">
        <v>10654</v>
      </c>
      <c r="J341" s="7" t="s">
        <v>10655</v>
      </c>
      <c r="K341" s="7" t="s">
        <v>10655</v>
      </c>
    </row>
    <row r="342" spans="1:11" ht="14.55" customHeight="1" x14ac:dyDescent="0.25">
      <c r="A342" s="272" t="s">
        <v>9358</v>
      </c>
      <c r="B342" s="272" t="s">
        <v>10591</v>
      </c>
      <c r="C342" s="265" t="s">
        <v>9537</v>
      </c>
      <c r="D342" s="266" t="s">
        <v>9538</v>
      </c>
      <c r="E342" s="278" t="s">
        <v>10663</v>
      </c>
      <c r="F342" s="272" t="s">
        <v>9198</v>
      </c>
      <c r="G342" s="272" t="s">
        <v>9197</v>
      </c>
      <c r="H342" s="7" t="s">
        <v>10742</v>
      </c>
      <c r="I342" s="266" t="s">
        <v>10743</v>
      </c>
      <c r="J342" s="7" t="s">
        <v>10655</v>
      </c>
      <c r="K342" s="7" t="s">
        <v>10655</v>
      </c>
    </row>
    <row r="343" spans="1:11" ht="14.55" customHeight="1" x14ac:dyDescent="0.25">
      <c r="A343" s="272" t="s">
        <v>9358</v>
      </c>
      <c r="B343" s="272" t="s">
        <v>10591</v>
      </c>
      <c r="C343" s="265" t="s">
        <v>9537</v>
      </c>
      <c r="D343" s="266" t="s">
        <v>9538</v>
      </c>
      <c r="E343" s="278" t="s">
        <v>10663</v>
      </c>
      <c r="F343" s="272" t="s">
        <v>9198</v>
      </c>
      <c r="G343" s="272" t="s">
        <v>9197</v>
      </c>
      <c r="H343" s="7" t="s">
        <v>10710</v>
      </c>
      <c r="I343" s="266" t="s">
        <v>10711</v>
      </c>
      <c r="J343" s="7" t="s">
        <v>10655</v>
      </c>
      <c r="K343" s="7" t="s">
        <v>10655</v>
      </c>
    </row>
    <row r="344" spans="1:11" ht="14.55" customHeight="1" x14ac:dyDescent="0.25">
      <c r="A344" s="272" t="s">
        <v>9358</v>
      </c>
      <c r="B344" s="272" t="s">
        <v>10591</v>
      </c>
      <c r="C344" s="265" t="s">
        <v>9537</v>
      </c>
      <c r="D344" s="266" t="s">
        <v>9538</v>
      </c>
      <c r="E344" s="278" t="s">
        <v>10663</v>
      </c>
      <c r="F344" s="272" t="s">
        <v>9198</v>
      </c>
      <c r="G344" s="272" t="s">
        <v>9197</v>
      </c>
      <c r="H344" s="7" t="s">
        <v>10718</v>
      </c>
      <c r="I344" s="266" t="s">
        <v>10719</v>
      </c>
      <c r="J344" s="7" t="s">
        <v>10655</v>
      </c>
      <c r="K344" s="7" t="s">
        <v>10655</v>
      </c>
    </row>
    <row r="345" spans="1:11" ht="14.55" customHeight="1" x14ac:dyDescent="0.25">
      <c r="A345" s="272" t="s">
        <v>9358</v>
      </c>
      <c r="B345" s="272" t="s">
        <v>10591</v>
      </c>
      <c r="C345" s="265" t="s">
        <v>9537</v>
      </c>
      <c r="D345" s="266" t="s">
        <v>9538</v>
      </c>
      <c r="E345" s="278" t="s">
        <v>10663</v>
      </c>
      <c r="F345" s="272" t="s">
        <v>9198</v>
      </c>
      <c r="G345" s="272" t="s">
        <v>9197</v>
      </c>
      <c r="H345" s="7" t="s">
        <v>10738</v>
      </c>
      <c r="I345" s="266" t="s">
        <v>10739</v>
      </c>
      <c r="J345" s="7" t="s">
        <v>10655</v>
      </c>
      <c r="K345" s="7" t="s">
        <v>10655</v>
      </c>
    </row>
    <row r="346" spans="1:11" ht="14.55" customHeight="1" x14ac:dyDescent="0.25">
      <c r="A346" s="272" t="s">
        <v>9358</v>
      </c>
      <c r="B346" s="272" t="s">
        <v>10591</v>
      </c>
      <c r="C346" s="265" t="s">
        <v>9537</v>
      </c>
      <c r="D346" s="266" t="s">
        <v>9538</v>
      </c>
      <c r="E346" s="278" t="s">
        <v>10663</v>
      </c>
      <c r="F346" s="272" t="s">
        <v>9198</v>
      </c>
      <c r="G346" s="272" t="s">
        <v>9197</v>
      </c>
      <c r="H346" s="7" t="s">
        <v>10734</v>
      </c>
      <c r="I346" s="266" t="s">
        <v>10735</v>
      </c>
      <c r="J346" s="7" t="s">
        <v>10655</v>
      </c>
      <c r="K346" s="7" t="s">
        <v>10655</v>
      </c>
    </row>
    <row r="347" spans="1:11" ht="14.55" customHeight="1" x14ac:dyDescent="0.25">
      <c r="A347" s="272" t="s">
        <v>9358</v>
      </c>
      <c r="B347" s="272" t="s">
        <v>10591</v>
      </c>
      <c r="C347" s="265" t="s">
        <v>9537</v>
      </c>
      <c r="D347" s="266" t="s">
        <v>9538</v>
      </c>
      <c r="E347" s="278" t="s">
        <v>10663</v>
      </c>
      <c r="F347" s="272" t="s">
        <v>9198</v>
      </c>
      <c r="G347" s="272" t="s">
        <v>9197</v>
      </c>
      <c r="H347" s="7" t="s">
        <v>10730</v>
      </c>
      <c r="I347" s="266" t="s">
        <v>10731</v>
      </c>
      <c r="J347" s="7" t="s">
        <v>10655</v>
      </c>
      <c r="K347" s="7" t="s">
        <v>10655</v>
      </c>
    </row>
    <row r="348" spans="1:11" ht="14.55" customHeight="1" x14ac:dyDescent="0.25">
      <c r="A348" s="272" t="s">
        <v>9358</v>
      </c>
      <c r="B348" s="272" t="s">
        <v>10591</v>
      </c>
      <c r="C348" s="265" t="s">
        <v>9537</v>
      </c>
      <c r="D348" s="266" t="s">
        <v>9538</v>
      </c>
      <c r="E348" s="278" t="s">
        <v>10663</v>
      </c>
      <c r="F348" s="272" t="s">
        <v>9198</v>
      </c>
      <c r="G348" s="272" t="s">
        <v>9197</v>
      </c>
      <c r="H348" s="7" t="s">
        <v>10744</v>
      </c>
      <c r="I348" s="266" t="s">
        <v>10745</v>
      </c>
      <c r="J348" s="7" t="s">
        <v>10655</v>
      </c>
      <c r="K348" s="7" t="s">
        <v>10655</v>
      </c>
    </row>
    <row r="349" spans="1:11" ht="14.55" customHeight="1" x14ac:dyDescent="0.25">
      <c r="A349" s="272" t="s">
        <v>9358</v>
      </c>
      <c r="B349" s="272" t="s">
        <v>10591</v>
      </c>
      <c r="C349" s="265" t="s">
        <v>9537</v>
      </c>
      <c r="D349" s="266" t="s">
        <v>9538</v>
      </c>
      <c r="E349" s="278" t="s">
        <v>10663</v>
      </c>
      <c r="F349" s="272" t="s">
        <v>9198</v>
      </c>
      <c r="G349" s="272" t="s">
        <v>9197</v>
      </c>
      <c r="H349" s="7" t="s">
        <v>10606</v>
      </c>
      <c r="I349" s="266" t="s">
        <v>9366</v>
      </c>
      <c r="J349" s="7" t="s">
        <v>10602</v>
      </c>
      <c r="K349" s="7" t="s">
        <v>10663</v>
      </c>
    </row>
    <row r="350" spans="1:11" ht="14.55" customHeight="1" x14ac:dyDescent="0.25">
      <c r="A350" s="272" t="s">
        <v>9358</v>
      </c>
      <c r="B350" s="272" t="s">
        <v>10591</v>
      </c>
      <c r="C350" s="265" t="s">
        <v>9537</v>
      </c>
      <c r="D350" s="266" t="s">
        <v>9538</v>
      </c>
      <c r="E350" s="278" t="s">
        <v>10663</v>
      </c>
      <c r="F350" s="272" t="s">
        <v>9198</v>
      </c>
      <c r="G350" s="272" t="s">
        <v>9197</v>
      </c>
      <c r="H350" s="7" t="s">
        <v>10607</v>
      </c>
      <c r="I350" s="266" t="s">
        <v>10608</v>
      </c>
      <c r="J350" s="7" t="s">
        <v>10602</v>
      </c>
      <c r="K350" s="7" t="s">
        <v>10663</v>
      </c>
    </row>
    <row r="351" spans="1:11" ht="14.55" customHeight="1" x14ac:dyDescent="0.25">
      <c r="A351" s="272" t="s">
        <v>9358</v>
      </c>
      <c r="B351" s="272" t="s">
        <v>10591</v>
      </c>
      <c r="C351" s="265" t="s">
        <v>9537</v>
      </c>
      <c r="D351" s="266" t="s">
        <v>9538</v>
      </c>
      <c r="E351" s="278" t="s">
        <v>10663</v>
      </c>
      <c r="F351" s="272" t="s">
        <v>9198</v>
      </c>
      <c r="G351" s="272" t="s">
        <v>9197</v>
      </c>
      <c r="H351" s="7" t="s">
        <v>10609</v>
      </c>
      <c r="I351" s="266" t="s">
        <v>10610</v>
      </c>
      <c r="J351" s="7" t="s">
        <v>10602</v>
      </c>
      <c r="K351" s="7" t="s">
        <v>10663</v>
      </c>
    </row>
    <row r="352" spans="1:11" ht="14.55" customHeight="1" x14ac:dyDescent="0.25">
      <c r="A352" s="272" t="s">
        <v>9358</v>
      </c>
      <c r="B352" s="272" t="s">
        <v>10591</v>
      </c>
      <c r="C352" s="265" t="s">
        <v>9537</v>
      </c>
      <c r="D352" s="266" t="s">
        <v>9538</v>
      </c>
      <c r="E352" s="278" t="s">
        <v>10663</v>
      </c>
      <c r="F352" s="272" t="s">
        <v>9198</v>
      </c>
      <c r="G352" s="272" t="s">
        <v>9197</v>
      </c>
      <c r="H352" s="7" t="s">
        <v>10611</v>
      </c>
      <c r="I352" s="266" t="s">
        <v>10612</v>
      </c>
      <c r="J352" s="7" t="s">
        <v>10602</v>
      </c>
      <c r="K352" s="7" t="s">
        <v>10663</v>
      </c>
    </row>
    <row r="353" spans="1:11" ht="14.55" customHeight="1" x14ac:dyDescent="0.25">
      <c r="A353" s="272" t="s">
        <v>9358</v>
      </c>
      <c r="B353" s="272" t="s">
        <v>10591</v>
      </c>
      <c r="C353" s="265" t="s">
        <v>9537</v>
      </c>
      <c r="D353" s="266" t="s">
        <v>9538</v>
      </c>
      <c r="E353" s="278" t="s">
        <v>10663</v>
      </c>
      <c r="F353" s="272" t="s">
        <v>9198</v>
      </c>
      <c r="G353" s="272" t="s">
        <v>9197</v>
      </c>
      <c r="H353" s="7" t="s">
        <v>10613</v>
      </c>
      <c r="I353" s="266" t="s">
        <v>10614</v>
      </c>
      <c r="J353" s="7" t="s">
        <v>10602</v>
      </c>
      <c r="K353" s="7" t="s">
        <v>10663</v>
      </c>
    </row>
    <row r="354" spans="1:11" ht="14.55" customHeight="1" x14ac:dyDescent="0.25">
      <c r="A354" s="272" t="s">
        <v>9358</v>
      </c>
      <c r="B354" s="272" t="s">
        <v>10591</v>
      </c>
      <c r="C354" s="265" t="s">
        <v>9537</v>
      </c>
      <c r="D354" s="266" t="s">
        <v>9538</v>
      </c>
      <c r="E354" s="278" t="s">
        <v>10663</v>
      </c>
      <c r="F354" s="272" t="s">
        <v>9198</v>
      </c>
      <c r="G354" s="272" t="s">
        <v>9197</v>
      </c>
      <c r="H354" s="7" t="s">
        <v>10615</v>
      </c>
      <c r="I354" s="266" t="s">
        <v>10616</v>
      </c>
      <c r="J354" s="7" t="s">
        <v>10602</v>
      </c>
      <c r="K354" s="7" t="s">
        <v>10663</v>
      </c>
    </row>
    <row r="355" spans="1:11" ht="14.55" customHeight="1" x14ac:dyDescent="0.25">
      <c r="A355" s="272" t="s">
        <v>9358</v>
      </c>
      <c r="B355" s="272" t="s">
        <v>10591</v>
      </c>
      <c r="C355" s="265" t="s">
        <v>9537</v>
      </c>
      <c r="D355" s="266" t="s">
        <v>9538</v>
      </c>
      <c r="E355" s="278" t="s">
        <v>10663</v>
      </c>
      <c r="F355" s="272" t="s">
        <v>9198</v>
      </c>
      <c r="G355" s="272" t="s">
        <v>9197</v>
      </c>
      <c r="H355" s="7" t="s">
        <v>10746</v>
      </c>
      <c r="I355" s="266" t="s">
        <v>10747</v>
      </c>
      <c r="J355" s="7" t="s">
        <v>10655</v>
      </c>
      <c r="K355" s="7" t="s">
        <v>10655</v>
      </c>
    </row>
    <row r="356" spans="1:11" ht="14.55" customHeight="1" x14ac:dyDescent="0.25">
      <c r="A356" s="272" t="s">
        <v>9358</v>
      </c>
      <c r="B356" s="272" t="s">
        <v>10591</v>
      </c>
      <c r="C356" s="265" t="s">
        <v>9537</v>
      </c>
      <c r="D356" s="266" t="s">
        <v>9538</v>
      </c>
      <c r="E356" s="278" t="s">
        <v>10663</v>
      </c>
      <c r="F356" s="272" t="s">
        <v>9198</v>
      </c>
      <c r="G356" s="272" t="s">
        <v>9197</v>
      </c>
      <c r="H356" s="7" t="s">
        <v>10748</v>
      </c>
      <c r="I356" s="266" t="s">
        <v>10749</v>
      </c>
      <c r="J356" s="7" t="s">
        <v>10655</v>
      </c>
      <c r="K356" s="7" t="s">
        <v>10655</v>
      </c>
    </row>
    <row r="357" spans="1:11" ht="14.55" customHeight="1" x14ac:dyDescent="0.25">
      <c r="A357" s="272" t="s">
        <v>9358</v>
      </c>
      <c r="B357" s="272" t="s">
        <v>10591</v>
      </c>
      <c r="C357" s="265" t="s">
        <v>9537</v>
      </c>
      <c r="D357" s="266" t="s">
        <v>9538</v>
      </c>
      <c r="E357" s="278" t="s">
        <v>10663</v>
      </c>
      <c r="F357" s="272" t="s">
        <v>9198</v>
      </c>
      <c r="G357" s="272" t="s">
        <v>9197</v>
      </c>
      <c r="H357" s="7" t="s">
        <v>10750</v>
      </c>
      <c r="I357" s="266" t="s">
        <v>10751</v>
      </c>
      <c r="J357" s="7" t="s">
        <v>10655</v>
      </c>
      <c r="K357" s="7" t="s">
        <v>10655</v>
      </c>
    </row>
    <row r="358" spans="1:11" ht="14.55" customHeight="1" x14ac:dyDescent="0.25">
      <c r="A358" s="272" t="s">
        <v>9358</v>
      </c>
      <c r="B358" s="272" t="s">
        <v>10591</v>
      </c>
      <c r="C358" s="265" t="s">
        <v>9537</v>
      </c>
      <c r="D358" s="266" t="s">
        <v>9538</v>
      </c>
      <c r="E358" s="278" t="s">
        <v>10663</v>
      </c>
      <c r="F358" s="272" t="s">
        <v>9198</v>
      </c>
      <c r="G358" s="272" t="s">
        <v>9197</v>
      </c>
      <c r="H358" s="7" t="s">
        <v>10617</v>
      </c>
      <c r="I358" s="266" t="s">
        <v>10618</v>
      </c>
      <c r="J358" s="7" t="s">
        <v>10602</v>
      </c>
      <c r="K358" s="7" t="s">
        <v>10663</v>
      </c>
    </row>
    <row r="359" spans="1:11" ht="14.55" customHeight="1" x14ac:dyDescent="0.25">
      <c r="A359" s="272" t="s">
        <v>9358</v>
      </c>
      <c r="B359" s="272" t="s">
        <v>10591</v>
      </c>
      <c r="C359" s="265" t="s">
        <v>9537</v>
      </c>
      <c r="D359" s="266" t="s">
        <v>9538</v>
      </c>
      <c r="E359" s="278" t="s">
        <v>10663</v>
      </c>
      <c r="F359" s="272" t="s">
        <v>9198</v>
      </c>
      <c r="G359" s="272" t="s">
        <v>9197</v>
      </c>
      <c r="H359" s="7" t="s">
        <v>10752</v>
      </c>
      <c r="I359" s="266" t="s">
        <v>10753</v>
      </c>
      <c r="J359" s="7" t="s">
        <v>10655</v>
      </c>
      <c r="K359" s="7" t="s">
        <v>10655</v>
      </c>
    </row>
    <row r="360" spans="1:11" ht="14.55" customHeight="1" x14ac:dyDescent="0.25">
      <c r="A360" s="272" t="s">
        <v>9358</v>
      </c>
      <c r="B360" s="272" t="s">
        <v>10591</v>
      </c>
      <c r="C360" s="265" t="s">
        <v>9537</v>
      </c>
      <c r="D360" s="266" t="s">
        <v>9538</v>
      </c>
      <c r="E360" s="278" t="s">
        <v>10663</v>
      </c>
      <c r="F360" s="272" t="s">
        <v>9198</v>
      </c>
      <c r="G360" s="272" t="s">
        <v>9197</v>
      </c>
      <c r="H360" s="7" t="s">
        <v>10754</v>
      </c>
      <c r="I360" s="266" t="s">
        <v>10755</v>
      </c>
      <c r="J360" s="7" t="s">
        <v>10655</v>
      </c>
      <c r="K360" s="7" t="s">
        <v>10655</v>
      </c>
    </row>
    <row r="361" spans="1:11" ht="14.55" customHeight="1" x14ac:dyDescent="0.25">
      <c r="A361" s="272" t="s">
        <v>9358</v>
      </c>
      <c r="B361" s="272" t="s">
        <v>10591</v>
      </c>
      <c r="C361" s="265" t="s">
        <v>9537</v>
      </c>
      <c r="D361" s="266" t="s">
        <v>9538</v>
      </c>
      <c r="E361" s="278" t="s">
        <v>10663</v>
      </c>
      <c r="F361" s="272" t="s">
        <v>9198</v>
      </c>
      <c r="G361" s="272" t="s">
        <v>9197</v>
      </c>
      <c r="H361" s="7" t="s">
        <v>10619</v>
      </c>
      <c r="I361" s="266" t="s">
        <v>10620</v>
      </c>
      <c r="J361" s="7" t="s">
        <v>10602</v>
      </c>
      <c r="K361" s="7" t="s">
        <v>10663</v>
      </c>
    </row>
    <row r="362" spans="1:11" ht="14.55" customHeight="1" x14ac:dyDescent="0.25">
      <c r="A362" s="272" t="s">
        <v>9358</v>
      </c>
      <c r="B362" s="272" t="s">
        <v>10591</v>
      </c>
      <c r="C362" s="265" t="s">
        <v>9537</v>
      </c>
      <c r="D362" s="266" t="s">
        <v>9538</v>
      </c>
      <c r="E362" s="278" t="s">
        <v>10663</v>
      </c>
      <c r="F362" s="272" t="s">
        <v>9198</v>
      </c>
      <c r="G362" s="272" t="s">
        <v>9197</v>
      </c>
      <c r="H362" s="7" t="s">
        <v>10756</v>
      </c>
      <c r="I362" s="266" t="s">
        <v>10757</v>
      </c>
      <c r="J362" s="7" t="s">
        <v>10655</v>
      </c>
      <c r="K362" s="7" t="s">
        <v>10655</v>
      </c>
    </row>
    <row r="363" spans="1:11" ht="14.55" customHeight="1" x14ac:dyDescent="0.25">
      <c r="A363" s="272" t="s">
        <v>9358</v>
      </c>
      <c r="B363" s="272" t="s">
        <v>10591</v>
      </c>
      <c r="C363" s="265" t="s">
        <v>9537</v>
      </c>
      <c r="D363" s="266" t="s">
        <v>9538</v>
      </c>
      <c r="E363" s="278" t="s">
        <v>10663</v>
      </c>
      <c r="F363" s="272" t="s">
        <v>9198</v>
      </c>
      <c r="G363" s="272" t="s">
        <v>9197</v>
      </c>
      <c r="H363" s="7" t="s">
        <v>10621</v>
      </c>
      <c r="I363" s="266" t="s">
        <v>10622</v>
      </c>
      <c r="J363" s="7" t="s">
        <v>10602</v>
      </c>
      <c r="K363" s="7" t="s">
        <v>10663</v>
      </c>
    </row>
    <row r="364" spans="1:11" ht="14.55" customHeight="1" x14ac:dyDescent="0.25">
      <c r="A364" s="272" t="s">
        <v>9358</v>
      </c>
      <c r="B364" s="272" t="s">
        <v>10591</v>
      </c>
      <c r="C364" s="265" t="s">
        <v>9537</v>
      </c>
      <c r="D364" s="266" t="s">
        <v>9538</v>
      </c>
      <c r="E364" s="278" t="s">
        <v>10663</v>
      </c>
      <c r="F364" s="272" t="s">
        <v>9198</v>
      </c>
      <c r="G364" s="272" t="s">
        <v>9197</v>
      </c>
      <c r="H364" s="7" t="s">
        <v>10758</v>
      </c>
      <c r="I364" s="266" t="s">
        <v>10759</v>
      </c>
      <c r="J364" s="7" t="s">
        <v>10655</v>
      </c>
      <c r="K364" s="7" t="s">
        <v>10655</v>
      </c>
    </row>
    <row r="365" spans="1:11" ht="14.55" customHeight="1" x14ac:dyDescent="0.25">
      <c r="A365" s="272" t="s">
        <v>9358</v>
      </c>
      <c r="B365" s="272" t="s">
        <v>10591</v>
      </c>
      <c r="C365" s="265" t="s">
        <v>9537</v>
      </c>
      <c r="D365" s="266" t="s">
        <v>9538</v>
      </c>
      <c r="E365" s="278" t="s">
        <v>10663</v>
      </c>
      <c r="F365" s="272" t="s">
        <v>9198</v>
      </c>
      <c r="G365" s="272" t="s">
        <v>9197</v>
      </c>
      <c r="H365" s="7" t="s">
        <v>10623</v>
      </c>
      <c r="I365" s="266" t="s">
        <v>10760</v>
      </c>
      <c r="J365" s="7" t="s">
        <v>10602</v>
      </c>
      <c r="K365" s="7" t="s">
        <v>10663</v>
      </c>
    </row>
    <row r="366" spans="1:11" ht="14.55" customHeight="1" x14ac:dyDescent="0.25">
      <c r="A366" s="272" t="s">
        <v>9358</v>
      </c>
      <c r="B366" s="272" t="s">
        <v>10591</v>
      </c>
      <c r="C366" s="265" t="s">
        <v>9537</v>
      </c>
      <c r="D366" s="266" t="s">
        <v>9538</v>
      </c>
      <c r="E366" s="278" t="s">
        <v>10663</v>
      </c>
      <c r="F366" s="272" t="s">
        <v>9198</v>
      </c>
      <c r="G366" s="272" t="s">
        <v>9197</v>
      </c>
      <c r="H366" s="7" t="s">
        <v>10625</v>
      </c>
      <c r="I366" s="266" t="s">
        <v>10626</v>
      </c>
      <c r="J366" s="7" t="s">
        <v>10602</v>
      </c>
      <c r="K366" s="7" t="s">
        <v>10663</v>
      </c>
    </row>
    <row r="367" spans="1:11" ht="14.55" customHeight="1" x14ac:dyDescent="0.25">
      <c r="A367" s="272" t="s">
        <v>9358</v>
      </c>
      <c r="B367" s="272" t="s">
        <v>10591</v>
      </c>
      <c r="C367" s="265" t="s">
        <v>9537</v>
      </c>
      <c r="D367" s="266" t="s">
        <v>9538</v>
      </c>
      <c r="E367" s="278" t="s">
        <v>10663</v>
      </c>
      <c r="F367" s="272" t="s">
        <v>9198</v>
      </c>
      <c r="G367" s="272" t="s">
        <v>9197</v>
      </c>
      <c r="H367" s="7" t="s">
        <v>10627</v>
      </c>
      <c r="I367" s="266" t="s">
        <v>10761</v>
      </c>
      <c r="J367" s="7" t="s">
        <v>10602</v>
      </c>
      <c r="K367" s="7" t="s">
        <v>10663</v>
      </c>
    </row>
    <row r="368" spans="1:11" ht="14.55" customHeight="1" x14ac:dyDescent="0.25">
      <c r="A368" s="272" t="s">
        <v>9358</v>
      </c>
      <c r="B368" s="272" t="s">
        <v>10591</v>
      </c>
      <c r="C368" s="265" t="s">
        <v>9537</v>
      </c>
      <c r="D368" s="266" t="s">
        <v>9538</v>
      </c>
      <c r="E368" s="278" t="s">
        <v>10663</v>
      </c>
      <c r="F368" s="272" t="s">
        <v>9198</v>
      </c>
      <c r="G368" s="272" t="s">
        <v>9197</v>
      </c>
      <c r="H368" s="7" t="s">
        <v>10629</v>
      </c>
      <c r="I368" s="266" t="s">
        <v>10762</v>
      </c>
      <c r="J368" s="7" t="s">
        <v>10602</v>
      </c>
      <c r="K368" s="7" t="s">
        <v>10663</v>
      </c>
    </row>
    <row r="369" spans="1:11" ht="14.55" customHeight="1" x14ac:dyDescent="0.25">
      <c r="A369" s="272" t="s">
        <v>9358</v>
      </c>
      <c r="B369" s="272" t="s">
        <v>10591</v>
      </c>
      <c r="C369" s="265" t="s">
        <v>9537</v>
      </c>
      <c r="D369" s="266" t="s">
        <v>9538</v>
      </c>
      <c r="E369" s="278" t="s">
        <v>10663</v>
      </c>
      <c r="F369" s="272" t="s">
        <v>9198</v>
      </c>
      <c r="G369" s="272" t="s">
        <v>9197</v>
      </c>
      <c r="H369" s="7" t="s">
        <v>10631</v>
      </c>
      <c r="I369" s="266" t="s">
        <v>10763</v>
      </c>
      <c r="J369" s="7" t="s">
        <v>10602</v>
      </c>
      <c r="K369" s="7" t="s">
        <v>10663</v>
      </c>
    </row>
    <row r="370" spans="1:11" ht="14.55" customHeight="1" x14ac:dyDescent="0.25">
      <c r="A370" s="272" t="s">
        <v>9358</v>
      </c>
      <c r="B370" s="272" t="s">
        <v>10591</v>
      </c>
      <c r="C370" s="265" t="s">
        <v>9537</v>
      </c>
      <c r="D370" s="266" t="s">
        <v>9538</v>
      </c>
      <c r="E370" s="278" t="s">
        <v>10663</v>
      </c>
      <c r="F370" s="272" t="s">
        <v>9198</v>
      </c>
      <c r="G370" s="272" t="s">
        <v>9197</v>
      </c>
      <c r="H370" s="7" t="s">
        <v>10633</v>
      </c>
      <c r="I370" s="266" t="s">
        <v>10764</v>
      </c>
      <c r="J370" s="7" t="s">
        <v>10602</v>
      </c>
      <c r="K370" s="7" t="s">
        <v>10663</v>
      </c>
    </row>
    <row r="371" spans="1:11" ht="14.55" customHeight="1" x14ac:dyDescent="0.25">
      <c r="A371" s="272" t="s">
        <v>9358</v>
      </c>
      <c r="B371" s="272" t="s">
        <v>10591</v>
      </c>
      <c r="C371" s="265" t="s">
        <v>9537</v>
      </c>
      <c r="D371" s="266" t="s">
        <v>9538</v>
      </c>
      <c r="E371" s="278" t="s">
        <v>10663</v>
      </c>
      <c r="F371" s="272" t="s">
        <v>9198</v>
      </c>
      <c r="G371" s="272" t="s">
        <v>9197</v>
      </c>
      <c r="H371" s="7" t="s">
        <v>10765</v>
      </c>
      <c r="I371" s="266" t="s">
        <v>10766</v>
      </c>
      <c r="J371" s="7" t="s">
        <v>10655</v>
      </c>
      <c r="K371" s="7" t="s">
        <v>10655</v>
      </c>
    </row>
    <row r="372" spans="1:11" ht="14.55" customHeight="1" x14ac:dyDescent="0.25">
      <c r="A372" s="272" t="s">
        <v>9358</v>
      </c>
      <c r="B372" s="272" t="s">
        <v>10591</v>
      </c>
      <c r="C372" s="265" t="s">
        <v>9537</v>
      </c>
      <c r="D372" s="266" t="s">
        <v>9538</v>
      </c>
      <c r="E372" s="278" t="s">
        <v>10663</v>
      </c>
      <c r="F372" s="272" t="s">
        <v>9198</v>
      </c>
      <c r="G372" s="272" t="s">
        <v>9197</v>
      </c>
      <c r="H372" s="7" t="s">
        <v>10635</v>
      </c>
      <c r="I372" s="266" t="s">
        <v>10636</v>
      </c>
      <c r="J372" s="7" t="s">
        <v>10602</v>
      </c>
      <c r="K372" s="7" t="s">
        <v>10663</v>
      </c>
    </row>
    <row r="373" spans="1:11" ht="14.55" customHeight="1" x14ac:dyDescent="0.25">
      <c r="A373" s="272" t="s">
        <v>9358</v>
      </c>
      <c r="B373" s="272" t="s">
        <v>10591</v>
      </c>
      <c r="C373" s="265" t="s">
        <v>9537</v>
      </c>
      <c r="D373" s="266" t="s">
        <v>9538</v>
      </c>
      <c r="E373" s="278" t="s">
        <v>10663</v>
      </c>
      <c r="F373" s="272" t="s">
        <v>9198</v>
      </c>
      <c r="G373" s="272" t="s">
        <v>9197</v>
      </c>
      <c r="H373" s="7" t="s">
        <v>10637</v>
      </c>
      <c r="I373" s="266" t="s">
        <v>10638</v>
      </c>
      <c r="J373" s="7" t="s">
        <v>10602</v>
      </c>
      <c r="K373" s="7" t="s">
        <v>10663</v>
      </c>
    </row>
    <row r="374" spans="1:11" ht="14.55" customHeight="1" x14ac:dyDescent="0.25">
      <c r="A374" s="272" t="s">
        <v>9358</v>
      </c>
      <c r="B374" s="272" t="s">
        <v>10591</v>
      </c>
      <c r="C374" s="265" t="s">
        <v>9537</v>
      </c>
      <c r="D374" s="266" t="s">
        <v>9538</v>
      </c>
      <c r="E374" s="278" t="s">
        <v>10663</v>
      </c>
      <c r="F374" s="272" t="s">
        <v>9198</v>
      </c>
      <c r="G374" s="272" t="s">
        <v>9197</v>
      </c>
      <c r="H374" s="7" t="s">
        <v>10639</v>
      </c>
      <c r="I374" s="266" t="s">
        <v>9368</v>
      </c>
      <c r="J374" s="7" t="s">
        <v>10602</v>
      </c>
      <c r="K374" s="7" t="s">
        <v>10663</v>
      </c>
    </row>
    <row r="375" spans="1:11" ht="14.55" customHeight="1" x14ac:dyDescent="0.25">
      <c r="A375" s="272" t="s">
        <v>9358</v>
      </c>
      <c r="B375" s="272" t="s">
        <v>10591</v>
      </c>
      <c r="C375" s="265" t="s">
        <v>9537</v>
      </c>
      <c r="D375" s="266" t="s">
        <v>9538</v>
      </c>
      <c r="E375" s="278" t="s">
        <v>10663</v>
      </c>
      <c r="F375" s="272" t="s">
        <v>9198</v>
      </c>
      <c r="G375" s="272" t="s">
        <v>9197</v>
      </c>
      <c r="H375" s="7" t="s">
        <v>10767</v>
      </c>
      <c r="I375" s="266" t="s">
        <v>10768</v>
      </c>
      <c r="J375" s="7" t="s">
        <v>10655</v>
      </c>
      <c r="K375" s="7" t="s">
        <v>10655</v>
      </c>
    </row>
    <row r="376" spans="1:11" ht="14.55" customHeight="1" x14ac:dyDescent="0.25">
      <c r="A376" s="272" t="s">
        <v>9358</v>
      </c>
      <c r="B376" s="272" t="s">
        <v>10591</v>
      </c>
      <c r="C376" s="265" t="s">
        <v>9537</v>
      </c>
      <c r="D376" s="266" t="s">
        <v>9538</v>
      </c>
      <c r="E376" s="278" t="s">
        <v>10663</v>
      </c>
      <c r="F376" s="272" t="s">
        <v>9198</v>
      </c>
      <c r="G376" s="272" t="s">
        <v>9197</v>
      </c>
      <c r="H376" s="7" t="s">
        <v>10640</v>
      </c>
      <c r="I376" s="266" t="s">
        <v>9370</v>
      </c>
      <c r="J376" s="7" t="s">
        <v>10602</v>
      </c>
      <c r="K376" s="7" t="s">
        <v>10663</v>
      </c>
    </row>
    <row r="377" spans="1:11" ht="14.55" customHeight="1" x14ac:dyDescent="0.25">
      <c r="A377" s="272" t="s">
        <v>9358</v>
      </c>
      <c r="B377" s="272" t="s">
        <v>10591</v>
      </c>
      <c r="C377" s="265" t="s">
        <v>9537</v>
      </c>
      <c r="D377" s="266" t="s">
        <v>9538</v>
      </c>
      <c r="E377" s="278" t="s">
        <v>10663</v>
      </c>
      <c r="F377" s="272" t="s">
        <v>9198</v>
      </c>
      <c r="G377" s="272" t="s">
        <v>9197</v>
      </c>
      <c r="H377" s="7" t="s">
        <v>10769</v>
      </c>
      <c r="I377" s="266" t="s">
        <v>10770</v>
      </c>
      <c r="J377" s="7" t="s">
        <v>10655</v>
      </c>
      <c r="K377" s="7" t="s">
        <v>10655</v>
      </c>
    </row>
    <row r="378" spans="1:11" ht="14.55" customHeight="1" x14ac:dyDescent="0.25">
      <c r="A378" s="286" t="s">
        <v>9358</v>
      </c>
      <c r="B378" s="293" t="s">
        <v>10591</v>
      </c>
      <c r="C378" s="294" t="s">
        <v>9537</v>
      </c>
      <c r="D378" s="353" t="s">
        <v>9538</v>
      </c>
      <c r="E378" s="357" t="s">
        <v>10663</v>
      </c>
      <c r="F378" s="293" t="s">
        <v>9198</v>
      </c>
      <c r="G378" s="293" t="s">
        <v>9197</v>
      </c>
      <c r="H378" s="354" t="s">
        <v>13482</v>
      </c>
      <c r="I378" s="264" t="s">
        <v>13483</v>
      </c>
      <c r="J378" s="354" t="s">
        <v>10602</v>
      </c>
      <c r="K378" s="275" t="s">
        <v>10663</v>
      </c>
    </row>
    <row r="379" spans="1:11" ht="14.55" customHeight="1" x14ac:dyDescent="0.25">
      <c r="A379" s="272" t="s">
        <v>9358</v>
      </c>
      <c r="B379" s="272" t="s">
        <v>10591</v>
      </c>
      <c r="C379" s="265" t="s">
        <v>9539</v>
      </c>
      <c r="D379" s="266" t="s">
        <v>9540</v>
      </c>
      <c r="E379" s="278" t="s">
        <v>10663</v>
      </c>
      <c r="F379" s="272" t="s">
        <v>9198</v>
      </c>
      <c r="G379" s="272" t="s">
        <v>9197</v>
      </c>
      <c r="H379" s="7" t="s">
        <v>10771</v>
      </c>
      <c r="I379" s="266" t="s">
        <v>10772</v>
      </c>
      <c r="J379" s="7" t="s">
        <v>10655</v>
      </c>
      <c r="K379" s="7" t="s">
        <v>10655</v>
      </c>
    </row>
    <row r="380" spans="1:11" ht="14.55" customHeight="1" x14ac:dyDescent="0.25">
      <c r="A380" s="286" t="s">
        <v>9358</v>
      </c>
      <c r="B380" s="293" t="s">
        <v>10591</v>
      </c>
      <c r="C380" s="294" t="s">
        <v>9539</v>
      </c>
      <c r="D380" s="353" t="s">
        <v>9540</v>
      </c>
      <c r="E380" s="357" t="s">
        <v>10663</v>
      </c>
      <c r="F380" s="293" t="s">
        <v>9198</v>
      </c>
      <c r="G380" s="293" t="s">
        <v>9197</v>
      </c>
      <c r="H380" s="354" t="s">
        <v>13482</v>
      </c>
      <c r="I380" s="264" t="s">
        <v>13483</v>
      </c>
      <c r="J380" s="354" t="s">
        <v>10602</v>
      </c>
      <c r="K380" s="275" t="s">
        <v>10663</v>
      </c>
    </row>
    <row r="381" spans="1:11" ht="14.55" customHeight="1" x14ac:dyDescent="0.25">
      <c r="A381" s="272" t="s">
        <v>9358</v>
      </c>
      <c r="B381" s="272" t="s">
        <v>10591</v>
      </c>
      <c r="C381" s="265" t="s">
        <v>9539</v>
      </c>
      <c r="D381" s="266" t="s">
        <v>9540</v>
      </c>
      <c r="E381" s="278" t="s">
        <v>10663</v>
      </c>
      <c r="F381" s="272" t="s">
        <v>9198</v>
      </c>
      <c r="G381" s="272" t="s">
        <v>9197</v>
      </c>
      <c r="H381" s="7" t="s">
        <v>10773</v>
      </c>
      <c r="I381" s="266" t="s">
        <v>10774</v>
      </c>
      <c r="J381" s="7" t="s">
        <v>10658</v>
      </c>
      <c r="K381" s="7" t="s">
        <v>10658</v>
      </c>
    </row>
    <row r="382" spans="1:11" ht="14.55" customHeight="1" x14ac:dyDescent="0.25">
      <c r="A382" s="272" t="s">
        <v>9358</v>
      </c>
      <c r="B382" s="272" t="s">
        <v>10591</v>
      </c>
      <c r="C382" s="265" t="s">
        <v>9541</v>
      </c>
      <c r="D382" s="266" t="s">
        <v>9542</v>
      </c>
      <c r="E382" s="278" t="s">
        <v>10659</v>
      </c>
      <c r="F382" s="272" t="s">
        <v>9198</v>
      </c>
      <c r="G382" s="272" t="s">
        <v>9197</v>
      </c>
      <c r="H382" s="7" t="s">
        <v>10639</v>
      </c>
      <c r="I382" s="266" t="s">
        <v>9368</v>
      </c>
      <c r="J382" s="7" t="s">
        <v>10602</v>
      </c>
      <c r="K382" s="265" t="s">
        <v>10659</v>
      </c>
    </row>
    <row r="383" spans="1:11" ht="14.55" customHeight="1" x14ac:dyDescent="0.25">
      <c r="A383" s="272" t="s">
        <v>9358</v>
      </c>
      <c r="B383" s="272" t="s">
        <v>10591</v>
      </c>
      <c r="C383" s="265" t="s">
        <v>9541</v>
      </c>
      <c r="D383" s="266" t="s">
        <v>9542</v>
      </c>
      <c r="E383" s="278" t="s">
        <v>10659</v>
      </c>
      <c r="F383" s="272" t="s">
        <v>9198</v>
      </c>
      <c r="G383" s="272" t="s">
        <v>9197</v>
      </c>
      <c r="H383" s="7" t="s">
        <v>10767</v>
      </c>
      <c r="I383" s="266" t="s">
        <v>10768</v>
      </c>
      <c r="J383" s="7" t="s">
        <v>10655</v>
      </c>
      <c r="K383" s="265" t="s">
        <v>10659</v>
      </c>
    </row>
    <row r="384" spans="1:11" ht="14.55" customHeight="1" x14ac:dyDescent="0.25">
      <c r="A384" s="286" t="s">
        <v>9358</v>
      </c>
      <c r="B384" s="293" t="s">
        <v>10591</v>
      </c>
      <c r="C384" s="294" t="s">
        <v>9541</v>
      </c>
      <c r="D384" s="353" t="s">
        <v>9542</v>
      </c>
      <c r="E384" s="357" t="s">
        <v>10659</v>
      </c>
      <c r="F384" s="293" t="s">
        <v>9198</v>
      </c>
      <c r="G384" s="293" t="s">
        <v>9197</v>
      </c>
      <c r="H384" s="354" t="s">
        <v>13482</v>
      </c>
      <c r="I384" s="264" t="s">
        <v>13483</v>
      </c>
      <c r="J384" s="354" t="s">
        <v>10602</v>
      </c>
      <c r="K384" s="275" t="s">
        <v>10659</v>
      </c>
    </row>
    <row r="385" spans="1:11" ht="14.55" customHeight="1" x14ac:dyDescent="0.25">
      <c r="A385" s="272" t="s">
        <v>9358</v>
      </c>
      <c r="B385" s="272" t="s">
        <v>10591</v>
      </c>
      <c r="C385" s="265" t="s">
        <v>9543</v>
      </c>
      <c r="D385" s="266" t="s">
        <v>9544</v>
      </c>
      <c r="E385" s="278" t="s">
        <v>10659</v>
      </c>
      <c r="F385" s="272" t="s">
        <v>9198</v>
      </c>
      <c r="G385" s="272" t="s">
        <v>9197</v>
      </c>
      <c r="H385" s="7" t="s">
        <v>10639</v>
      </c>
      <c r="I385" s="266" t="s">
        <v>9368</v>
      </c>
      <c r="J385" s="7" t="s">
        <v>10602</v>
      </c>
      <c r="K385" s="265" t="s">
        <v>10659</v>
      </c>
    </row>
    <row r="386" spans="1:11" ht="14.55" customHeight="1" x14ac:dyDescent="0.25">
      <c r="A386" s="272" t="s">
        <v>9358</v>
      </c>
      <c r="B386" s="272" t="s">
        <v>10591</v>
      </c>
      <c r="C386" s="265" t="s">
        <v>9543</v>
      </c>
      <c r="D386" s="266" t="s">
        <v>9544</v>
      </c>
      <c r="E386" s="278" t="s">
        <v>10659</v>
      </c>
      <c r="F386" s="272" t="s">
        <v>9198</v>
      </c>
      <c r="G386" s="272" t="s">
        <v>9197</v>
      </c>
      <c r="H386" s="7" t="s">
        <v>10767</v>
      </c>
      <c r="I386" s="266" t="s">
        <v>10768</v>
      </c>
      <c r="J386" s="7" t="s">
        <v>10655</v>
      </c>
      <c r="K386" s="265" t="s">
        <v>10659</v>
      </c>
    </row>
    <row r="387" spans="1:11" ht="14.55" customHeight="1" x14ac:dyDescent="0.25">
      <c r="A387" s="286" t="s">
        <v>9358</v>
      </c>
      <c r="B387" s="293" t="s">
        <v>10591</v>
      </c>
      <c r="C387" s="294" t="s">
        <v>9543</v>
      </c>
      <c r="D387" s="353" t="s">
        <v>9544</v>
      </c>
      <c r="E387" s="357" t="s">
        <v>10659</v>
      </c>
      <c r="F387" s="293" t="s">
        <v>9198</v>
      </c>
      <c r="G387" s="293" t="s">
        <v>9197</v>
      </c>
      <c r="H387" s="354" t="s">
        <v>13482</v>
      </c>
      <c r="I387" s="264" t="s">
        <v>13483</v>
      </c>
      <c r="J387" s="354" t="s">
        <v>10602</v>
      </c>
      <c r="K387" s="275" t="s">
        <v>10659</v>
      </c>
    </row>
    <row r="388" spans="1:11" ht="14.55" customHeight="1" x14ac:dyDescent="0.25">
      <c r="A388" s="272" t="s">
        <v>9358</v>
      </c>
      <c r="B388" s="272" t="s">
        <v>10591</v>
      </c>
      <c r="C388" s="265" t="s">
        <v>9545</v>
      </c>
      <c r="D388" s="266" t="s">
        <v>9546</v>
      </c>
      <c r="E388" s="278" t="s">
        <v>10663</v>
      </c>
      <c r="F388" s="272" t="s">
        <v>9198</v>
      </c>
      <c r="G388" s="272" t="s">
        <v>9197</v>
      </c>
      <c r="H388" s="7" t="s">
        <v>10639</v>
      </c>
      <c r="I388" s="127" t="s">
        <v>9368</v>
      </c>
      <c r="J388" s="7" t="s">
        <v>10602</v>
      </c>
      <c r="K388" s="265" t="s">
        <v>10663</v>
      </c>
    </row>
    <row r="389" spans="1:11" ht="14.55" customHeight="1" x14ac:dyDescent="0.25">
      <c r="A389" s="272" t="s">
        <v>9358</v>
      </c>
      <c r="B389" s="272" t="s">
        <v>10591</v>
      </c>
      <c r="C389" s="265" t="s">
        <v>9545</v>
      </c>
      <c r="D389" s="266" t="s">
        <v>9546</v>
      </c>
      <c r="E389" s="278" t="s">
        <v>10663</v>
      </c>
      <c r="F389" s="272" t="s">
        <v>9198</v>
      </c>
      <c r="G389" s="272" t="s">
        <v>9197</v>
      </c>
      <c r="H389" s="7" t="s">
        <v>10767</v>
      </c>
      <c r="I389" s="127" t="s">
        <v>10768</v>
      </c>
      <c r="J389" s="7" t="s">
        <v>10655</v>
      </c>
      <c r="K389" s="265" t="s">
        <v>10655</v>
      </c>
    </row>
    <row r="390" spans="1:11" ht="14.55" customHeight="1" x14ac:dyDescent="0.25">
      <c r="A390" s="286" t="s">
        <v>9358</v>
      </c>
      <c r="B390" s="293" t="s">
        <v>10591</v>
      </c>
      <c r="C390" s="294" t="s">
        <v>9545</v>
      </c>
      <c r="D390" s="353" t="s">
        <v>9546</v>
      </c>
      <c r="E390" s="357" t="s">
        <v>10663</v>
      </c>
      <c r="F390" s="293" t="s">
        <v>9198</v>
      </c>
      <c r="G390" s="293" t="s">
        <v>9197</v>
      </c>
      <c r="H390" s="354" t="s">
        <v>13482</v>
      </c>
      <c r="I390" s="264" t="s">
        <v>13483</v>
      </c>
      <c r="J390" s="354" t="s">
        <v>10602</v>
      </c>
      <c r="K390" s="275" t="s">
        <v>10663</v>
      </c>
    </row>
    <row r="391" spans="1:11" ht="14.55" customHeight="1" x14ac:dyDescent="0.25">
      <c r="A391" s="272" t="s">
        <v>9358</v>
      </c>
      <c r="B391" s="272" t="s">
        <v>10591</v>
      </c>
      <c r="C391" s="265" t="s">
        <v>9545</v>
      </c>
      <c r="D391" s="266" t="s">
        <v>9546</v>
      </c>
      <c r="E391" s="278" t="s">
        <v>10663</v>
      </c>
      <c r="F391" s="272" t="s">
        <v>9198</v>
      </c>
      <c r="G391" s="272" t="s">
        <v>9197</v>
      </c>
      <c r="H391" s="7" t="s">
        <v>10775</v>
      </c>
      <c r="I391" s="127" t="s">
        <v>10776</v>
      </c>
      <c r="J391" s="7" t="s">
        <v>10658</v>
      </c>
      <c r="K391" s="265" t="s">
        <v>10658</v>
      </c>
    </row>
    <row r="392" spans="1:11" ht="14.55" customHeight="1" x14ac:dyDescent="0.25">
      <c r="A392" s="272" t="s">
        <v>9358</v>
      </c>
      <c r="B392" s="272" t="s">
        <v>10591</v>
      </c>
      <c r="C392" s="265" t="s">
        <v>9547</v>
      </c>
      <c r="D392" s="266" t="s">
        <v>9548</v>
      </c>
      <c r="E392" s="278" t="s">
        <v>10659</v>
      </c>
      <c r="F392" s="272" t="s">
        <v>9198</v>
      </c>
      <c r="G392" s="272" t="s">
        <v>9197</v>
      </c>
      <c r="H392" s="7" t="s">
        <v>10640</v>
      </c>
      <c r="I392" s="127" t="s">
        <v>9370</v>
      </c>
      <c r="J392" s="7" t="s">
        <v>10602</v>
      </c>
      <c r="K392" s="265" t="s">
        <v>10659</v>
      </c>
    </row>
    <row r="393" spans="1:11" ht="14.55" customHeight="1" x14ac:dyDescent="0.25">
      <c r="A393" s="272" t="s">
        <v>9358</v>
      </c>
      <c r="B393" s="272" t="s">
        <v>10591</v>
      </c>
      <c r="C393" s="265" t="s">
        <v>9547</v>
      </c>
      <c r="D393" s="266" t="s">
        <v>9548</v>
      </c>
      <c r="E393" s="278" t="s">
        <v>10659</v>
      </c>
      <c r="F393" s="272" t="s">
        <v>9198</v>
      </c>
      <c r="G393" s="272" t="s">
        <v>9197</v>
      </c>
      <c r="H393" s="7" t="s">
        <v>10769</v>
      </c>
      <c r="I393" s="127" t="s">
        <v>10770</v>
      </c>
      <c r="J393" s="7" t="s">
        <v>10655</v>
      </c>
      <c r="K393" s="265" t="s">
        <v>10659</v>
      </c>
    </row>
    <row r="394" spans="1:11" ht="14.55" customHeight="1" x14ac:dyDescent="0.25">
      <c r="A394" s="286" t="s">
        <v>9358</v>
      </c>
      <c r="B394" s="293" t="s">
        <v>10591</v>
      </c>
      <c r="C394" s="294" t="s">
        <v>9547</v>
      </c>
      <c r="D394" s="353" t="s">
        <v>9548</v>
      </c>
      <c r="E394" s="357" t="s">
        <v>10659</v>
      </c>
      <c r="F394" s="293" t="s">
        <v>9198</v>
      </c>
      <c r="G394" s="293" t="s">
        <v>9197</v>
      </c>
      <c r="H394" s="354" t="s">
        <v>13482</v>
      </c>
      <c r="I394" s="264" t="s">
        <v>13483</v>
      </c>
      <c r="J394" s="354" t="s">
        <v>10602</v>
      </c>
      <c r="K394" s="275" t="s">
        <v>10659</v>
      </c>
    </row>
    <row r="395" spans="1:11" ht="14.55" customHeight="1" x14ac:dyDescent="0.25">
      <c r="A395" s="272" t="s">
        <v>9358</v>
      </c>
      <c r="B395" s="272" t="s">
        <v>10591</v>
      </c>
      <c r="C395" s="265" t="s">
        <v>9549</v>
      </c>
      <c r="D395" s="266" t="s">
        <v>9550</v>
      </c>
      <c r="E395" s="278" t="s">
        <v>10659</v>
      </c>
      <c r="F395" s="272" t="s">
        <v>9198</v>
      </c>
      <c r="G395" s="272" t="s">
        <v>9197</v>
      </c>
      <c r="H395" s="7" t="s">
        <v>10640</v>
      </c>
      <c r="I395" s="127" t="s">
        <v>9370</v>
      </c>
      <c r="J395" s="7" t="s">
        <v>10602</v>
      </c>
      <c r="K395" s="265" t="s">
        <v>10659</v>
      </c>
    </row>
    <row r="396" spans="1:11" ht="14.55" customHeight="1" x14ac:dyDescent="0.25">
      <c r="A396" s="272" t="s">
        <v>9358</v>
      </c>
      <c r="B396" s="272" t="s">
        <v>10591</v>
      </c>
      <c r="C396" s="265" t="s">
        <v>9549</v>
      </c>
      <c r="D396" s="266" t="s">
        <v>9550</v>
      </c>
      <c r="E396" s="278" t="s">
        <v>10659</v>
      </c>
      <c r="F396" s="272" t="s">
        <v>9198</v>
      </c>
      <c r="G396" s="272" t="s">
        <v>9197</v>
      </c>
      <c r="H396" s="7" t="s">
        <v>10769</v>
      </c>
      <c r="I396" s="127" t="s">
        <v>10770</v>
      </c>
      <c r="J396" s="7" t="s">
        <v>10655</v>
      </c>
      <c r="K396" s="265" t="s">
        <v>10659</v>
      </c>
    </row>
    <row r="397" spans="1:11" ht="14.55" customHeight="1" x14ac:dyDescent="0.25">
      <c r="A397" s="286" t="s">
        <v>9358</v>
      </c>
      <c r="B397" s="293" t="s">
        <v>10591</v>
      </c>
      <c r="C397" s="294" t="s">
        <v>9549</v>
      </c>
      <c r="D397" s="353" t="s">
        <v>9550</v>
      </c>
      <c r="E397" s="357" t="s">
        <v>10659</v>
      </c>
      <c r="F397" s="293" t="s">
        <v>9198</v>
      </c>
      <c r="G397" s="293" t="s">
        <v>9197</v>
      </c>
      <c r="H397" s="354" t="s">
        <v>13482</v>
      </c>
      <c r="I397" s="264" t="s">
        <v>13483</v>
      </c>
      <c r="J397" s="354" t="s">
        <v>10602</v>
      </c>
      <c r="K397" s="275" t="s">
        <v>10659</v>
      </c>
    </row>
    <row r="398" spans="1:11" ht="14.55" customHeight="1" x14ac:dyDescent="0.25">
      <c r="A398" s="272" t="s">
        <v>9358</v>
      </c>
      <c r="B398" s="272" t="s">
        <v>10591</v>
      </c>
      <c r="C398" s="265" t="s">
        <v>9551</v>
      </c>
      <c r="D398" s="266" t="s">
        <v>9552</v>
      </c>
      <c r="E398" s="278" t="s">
        <v>10663</v>
      </c>
      <c r="F398" s="272" t="s">
        <v>9198</v>
      </c>
      <c r="G398" s="272" t="s">
        <v>9197</v>
      </c>
      <c r="H398" s="7" t="s">
        <v>10640</v>
      </c>
      <c r="I398" s="266" t="s">
        <v>9370</v>
      </c>
      <c r="J398" s="7" t="s">
        <v>10602</v>
      </c>
      <c r="K398" s="265" t="s">
        <v>10663</v>
      </c>
    </row>
    <row r="399" spans="1:11" ht="14.55" customHeight="1" x14ac:dyDescent="0.25">
      <c r="A399" s="272" t="s">
        <v>9358</v>
      </c>
      <c r="B399" s="272" t="s">
        <v>10591</v>
      </c>
      <c r="C399" s="265" t="s">
        <v>9551</v>
      </c>
      <c r="D399" s="266" t="s">
        <v>9552</v>
      </c>
      <c r="E399" s="278" t="s">
        <v>10663</v>
      </c>
      <c r="F399" s="272" t="s">
        <v>9198</v>
      </c>
      <c r="G399" s="272" t="s">
        <v>9197</v>
      </c>
      <c r="H399" s="7" t="s">
        <v>10769</v>
      </c>
      <c r="I399" s="266" t="s">
        <v>10770</v>
      </c>
      <c r="J399" s="7" t="s">
        <v>10655</v>
      </c>
      <c r="K399" s="265" t="s">
        <v>10655</v>
      </c>
    </row>
    <row r="400" spans="1:11" ht="14.55" customHeight="1" x14ac:dyDescent="0.25">
      <c r="A400" s="286" t="s">
        <v>9358</v>
      </c>
      <c r="B400" s="293" t="s">
        <v>10591</v>
      </c>
      <c r="C400" s="294" t="s">
        <v>9551</v>
      </c>
      <c r="D400" s="353" t="s">
        <v>9552</v>
      </c>
      <c r="E400" s="357" t="s">
        <v>10663</v>
      </c>
      <c r="F400" s="293" t="s">
        <v>9198</v>
      </c>
      <c r="G400" s="293" t="s">
        <v>9197</v>
      </c>
      <c r="H400" s="354" t="s">
        <v>13482</v>
      </c>
      <c r="I400" s="264" t="s">
        <v>13483</v>
      </c>
      <c r="J400" s="354" t="s">
        <v>10602</v>
      </c>
      <c r="K400" s="275" t="s">
        <v>10663</v>
      </c>
    </row>
    <row r="401" spans="1:11" ht="14.55" customHeight="1" x14ac:dyDescent="0.25">
      <c r="A401" s="272" t="s">
        <v>9358</v>
      </c>
      <c r="B401" s="272" t="s">
        <v>10591</v>
      </c>
      <c r="C401" s="265" t="s">
        <v>9551</v>
      </c>
      <c r="D401" s="266" t="s">
        <v>9552</v>
      </c>
      <c r="E401" s="278" t="s">
        <v>10663</v>
      </c>
      <c r="F401" s="272" t="s">
        <v>9198</v>
      </c>
      <c r="G401" s="272" t="s">
        <v>9197</v>
      </c>
      <c r="H401" s="7" t="s">
        <v>10777</v>
      </c>
      <c r="I401" s="266" t="s">
        <v>10778</v>
      </c>
      <c r="J401" s="7" t="s">
        <v>10658</v>
      </c>
      <c r="K401" s="265" t="s">
        <v>10658</v>
      </c>
    </row>
    <row r="402" spans="1:11" ht="14.55" customHeight="1" x14ac:dyDescent="0.25">
      <c r="A402" s="272" t="s">
        <v>9358</v>
      </c>
      <c r="B402" s="272" t="s">
        <v>10591</v>
      </c>
      <c r="C402" s="265" t="s">
        <v>9553</v>
      </c>
      <c r="D402" s="266" t="s">
        <v>9554</v>
      </c>
      <c r="E402" s="278" t="s">
        <v>10663</v>
      </c>
      <c r="F402" s="272" t="s">
        <v>9198</v>
      </c>
      <c r="G402" s="272" t="s">
        <v>9197</v>
      </c>
      <c r="H402" s="7" t="s">
        <v>10641</v>
      </c>
      <c r="I402" s="266" t="s">
        <v>10642</v>
      </c>
      <c r="J402" s="7" t="s">
        <v>10602</v>
      </c>
      <c r="K402" s="265" t="s">
        <v>10663</v>
      </c>
    </row>
    <row r="403" spans="1:11" ht="14.55" customHeight="1" x14ac:dyDescent="0.25">
      <c r="A403" s="272" t="s">
        <v>9358</v>
      </c>
      <c r="B403" s="272" t="s">
        <v>10591</v>
      </c>
      <c r="C403" s="265" t="s">
        <v>9553</v>
      </c>
      <c r="D403" s="266" t="s">
        <v>9554</v>
      </c>
      <c r="E403" s="278" t="s">
        <v>10663</v>
      </c>
      <c r="F403" s="272" t="s">
        <v>9198</v>
      </c>
      <c r="G403" s="272" t="s">
        <v>9197</v>
      </c>
      <c r="H403" s="7" t="s">
        <v>10779</v>
      </c>
      <c r="I403" s="266" t="s">
        <v>10780</v>
      </c>
      <c r="J403" s="7" t="s">
        <v>10655</v>
      </c>
      <c r="K403" s="265" t="s">
        <v>10655</v>
      </c>
    </row>
    <row r="404" spans="1:11" ht="14.55" customHeight="1" x14ac:dyDescent="0.25">
      <c r="A404" s="286" t="s">
        <v>9358</v>
      </c>
      <c r="B404" s="293" t="s">
        <v>10591</v>
      </c>
      <c r="C404" s="294" t="s">
        <v>9553</v>
      </c>
      <c r="D404" s="353" t="s">
        <v>9554</v>
      </c>
      <c r="E404" s="357" t="s">
        <v>10663</v>
      </c>
      <c r="F404" s="293" t="s">
        <v>9198</v>
      </c>
      <c r="G404" s="293" t="s">
        <v>9197</v>
      </c>
      <c r="H404" s="354" t="s">
        <v>13482</v>
      </c>
      <c r="I404" s="264" t="s">
        <v>13483</v>
      </c>
      <c r="J404" s="354" t="s">
        <v>10602</v>
      </c>
      <c r="K404" s="275" t="s">
        <v>10663</v>
      </c>
    </row>
    <row r="405" spans="1:11" ht="14.55" customHeight="1" x14ac:dyDescent="0.25">
      <c r="A405" s="272" t="s">
        <v>9358</v>
      </c>
      <c r="B405" s="272" t="s">
        <v>10591</v>
      </c>
      <c r="C405" s="265" t="s">
        <v>9553</v>
      </c>
      <c r="D405" s="266" t="s">
        <v>9554</v>
      </c>
      <c r="E405" s="278" t="s">
        <v>10663</v>
      </c>
      <c r="F405" s="272" t="s">
        <v>9198</v>
      </c>
      <c r="G405" s="272" t="s">
        <v>9197</v>
      </c>
      <c r="H405" s="7" t="s">
        <v>10781</v>
      </c>
      <c r="I405" s="266" t="s">
        <v>10782</v>
      </c>
      <c r="J405" s="7" t="s">
        <v>10658</v>
      </c>
      <c r="K405" s="265" t="s">
        <v>10658</v>
      </c>
    </row>
    <row r="406" spans="1:11" s="127" customFormat="1" ht="14.55" customHeight="1" x14ac:dyDescent="0.25">
      <c r="A406" s="272" t="s">
        <v>9358</v>
      </c>
      <c r="B406" s="272" t="s">
        <v>10591</v>
      </c>
      <c r="C406" s="265" t="s">
        <v>9555</v>
      </c>
      <c r="D406" s="266" t="s">
        <v>9556</v>
      </c>
      <c r="E406" s="278" t="s">
        <v>10663</v>
      </c>
      <c r="F406" s="272" t="s">
        <v>9198</v>
      </c>
      <c r="G406" s="272" t="s">
        <v>9197</v>
      </c>
      <c r="H406" s="7" t="s">
        <v>10783</v>
      </c>
      <c r="I406" s="266" t="s">
        <v>10784</v>
      </c>
      <c r="J406" s="7" t="s">
        <v>10655</v>
      </c>
      <c r="K406" s="7" t="s">
        <v>10655</v>
      </c>
    </row>
    <row r="407" spans="1:11" s="127" customFormat="1" ht="14.55" customHeight="1" x14ac:dyDescent="0.25">
      <c r="A407" s="272" t="s">
        <v>9358</v>
      </c>
      <c r="B407" s="272" t="s">
        <v>10591</v>
      </c>
      <c r="C407" s="265" t="s">
        <v>9555</v>
      </c>
      <c r="D407" s="266" t="s">
        <v>9556</v>
      </c>
      <c r="E407" s="278" t="s">
        <v>10663</v>
      </c>
      <c r="F407" s="272" t="s">
        <v>9198</v>
      </c>
      <c r="G407" s="272" t="s">
        <v>9197</v>
      </c>
      <c r="H407" s="7" t="s">
        <v>10643</v>
      </c>
      <c r="I407" s="266" t="s">
        <v>10644</v>
      </c>
      <c r="J407" s="7" t="s">
        <v>10602</v>
      </c>
      <c r="K407" s="7" t="s">
        <v>10663</v>
      </c>
    </row>
    <row r="408" spans="1:11" ht="14.55" customHeight="1" x14ac:dyDescent="0.25">
      <c r="A408" s="286" t="s">
        <v>9358</v>
      </c>
      <c r="B408" s="293" t="s">
        <v>10591</v>
      </c>
      <c r="C408" s="294" t="s">
        <v>9555</v>
      </c>
      <c r="D408" s="353" t="s">
        <v>9556</v>
      </c>
      <c r="E408" s="357" t="s">
        <v>10663</v>
      </c>
      <c r="F408" s="293" t="s">
        <v>9198</v>
      </c>
      <c r="G408" s="293" t="s">
        <v>9197</v>
      </c>
      <c r="H408" s="354" t="s">
        <v>13482</v>
      </c>
      <c r="I408" s="264" t="s">
        <v>13483</v>
      </c>
      <c r="J408" s="354" t="s">
        <v>10602</v>
      </c>
      <c r="K408" s="275" t="s">
        <v>10663</v>
      </c>
    </row>
    <row r="409" spans="1:11" s="127" customFormat="1" ht="14.55" customHeight="1" x14ac:dyDescent="0.25">
      <c r="A409" s="272" t="s">
        <v>9358</v>
      </c>
      <c r="B409" s="272" t="s">
        <v>10591</v>
      </c>
      <c r="C409" s="265" t="s">
        <v>9555</v>
      </c>
      <c r="D409" s="266" t="s">
        <v>9556</v>
      </c>
      <c r="E409" s="278" t="s">
        <v>10663</v>
      </c>
      <c r="F409" s="272" t="s">
        <v>9198</v>
      </c>
      <c r="G409" s="272" t="s">
        <v>9197</v>
      </c>
      <c r="H409" s="7" t="s">
        <v>10785</v>
      </c>
      <c r="I409" s="266" t="s">
        <v>10786</v>
      </c>
      <c r="J409" s="7" t="s">
        <v>10658</v>
      </c>
      <c r="K409" s="7" t="s">
        <v>10658</v>
      </c>
    </row>
    <row r="410" spans="1:11" s="127" customFormat="1" ht="14.55" customHeight="1" x14ac:dyDescent="0.25">
      <c r="A410" s="272" t="s">
        <v>9358</v>
      </c>
      <c r="B410" s="272" t="s">
        <v>10591</v>
      </c>
      <c r="C410" s="265" t="s">
        <v>9557</v>
      </c>
      <c r="D410" s="266" t="s">
        <v>9558</v>
      </c>
      <c r="E410" s="278" t="s">
        <v>10663</v>
      </c>
      <c r="F410" s="272" t="s">
        <v>9198</v>
      </c>
      <c r="G410" s="272" t="s">
        <v>9197</v>
      </c>
      <c r="H410" s="7" t="s">
        <v>10787</v>
      </c>
      <c r="I410" s="266" t="s">
        <v>10788</v>
      </c>
      <c r="J410" s="7" t="s">
        <v>10655</v>
      </c>
      <c r="K410" s="7" t="s">
        <v>10663</v>
      </c>
    </row>
    <row r="411" spans="1:11" s="127" customFormat="1" ht="14.55" customHeight="1" x14ac:dyDescent="0.25">
      <c r="A411" s="272" t="s">
        <v>9358</v>
      </c>
      <c r="B411" s="272" t="s">
        <v>10591</v>
      </c>
      <c r="C411" s="265" t="s">
        <v>9559</v>
      </c>
      <c r="D411" s="266" t="s">
        <v>9560</v>
      </c>
      <c r="E411" s="278" t="s">
        <v>10663</v>
      </c>
      <c r="F411" s="272" t="s">
        <v>9198</v>
      </c>
      <c r="G411" s="272" t="s">
        <v>9197</v>
      </c>
      <c r="H411" s="7"/>
      <c r="I411" s="266" t="s">
        <v>10789</v>
      </c>
      <c r="J411" s="7"/>
      <c r="K411" s="7" t="s">
        <v>10663</v>
      </c>
    </row>
    <row r="412" spans="1:11" ht="14.55" customHeight="1" x14ac:dyDescent="0.25">
      <c r="A412" s="286" t="s">
        <v>9358</v>
      </c>
      <c r="B412" s="293" t="s">
        <v>10591</v>
      </c>
      <c r="C412" s="294" t="s">
        <v>9559</v>
      </c>
      <c r="D412" s="353" t="s">
        <v>9560</v>
      </c>
      <c r="E412" s="357" t="s">
        <v>10663</v>
      </c>
      <c r="F412" s="293" t="s">
        <v>9198</v>
      </c>
      <c r="G412" s="293" t="s">
        <v>9197</v>
      </c>
      <c r="H412" s="354" t="s">
        <v>13482</v>
      </c>
      <c r="I412" s="264" t="s">
        <v>13483</v>
      </c>
      <c r="J412" s="354" t="s">
        <v>10602</v>
      </c>
      <c r="K412" s="275" t="s">
        <v>10663</v>
      </c>
    </row>
    <row r="413" spans="1:11" s="127" customFormat="1" ht="14.55" customHeight="1" x14ac:dyDescent="0.25">
      <c r="A413" s="272" t="s">
        <v>9358</v>
      </c>
      <c r="B413" s="272" t="s">
        <v>10591</v>
      </c>
      <c r="C413" s="265" t="s">
        <v>9561</v>
      </c>
      <c r="D413" s="266" t="s">
        <v>9562</v>
      </c>
      <c r="E413" s="278" t="s">
        <v>10663</v>
      </c>
      <c r="F413" s="272" t="s">
        <v>9198</v>
      </c>
      <c r="G413" s="272" t="s">
        <v>9197</v>
      </c>
      <c r="H413" s="7" t="s">
        <v>10677</v>
      </c>
      <c r="I413" s="266" t="s">
        <v>10678</v>
      </c>
      <c r="J413" s="7" t="s">
        <v>10655</v>
      </c>
      <c r="K413" s="7" t="s">
        <v>10655</v>
      </c>
    </row>
    <row r="414" spans="1:11" ht="14.55" customHeight="1" x14ac:dyDescent="0.25">
      <c r="A414" s="286" t="s">
        <v>9358</v>
      </c>
      <c r="B414" s="293" t="s">
        <v>10591</v>
      </c>
      <c r="C414" s="294" t="s">
        <v>9561</v>
      </c>
      <c r="D414" s="353" t="s">
        <v>9562</v>
      </c>
      <c r="E414" s="357" t="s">
        <v>10663</v>
      </c>
      <c r="F414" s="293" t="s">
        <v>9198</v>
      </c>
      <c r="G414" s="293" t="s">
        <v>9197</v>
      </c>
      <c r="H414" s="354" t="s">
        <v>13482</v>
      </c>
      <c r="I414" s="264" t="s">
        <v>13483</v>
      </c>
      <c r="J414" s="354" t="s">
        <v>10602</v>
      </c>
      <c r="K414" s="275" t="s">
        <v>10663</v>
      </c>
    </row>
    <row r="415" spans="1:11" s="127" customFormat="1" ht="14.55" customHeight="1" x14ac:dyDescent="0.25">
      <c r="A415" s="272" t="s">
        <v>9358</v>
      </c>
      <c r="B415" s="272" t="s">
        <v>10591</v>
      </c>
      <c r="C415" s="265" t="s">
        <v>9561</v>
      </c>
      <c r="D415" s="266" t="s">
        <v>9562</v>
      </c>
      <c r="E415" s="278" t="s">
        <v>10663</v>
      </c>
      <c r="F415" s="272" t="s">
        <v>9198</v>
      </c>
      <c r="G415" s="272" t="s">
        <v>9197</v>
      </c>
      <c r="H415" s="7" t="s">
        <v>10790</v>
      </c>
      <c r="I415" s="266" t="s">
        <v>10791</v>
      </c>
      <c r="J415" s="7" t="s">
        <v>10658</v>
      </c>
      <c r="K415" s="7" t="s">
        <v>10658</v>
      </c>
    </row>
    <row r="416" spans="1:11" s="127" customFormat="1" ht="14.55" customHeight="1" x14ac:dyDescent="0.25">
      <c r="A416" s="272" t="s">
        <v>9358</v>
      </c>
      <c r="B416" s="272" t="s">
        <v>10591</v>
      </c>
      <c r="C416" s="265" t="s">
        <v>9563</v>
      </c>
      <c r="D416" s="266" t="s">
        <v>9564</v>
      </c>
      <c r="E416" s="278" t="s">
        <v>10659</v>
      </c>
      <c r="F416" s="272" t="s">
        <v>9198</v>
      </c>
      <c r="G416" s="272" t="s">
        <v>9197</v>
      </c>
      <c r="H416" s="7" t="s">
        <v>10677</v>
      </c>
      <c r="I416" s="266" t="s">
        <v>10678</v>
      </c>
      <c r="J416" s="7" t="s">
        <v>10655</v>
      </c>
      <c r="K416" s="7" t="s">
        <v>10659</v>
      </c>
    </row>
    <row r="417" spans="1:11" ht="14.55" customHeight="1" x14ac:dyDescent="0.25">
      <c r="A417" s="286" t="s">
        <v>9358</v>
      </c>
      <c r="B417" s="293" t="s">
        <v>10591</v>
      </c>
      <c r="C417" s="294" t="s">
        <v>9563</v>
      </c>
      <c r="D417" s="353" t="s">
        <v>9564</v>
      </c>
      <c r="E417" s="357" t="s">
        <v>10659</v>
      </c>
      <c r="F417" s="293" t="s">
        <v>9198</v>
      </c>
      <c r="G417" s="293" t="s">
        <v>9197</v>
      </c>
      <c r="H417" s="354" t="s">
        <v>13482</v>
      </c>
      <c r="I417" s="264" t="s">
        <v>13483</v>
      </c>
      <c r="J417" s="354" t="s">
        <v>10602</v>
      </c>
      <c r="K417" s="275" t="s">
        <v>10659</v>
      </c>
    </row>
    <row r="418" spans="1:11" s="127" customFormat="1" ht="14.55" customHeight="1" x14ac:dyDescent="0.25">
      <c r="A418" s="272" t="s">
        <v>9358</v>
      </c>
      <c r="B418" s="272" t="s">
        <v>10591</v>
      </c>
      <c r="C418" s="265" t="s">
        <v>9565</v>
      </c>
      <c r="D418" s="266" t="s">
        <v>9566</v>
      </c>
      <c r="E418" s="278" t="s">
        <v>10663</v>
      </c>
      <c r="F418" s="272" t="s">
        <v>9198</v>
      </c>
      <c r="G418" s="272" t="s">
        <v>9197</v>
      </c>
      <c r="H418" s="7" t="s">
        <v>10653</v>
      </c>
      <c r="I418" s="266" t="s">
        <v>10654</v>
      </c>
      <c r="J418" s="7" t="s">
        <v>10655</v>
      </c>
      <c r="K418" s="7" t="s">
        <v>10655</v>
      </c>
    </row>
    <row r="419" spans="1:11" s="127" customFormat="1" ht="14.55" customHeight="1" x14ac:dyDescent="0.25">
      <c r="A419" s="272" t="s">
        <v>9358</v>
      </c>
      <c r="B419" s="272" t="s">
        <v>10591</v>
      </c>
      <c r="C419" s="265" t="s">
        <v>9565</v>
      </c>
      <c r="D419" s="266" t="s">
        <v>9566</v>
      </c>
      <c r="E419" s="278" t="s">
        <v>10663</v>
      </c>
      <c r="F419" s="272" t="s">
        <v>9198</v>
      </c>
      <c r="G419" s="272" t="s">
        <v>9197</v>
      </c>
      <c r="H419" s="7" t="s">
        <v>10664</v>
      </c>
      <c r="I419" s="266" t="s">
        <v>10665</v>
      </c>
      <c r="J419" s="7" t="s">
        <v>10655</v>
      </c>
      <c r="K419" s="7" t="s">
        <v>10655</v>
      </c>
    </row>
    <row r="420" spans="1:11" s="127" customFormat="1" ht="14.55" customHeight="1" x14ac:dyDescent="0.25">
      <c r="A420" s="272" t="s">
        <v>9358</v>
      </c>
      <c r="B420" s="272" t="s">
        <v>10591</v>
      </c>
      <c r="C420" s="265" t="s">
        <v>9565</v>
      </c>
      <c r="D420" s="266" t="s">
        <v>9566</v>
      </c>
      <c r="E420" s="278" t="s">
        <v>10663</v>
      </c>
      <c r="F420" s="272" t="s">
        <v>9198</v>
      </c>
      <c r="G420" s="272" t="s">
        <v>9197</v>
      </c>
      <c r="H420" s="7" t="s">
        <v>10666</v>
      </c>
      <c r="I420" s="266" t="s">
        <v>10667</v>
      </c>
      <c r="J420" s="7" t="s">
        <v>10655</v>
      </c>
      <c r="K420" s="7" t="s">
        <v>10655</v>
      </c>
    </row>
    <row r="421" spans="1:11" ht="14.55" customHeight="1" x14ac:dyDescent="0.25">
      <c r="A421" s="286" t="s">
        <v>9358</v>
      </c>
      <c r="B421" s="293" t="s">
        <v>10591</v>
      </c>
      <c r="C421" s="294" t="s">
        <v>9565</v>
      </c>
      <c r="D421" s="353" t="s">
        <v>9566</v>
      </c>
      <c r="E421" s="357" t="s">
        <v>10663</v>
      </c>
      <c r="F421" s="293" t="s">
        <v>9198</v>
      </c>
      <c r="G421" s="293" t="s">
        <v>9197</v>
      </c>
      <c r="H421" s="354" t="s">
        <v>13482</v>
      </c>
      <c r="I421" s="264" t="s">
        <v>13483</v>
      </c>
      <c r="J421" s="354" t="s">
        <v>10602</v>
      </c>
      <c r="K421" s="275" t="s">
        <v>10663</v>
      </c>
    </row>
    <row r="422" spans="1:11" s="127" customFormat="1" ht="14.55" customHeight="1" x14ac:dyDescent="0.25">
      <c r="A422" s="272" t="s">
        <v>9358</v>
      </c>
      <c r="B422" s="272" t="s">
        <v>10591</v>
      </c>
      <c r="C422" s="265" t="s">
        <v>9565</v>
      </c>
      <c r="D422" s="266" t="s">
        <v>9566</v>
      </c>
      <c r="E422" s="278" t="s">
        <v>10663</v>
      </c>
      <c r="F422" s="272" t="s">
        <v>9198</v>
      </c>
      <c r="G422" s="272" t="s">
        <v>9197</v>
      </c>
      <c r="H422" s="7" t="s">
        <v>10656</v>
      </c>
      <c r="I422" s="266" t="s">
        <v>10657</v>
      </c>
      <c r="J422" s="7" t="s">
        <v>10658</v>
      </c>
      <c r="K422" s="7" t="s">
        <v>10658</v>
      </c>
    </row>
    <row r="423" spans="1:11" s="127" customFormat="1" ht="14.55" customHeight="1" x14ac:dyDescent="0.25">
      <c r="A423" s="272" t="s">
        <v>9358</v>
      </c>
      <c r="B423" s="272" t="s">
        <v>10591</v>
      </c>
      <c r="C423" s="265" t="s">
        <v>9565</v>
      </c>
      <c r="D423" s="266" t="s">
        <v>9566</v>
      </c>
      <c r="E423" s="278" t="s">
        <v>10663</v>
      </c>
      <c r="F423" s="272" t="s">
        <v>9198</v>
      </c>
      <c r="G423" s="272" t="s">
        <v>9197</v>
      </c>
      <c r="H423" s="7" t="s">
        <v>10668</v>
      </c>
      <c r="I423" s="266" t="s">
        <v>10669</v>
      </c>
      <c r="J423" s="7" t="s">
        <v>10658</v>
      </c>
      <c r="K423" s="7" t="s">
        <v>10658</v>
      </c>
    </row>
    <row r="424" spans="1:11" s="127" customFormat="1" ht="14.55" customHeight="1" x14ac:dyDescent="0.25">
      <c r="A424" s="272" t="s">
        <v>9358</v>
      </c>
      <c r="B424" s="272" t="s">
        <v>10591</v>
      </c>
      <c r="C424" s="265" t="s">
        <v>9565</v>
      </c>
      <c r="D424" s="266" t="s">
        <v>9566</v>
      </c>
      <c r="E424" s="278" t="s">
        <v>10663</v>
      </c>
      <c r="F424" s="272" t="s">
        <v>9198</v>
      </c>
      <c r="G424" s="272" t="s">
        <v>9197</v>
      </c>
      <c r="H424" s="7" t="s">
        <v>10670</v>
      </c>
      <c r="I424" s="266" t="s">
        <v>10671</v>
      </c>
      <c r="J424" s="7" t="s">
        <v>10658</v>
      </c>
      <c r="K424" s="7" t="s">
        <v>10658</v>
      </c>
    </row>
    <row r="425" spans="1:11" s="127" customFormat="1" ht="14.55" customHeight="1" x14ac:dyDescent="0.25">
      <c r="A425" s="272" t="s">
        <v>9358</v>
      </c>
      <c r="B425" s="272" t="s">
        <v>10591</v>
      </c>
      <c r="C425" s="265" t="s">
        <v>9567</v>
      </c>
      <c r="D425" s="266" t="s">
        <v>9568</v>
      </c>
      <c r="E425" s="278" t="s">
        <v>10663</v>
      </c>
      <c r="F425" s="272" t="s">
        <v>9198</v>
      </c>
      <c r="G425" s="272" t="s">
        <v>9197</v>
      </c>
      <c r="H425" s="7" t="s">
        <v>10653</v>
      </c>
      <c r="I425" s="266" t="s">
        <v>10654</v>
      </c>
      <c r="J425" s="7" t="s">
        <v>10655</v>
      </c>
      <c r="K425" s="7" t="s">
        <v>10655</v>
      </c>
    </row>
    <row r="426" spans="1:11" s="127" customFormat="1" ht="14.55" customHeight="1" x14ac:dyDescent="0.25">
      <c r="A426" s="272" t="s">
        <v>9358</v>
      </c>
      <c r="B426" s="272" t="s">
        <v>10591</v>
      </c>
      <c r="C426" s="265" t="s">
        <v>9567</v>
      </c>
      <c r="D426" s="266" t="s">
        <v>9568</v>
      </c>
      <c r="E426" s="278" t="s">
        <v>10663</v>
      </c>
      <c r="F426" s="272" t="s">
        <v>9198</v>
      </c>
      <c r="G426" s="272" t="s">
        <v>9197</v>
      </c>
      <c r="H426" s="7" t="s">
        <v>10664</v>
      </c>
      <c r="I426" s="266" t="s">
        <v>10665</v>
      </c>
      <c r="J426" s="7" t="s">
        <v>10655</v>
      </c>
      <c r="K426" s="7" t="s">
        <v>10655</v>
      </c>
    </row>
    <row r="427" spans="1:11" ht="14.55" customHeight="1" x14ac:dyDescent="0.25">
      <c r="A427" s="272" t="s">
        <v>9358</v>
      </c>
      <c r="B427" s="272" t="s">
        <v>10591</v>
      </c>
      <c r="C427" s="265" t="s">
        <v>9567</v>
      </c>
      <c r="D427" s="266" t="s">
        <v>9568</v>
      </c>
      <c r="E427" s="278" t="s">
        <v>10663</v>
      </c>
      <c r="F427" s="272" t="s">
        <v>9198</v>
      </c>
      <c r="G427" s="272" t="s">
        <v>9197</v>
      </c>
      <c r="H427" s="7" t="s">
        <v>10666</v>
      </c>
      <c r="I427" s="266" t="s">
        <v>10667</v>
      </c>
      <c r="J427" s="7" t="s">
        <v>10655</v>
      </c>
      <c r="K427" s="7" t="s">
        <v>10655</v>
      </c>
    </row>
    <row r="428" spans="1:11" ht="14.55" customHeight="1" x14ac:dyDescent="0.25">
      <c r="A428" s="286" t="s">
        <v>9358</v>
      </c>
      <c r="B428" s="293" t="s">
        <v>10591</v>
      </c>
      <c r="C428" s="294" t="s">
        <v>9567</v>
      </c>
      <c r="D428" s="353" t="s">
        <v>9568</v>
      </c>
      <c r="E428" s="357" t="s">
        <v>10663</v>
      </c>
      <c r="F428" s="293" t="s">
        <v>9198</v>
      </c>
      <c r="G428" s="293" t="s">
        <v>9197</v>
      </c>
      <c r="H428" s="354" t="s">
        <v>13482</v>
      </c>
      <c r="I428" s="264" t="s">
        <v>13483</v>
      </c>
      <c r="J428" s="354" t="s">
        <v>10602</v>
      </c>
      <c r="K428" s="275" t="s">
        <v>10663</v>
      </c>
    </row>
    <row r="429" spans="1:11" ht="14.55" customHeight="1" x14ac:dyDescent="0.25">
      <c r="A429" s="272" t="s">
        <v>9358</v>
      </c>
      <c r="B429" s="272" t="s">
        <v>10591</v>
      </c>
      <c r="C429" s="265" t="s">
        <v>9567</v>
      </c>
      <c r="D429" s="266" t="s">
        <v>9568</v>
      </c>
      <c r="E429" s="278" t="s">
        <v>10663</v>
      </c>
      <c r="F429" s="272" t="s">
        <v>9198</v>
      </c>
      <c r="G429" s="272" t="s">
        <v>9197</v>
      </c>
      <c r="H429" s="7" t="s">
        <v>10656</v>
      </c>
      <c r="I429" s="266" t="s">
        <v>10657</v>
      </c>
      <c r="J429" s="7" t="s">
        <v>10658</v>
      </c>
      <c r="K429" s="7" t="s">
        <v>10658</v>
      </c>
    </row>
    <row r="430" spans="1:11" ht="14.55" customHeight="1" x14ac:dyDescent="0.25">
      <c r="A430" s="272" t="s">
        <v>9358</v>
      </c>
      <c r="B430" s="272" t="s">
        <v>10591</v>
      </c>
      <c r="C430" s="265" t="s">
        <v>9567</v>
      </c>
      <c r="D430" s="266" t="s">
        <v>9568</v>
      </c>
      <c r="E430" s="278" t="s">
        <v>10663</v>
      </c>
      <c r="F430" s="272" t="s">
        <v>9198</v>
      </c>
      <c r="G430" s="272" t="s">
        <v>9197</v>
      </c>
      <c r="H430" s="7" t="s">
        <v>10668</v>
      </c>
      <c r="I430" s="266" t="s">
        <v>10669</v>
      </c>
      <c r="J430" s="7" t="s">
        <v>10658</v>
      </c>
      <c r="K430" s="7" t="s">
        <v>10658</v>
      </c>
    </row>
    <row r="431" spans="1:11" ht="14.55" customHeight="1" x14ac:dyDescent="0.25">
      <c r="A431" s="272" t="s">
        <v>9358</v>
      </c>
      <c r="B431" s="272" t="s">
        <v>10591</v>
      </c>
      <c r="C431" s="265" t="s">
        <v>9567</v>
      </c>
      <c r="D431" s="266" t="s">
        <v>9568</v>
      </c>
      <c r="E431" s="278" t="s">
        <v>10663</v>
      </c>
      <c r="F431" s="272" t="s">
        <v>9198</v>
      </c>
      <c r="G431" s="272" t="s">
        <v>9197</v>
      </c>
      <c r="H431" s="7" t="s">
        <v>10670</v>
      </c>
      <c r="I431" s="266" t="s">
        <v>10671</v>
      </c>
      <c r="J431" s="7" t="s">
        <v>10658</v>
      </c>
      <c r="K431" s="7" t="s">
        <v>10658</v>
      </c>
    </row>
    <row r="432" spans="1:11" ht="14.55" customHeight="1" x14ac:dyDescent="0.25">
      <c r="A432" s="272" t="s">
        <v>9358</v>
      </c>
      <c r="B432" s="272" t="s">
        <v>10591</v>
      </c>
      <c r="C432" s="265" t="s">
        <v>9569</v>
      </c>
      <c r="D432" s="266" t="s">
        <v>9570</v>
      </c>
      <c r="E432" s="265" t="s">
        <v>10602</v>
      </c>
      <c r="F432" s="272" t="s">
        <v>9198</v>
      </c>
      <c r="G432" s="272" t="s">
        <v>9197</v>
      </c>
      <c r="H432" s="7"/>
      <c r="I432" s="266" t="s">
        <v>10789</v>
      </c>
      <c r="J432" s="7"/>
      <c r="K432" s="265" t="s">
        <v>10602</v>
      </c>
    </row>
    <row r="433" spans="1:11" ht="14.55" customHeight="1" x14ac:dyDescent="0.25">
      <c r="A433" s="286" t="s">
        <v>9358</v>
      </c>
      <c r="B433" s="293" t="s">
        <v>10591</v>
      </c>
      <c r="C433" s="294" t="s">
        <v>9569</v>
      </c>
      <c r="D433" s="353" t="s">
        <v>9570</v>
      </c>
      <c r="E433" s="357" t="s">
        <v>10602</v>
      </c>
      <c r="F433" s="293" t="s">
        <v>9198</v>
      </c>
      <c r="G433" s="293" t="s">
        <v>9197</v>
      </c>
      <c r="H433" s="354" t="s">
        <v>13482</v>
      </c>
      <c r="I433" s="264" t="s">
        <v>13483</v>
      </c>
      <c r="J433" s="354" t="s">
        <v>10602</v>
      </c>
      <c r="K433" s="275" t="s">
        <v>10602</v>
      </c>
    </row>
    <row r="434" spans="1:11" ht="14.55" customHeight="1" x14ac:dyDescent="0.25">
      <c r="A434" s="272" t="s">
        <v>9358</v>
      </c>
      <c r="B434" s="272" t="s">
        <v>10591</v>
      </c>
      <c r="C434" s="265" t="s">
        <v>9571</v>
      </c>
      <c r="D434" s="266" t="s">
        <v>13425</v>
      </c>
      <c r="E434" s="278" t="s">
        <v>10663</v>
      </c>
      <c r="F434" s="272" t="s">
        <v>9198</v>
      </c>
      <c r="G434" s="272" t="s">
        <v>9197</v>
      </c>
      <c r="H434" s="7"/>
      <c r="I434" s="266" t="s">
        <v>10789</v>
      </c>
      <c r="J434" s="7"/>
      <c r="K434" s="265" t="s">
        <v>10663</v>
      </c>
    </row>
    <row r="435" spans="1:11" ht="14.55" customHeight="1" x14ac:dyDescent="0.25">
      <c r="A435" s="286" t="s">
        <v>9358</v>
      </c>
      <c r="B435" s="293" t="s">
        <v>10591</v>
      </c>
      <c r="C435" s="294" t="s">
        <v>9571</v>
      </c>
      <c r="D435" s="353" t="s">
        <v>13425</v>
      </c>
      <c r="E435" s="357" t="s">
        <v>10663</v>
      </c>
      <c r="F435" s="293" t="s">
        <v>9198</v>
      </c>
      <c r="G435" s="293" t="s">
        <v>9197</v>
      </c>
      <c r="H435" s="354" t="s">
        <v>13482</v>
      </c>
      <c r="I435" s="264" t="s">
        <v>13483</v>
      </c>
      <c r="J435" s="354" t="s">
        <v>10602</v>
      </c>
      <c r="K435" s="275" t="s">
        <v>10663</v>
      </c>
    </row>
    <row r="436" spans="1:11" ht="14.55" customHeight="1" x14ac:dyDescent="0.25">
      <c r="A436" s="272" t="s">
        <v>9358</v>
      </c>
      <c r="B436" s="272" t="s">
        <v>10591</v>
      </c>
      <c r="C436" s="265" t="s">
        <v>9572</v>
      </c>
      <c r="D436" s="266" t="s">
        <v>9573</v>
      </c>
      <c r="E436" s="278" t="s">
        <v>10663</v>
      </c>
      <c r="F436" s="272" t="s">
        <v>9198</v>
      </c>
      <c r="G436" s="272" t="s">
        <v>9197</v>
      </c>
      <c r="H436" s="7" t="s">
        <v>10680</v>
      </c>
      <c r="I436" s="266" t="s">
        <v>10681</v>
      </c>
      <c r="J436" s="7" t="s">
        <v>10655</v>
      </c>
      <c r="K436" s="265" t="s">
        <v>10655</v>
      </c>
    </row>
    <row r="437" spans="1:11" ht="14.55" customHeight="1" x14ac:dyDescent="0.25">
      <c r="A437" s="286" t="s">
        <v>9358</v>
      </c>
      <c r="B437" s="293" t="s">
        <v>10591</v>
      </c>
      <c r="C437" s="294" t="s">
        <v>9572</v>
      </c>
      <c r="D437" s="353" t="s">
        <v>9573</v>
      </c>
      <c r="E437" s="357" t="s">
        <v>10663</v>
      </c>
      <c r="F437" s="293" t="s">
        <v>9198</v>
      </c>
      <c r="G437" s="293" t="s">
        <v>9197</v>
      </c>
      <c r="H437" s="354" t="s">
        <v>13482</v>
      </c>
      <c r="I437" s="264" t="s">
        <v>13483</v>
      </c>
      <c r="J437" s="354" t="s">
        <v>10602</v>
      </c>
      <c r="K437" s="275" t="s">
        <v>10663</v>
      </c>
    </row>
    <row r="438" spans="1:11" ht="14.55" customHeight="1" x14ac:dyDescent="0.25">
      <c r="A438" s="272" t="s">
        <v>9358</v>
      </c>
      <c r="B438" s="272" t="s">
        <v>10591</v>
      </c>
      <c r="C438" s="265" t="s">
        <v>9572</v>
      </c>
      <c r="D438" s="266" t="s">
        <v>9573</v>
      </c>
      <c r="E438" s="278" t="s">
        <v>10663</v>
      </c>
      <c r="F438" s="272" t="s">
        <v>9198</v>
      </c>
      <c r="G438" s="272" t="s">
        <v>9197</v>
      </c>
      <c r="H438" s="7" t="s">
        <v>10792</v>
      </c>
      <c r="I438" s="266" t="s">
        <v>10793</v>
      </c>
      <c r="J438" s="7" t="s">
        <v>10658</v>
      </c>
      <c r="K438" s="265" t="s">
        <v>10658</v>
      </c>
    </row>
    <row r="439" spans="1:11" ht="14.55" customHeight="1" x14ac:dyDescent="0.25">
      <c r="A439" s="272" t="s">
        <v>9358</v>
      </c>
      <c r="B439" s="272" t="s">
        <v>10591</v>
      </c>
      <c r="C439" s="265" t="s">
        <v>9574</v>
      </c>
      <c r="D439" s="266" t="s">
        <v>9575</v>
      </c>
      <c r="E439" s="265" t="s">
        <v>10602</v>
      </c>
      <c r="F439" s="272" t="s">
        <v>9198</v>
      </c>
      <c r="G439" s="272" t="s">
        <v>9197</v>
      </c>
      <c r="H439" s="7"/>
      <c r="I439" s="266" t="s">
        <v>10789</v>
      </c>
      <c r="J439" s="7"/>
      <c r="K439" s="265" t="s">
        <v>10602</v>
      </c>
    </row>
    <row r="440" spans="1:11" ht="14.55" customHeight="1" x14ac:dyDescent="0.25">
      <c r="A440" s="286" t="s">
        <v>9358</v>
      </c>
      <c r="B440" s="293" t="s">
        <v>10591</v>
      </c>
      <c r="C440" s="294" t="s">
        <v>9574</v>
      </c>
      <c r="D440" s="353" t="s">
        <v>9575</v>
      </c>
      <c r="E440" s="357" t="s">
        <v>10602</v>
      </c>
      <c r="F440" s="293" t="s">
        <v>9198</v>
      </c>
      <c r="G440" s="293" t="s">
        <v>9197</v>
      </c>
      <c r="H440" s="354" t="s">
        <v>13482</v>
      </c>
      <c r="I440" s="264" t="s">
        <v>13483</v>
      </c>
      <c r="J440" s="354" t="s">
        <v>10602</v>
      </c>
      <c r="K440" s="275" t="s">
        <v>10602</v>
      </c>
    </row>
    <row r="441" spans="1:11" ht="14.55" customHeight="1" x14ac:dyDescent="0.25">
      <c r="A441" s="272" t="s">
        <v>9358</v>
      </c>
      <c r="B441" s="272" t="s">
        <v>10591</v>
      </c>
      <c r="C441" s="265" t="s">
        <v>9576</v>
      </c>
      <c r="D441" s="266" t="s">
        <v>9577</v>
      </c>
      <c r="E441" s="265" t="s">
        <v>10602</v>
      </c>
      <c r="F441" s="272" t="s">
        <v>9198</v>
      </c>
      <c r="G441" s="272" t="s">
        <v>9197</v>
      </c>
      <c r="H441" s="7"/>
      <c r="I441" s="266" t="s">
        <v>10789</v>
      </c>
      <c r="J441" s="7"/>
      <c r="K441" s="265" t="s">
        <v>10602</v>
      </c>
    </row>
    <row r="442" spans="1:11" ht="14.55" customHeight="1" x14ac:dyDescent="0.25">
      <c r="A442" s="286" t="s">
        <v>9358</v>
      </c>
      <c r="B442" s="293" t="s">
        <v>10591</v>
      </c>
      <c r="C442" s="294" t="s">
        <v>9576</v>
      </c>
      <c r="D442" s="353" t="s">
        <v>9577</v>
      </c>
      <c r="E442" s="357" t="s">
        <v>10602</v>
      </c>
      <c r="F442" s="293" t="s">
        <v>9198</v>
      </c>
      <c r="G442" s="293" t="s">
        <v>9197</v>
      </c>
      <c r="H442" s="354" t="s">
        <v>13482</v>
      </c>
      <c r="I442" s="264" t="s">
        <v>13483</v>
      </c>
      <c r="J442" s="354" t="s">
        <v>10602</v>
      </c>
      <c r="K442" s="275" t="s">
        <v>10602</v>
      </c>
    </row>
    <row r="443" spans="1:11" ht="14.55" customHeight="1" x14ac:dyDescent="0.25">
      <c r="A443" s="272" t="s">
        <v>9358</v>
      </c>
      <c r="B443" s="272" t="s">
        <v>10591</v>
      </c>
      <c r="C443" s="265" t="s">
        <v>9578</v>
      </c>
      <c r="D443" s="266" t="s">
        <v>9579</v>
      </c>
      <c r="E443" s="265" t="s">
        <v>10794</v>
      </c>
      <c r="F443" s="272" t="s">
        <v>9198</v>
      </c>
      <c r="G443" s="272" t="s">
        <v>9197</v>
      </c>
      <c r="H443" s="7"/>
      <c r="I443" s="266" t="s">
        <v>10789</v>
      </c>
      <c r="J443" s="7" t="s">
        <v>10794</v>
      </c>
      <c r="K443" s="7" t="s">
        <v>10794</v>
      </c>
    </row>
    <row r="444" spans="1:11" ht="14.55" customHeight="1" x14ac:dyDescent="0.25">
      <c r="A444" s="272" t="s">
        <v>9358</v>
      </c>
      <c r="B444" s="272" t="s">
        <v>10591</v>
      </c>
      <c r="C444" s="265" t="s">
        <v>9578</v>
      </c>
      <c r="D444" s="266" t="s">
        <v>9579</v>
      </c>
      <c r="E444" s="265" t="s">
        <v>10794</v>
      </c>
      <c r="F444" s="272" t="s">
        <v>9198</v>
      </c>
      <c r="G444" s="272" t="s">
        <v>9197</v>
      </c>
      <c r="H444" s="7"/>
      <c r="I444" s="266" t="s">
        <v>10795</v>
      </c>
      <c r="J444" s="7" t="s">
        <v>10794</v>
      </c>
      <c r="K444" s="7" t="s">
        <v>10794</v>
      </c>
    </row>
    <row r="445" spans="1:11" ht="14.55" customHeight="1" x14ac:dyDescent="0.25">
      <c r="A445" s="272" t="s">
        <v>9358</v>
      </c>
      <c r="B445" s="272" t="s">
        <v>10591</v>
      </c>
      <c r="C445" s="265" t="s">
        <v>9578</v>
      </c>
      <c r="D445" s="266" t="s">
        <v>9579</v>
      </c>
      <c r="E445" s="265" t="s">
        <v>10794</v>
      </c>
      <c r="F445" s="272" t="s">
        <v>9198</v>
      </c>
      <c r="G445" s="272" t="s">
        <v>9197</v>
      </c>
      <c r="H445" s="7"/>
      <c r="I445" s="266" t="s">
        <v>10796</v>
      </c>
      <c r="J445" s="7" t="s">
        <v>10794</v>
      </c>
      <c r="K445" s="7" t="s">
        <v>10794</v>
      </c>
    </row>
    <row r="446" spans="1:11" ht="14.55" customHeight="1" x14ac:dyDescent="0.25">
      <c r="A446" s="286" t="s">
        <v>9358</v>
      </c>
      <c r="B446" s="293" t="s">
        <v>10591</v>
      </c>
      <c r="C446" s="294" t="s">
        <v>9578</v>
      </c>
      <c r="D446" s="353" t="s">
        <v>9579</v>
      </c>
      <c r="E446" s="357" t="s">
        <v>10794</v>
      </c>
      <c r="F446" s="293" t="s">
        <v>9198</v>
      </c>
      <c r="G446" s="293" t="s">
        <v>9197</v>
      </c>
      <c r="H446" s="354" t="s">
        <v>13482</v>
      </c>
      <c r="I446" s="264" t="s">
        <v>13483</v>
      </c>
      <c r="J446" s="354" t="s">
        <v>10602</v>
      </c>
      <c r="K446" s="275" t="s">
        <v>10602</v>
      </c>
    </row>
    <row r="447" spans="1:11" ht="14.55" customHeight="1" x14ac:dyDescent="0.25">
      <c r="A447" s="272" t="s">
        <v>9358</v>
      </c>
      <c r="B447" s="272" t="s">
        <v>10591</v>
      </c>
      <c r="C447" s="265" t="s">
        <v>9580</v>
      </c>
      <c r="D447" s="266" t="s">
        <v>9581</v>
      </c>
      <c r="E447" s="265" t="s">
        <v>10602</v>
      </c>
      <c r="F447" s="272" t="s">
        <v>9198</v>
      </c>
      <c r="G447" s="272" t="s">
        <v>9197</v>
      </c>
      <c r="H447" s="7"/>
      <c r="I447" s="266" t="s">
        <v>10789</v>
      </c>
      <c r="J447" s="7"/>
      <c r="K447" s="265" t="s">
        <v>10602</v>
      </c>
    </row>
    <row r="448" spans="1:11" ht="14.55" customHeight="1" x14ac:dyDescent="0.25">
      <c r="A448" s="272" t="s">
        <v>9358</v>
      </c>
      <c r="B448" s="272" t="s">
        <v>10591</v>
      </c>
      <c r="C448" s="265" t="s">
        <v>9580</v>
      </c>
      <c r="D448" s="266" t="s">
        <v>9581</v>
      </c>
      <c r="E448" s="265" t="s">
        <v>10602</v>
      </c>
      <c r="F448" s="272" t="s">
        <v>9198</v>
      </c>
      <c r="G448" s="272" t="s">
        <v>9197</v>
      </c>
      <c r="H448" s="7"/>
      <c r="I448" s="266" t="s">
        <v>10795</v>
      </c>
      <c r="J448" s="7"/>
      <c r="K448" s="265" t="s">
        <v>10602</v>
      </c>
    </row>
    <row r="449" spans="1:11" ht="14.55" customHeight="1" x14ac:dyDescent="0.25">
      <c r="A449" s="272" t="s">
        <v>9358</v>
      </c>
      <c r="B449" s="272" t="s">
        <v>10591</v>
      </c>
      <c r="C449" s="265" t="s">
        <v>9580</v>
      </c>
      <c r="D449" s="266" t="s">
        <v>9581</v>
      </c>
      <c r="E449" s="265" t="s">
        <v>10602</v>
      </c>
      <c r="F449" s="272" t="s">
        <v>9198</v>
      </c>
      <c r="G449" s="272" t="s">
        <v>9197</v>
      </c>
      <c r="H449" s="7"/>
      <c r="I449" s="266" t="s">
        <v>10796</v>
      </c>
      <c r="J449" s="7"/>
      <c r="K449" s="265" t="s">
        <v>10602</v>
      </c>
    </row>
    <row r="450" spans="1:11" ht="14.55" customHeight="1" x14ac:dyDescent="0.25">
      <c r="A450" s="286" t="s">
        <v>9358</v>
      </c>
      <c r="B450" s="293" t="s">
        <v>10591</v>
      </c>
      <c r="C450" s="294" t="s">
        <v>9580</v>
      </c>
      <c r="D450" s="353" t="s">
        <v>9581</v>
      </c>
      <c r="E450" s="357" t="s">
        <v>10602</v>
      </c>
      <c r="F450" s="293" t="s">
        <v>9198</v>
      </c>
      <c r="G450" s="293" t="s">
        <v>9197</v>
      </c>
      <c r="H450" s="354" t="s">
        <v>13482</v>
      </c>
      <c r="I450" s="264" t="s">
        <v>13483</v>
      </c>
      <c r="J450" s="354" t="s">
        <v>10602</v>
      </c>
      <c r="K450" s="275" t="s">
        <v>10602</v>
      </c>
    </row>
    <row r="451" spans="1:11" ht="14.55" customHeight="1" x14ac:dyDescent="0.25">
      <c r="A451" s="272" t="s">
        <v>9358</v>
      </c>
      <c r="B451" s="272" t="s">
        <v>10591</v>
      </c>
      <c r="C451" s="265" t="s">
        <v>9582</v>
      </c>
      <c r="D451" s="266" t="s">
        <v>13426</v>
      </c>
      <c r="E451" s="265" t="s">
        <v>10602</v>
      </c>
      <c r="F451" s="272" t="s">
        <v>9198</v>
      </c>
      <c r="G451" s="272" t="s">
        <v>9197</v>
      </c>
      <c r="H451" s="7"/>
      <c r="I451" s="266" t="s">
        <v>10789</v>
      </c>
      <c r="J451" s="7"/>
      <c r="K451" s="265" t="s">
        <v>10602</v>
      </c>
    </row>
    <row r="452" spans="1:11" ht="14.55" customHeight="1" x14ac:dyDescent="0.25">
      <c r="A452" s="272" t="s">
        <v>9358</v>
      </c>
      <c r="B452" s="272" t="s">
        <v>10591</v>
      </c>
      <c r="C452" s="265" t="s">
        <v>9583</v>
      </c>
      <c r="D452" s="266" t="s">
        <v>13427</v>
      </c>
      <c r="E452" s="265" t="s">
        <v>6577</v>
      </c>
      <c r="F452" s="272" t="s">
        <v>9198</v>
      </c>
      <c r="G452" s="272" t="s">
        <v>9197</v>
      </c>
      <c r="H452" s="7" t="s">
        <v>10593</v>
      </c>
      <c r="I452" s="266" t="s">
        <v>10594</v>
      </c>
      <c r="J452" s="7" t="s">
        <v>10592</v>
      </c>
      <c r="K452" s="265" t="s">
        <v>6577</v>
      </c>
    </row>
    <row r="453" spans="1:11" ht="14.55" customHeight="1" x14ac:dyDescent="0.25">
      <c r="A453" s="272" t="s">
        <v>9358</v>
      </c>
      <c r="B453" s="272" t="s">
        <v>10591</v>
      </c>
      <c r="C453" s="265" t="s">
        <v>9583</v>
      </c>
      <c r="D453" s="266" t="s">
        <v>13427</v>
      </c>
      <c r="E453" s="265" t="s">
        <v>6577</v>
      </c>
      <c r="F453" s="272" t="s">
        <v>9198</v>
      </c>
      <c r="G453" s="272" t="s">
        <v>9197</v>
      </c>
      <c r="H453" s="7" t="s">
        <v>10651</v>
      </c>
      <c r="I453" s="266" t="s">
        <v>10652</v>
      </c>
      <c r="J453" s="7" t="s">
        <v>10600</v>
      </c>
      <c r="K453" s="265" t="s">
        <v>6577</v>
      </c>
    </row>
    <row r="454" spans="1:11" ht="14.55" customHeight="1" x14ac:dyDescent="0.25">
      <c r="A454" s="272" t="s">
        <v>9358</v>
      </c>
      <c r="B454" s="272" t="s">
        <v>10591</v>
      </c>
      <c r="C454" s="265" t="s">
        <v>9583</v>
      </c>
      <c r="D454" s="266" t="s">
        <v>13427</v>
      </c>
      <c r="E454" s="265" t="s">
        <v>6577</v>
      </c>
      <c r="F454" s="272" t="s">
        <v>9198</v>
      </c>
      <c r="G454" s="272" t="s">
        <v>9197</v>
      </c>
      <c r="H454" s="7" t="s">
        <v>10598</v>
      </c>
      <c r="I454" s="266" t="s">
        <v>10599</v>
      </c>
      <c r="J454" s="7" t="s">
        <v>10600</v>
      </c>
      <c r="K454" s="265" t="s">
        <v>6577</v>
      </c>
    </row>
    <row r="455" spans="1:11" ht="14.55" customHeight="1" x14ac:dyDescent="0.25">
      <c r="A455" s="272" t="s">
        <v>9358</v>
      </c>
      <c r="B455" s="272" t="s">
        <v>10591</v>
      </c>
      <c r="C455" s="265" t="s">
        <v>9584</v>
      </c>
      <c r="D455" s="266" t="s">
        <v>10797</v>
      </c>
      <c r="E455" s="265" t="s">
        <v>6577</v>
      </c>
      <c r="F455" s="272" t="s">
        <v>9198</v>
      </c>
      <c r="G455" s="272" t="s">
        <v>9197</v>
      </c>
      <c r="H455" s="7" t="s">
        <v>10661</v>
      </c>
      <c r="I455" s="266" t="s">
        <v>10662</v>
      </c>
      <c r="J455" s="7" t="s">
        <v>10601</v>
      </c>
      <c r="K455" s="265" t="s">
        <v>6577</v>
      </c>
    </row>
    <row r="456" spans="1:11" ht="14.55" customHeight="1" x14ac:dyDescent="0.25">
      <c r="A456" s="272" t="s">
        <v>9358</v>
      </c>
      <c r="B456" s="272" t="s">
        <v>10591</v>
      </c>
      <c r="C456" s="265" t="s">
        <v>9584</v>
      </c>
      <c r="D456" s="266" t="s">
        <v>10797</v>
      </c>
      <c r="E456" s="265" t="s">
        <v>6577</v>
      </c>
      <c r="F456" s="272" t="s">
        <v>9198</v>
      </c>
      <c r="G456" s="272" t="s">
        <v>9197</v>
      </c>
      <c r="H456" s="7" t="s">
        <v>10660</v>
      </c>
      <c r="I456" s="266" t="s">
        <v>9406</v>
      </c>
      <c r="J456" s="7" t="s">
        <v>10602</v>
      </c>
      <c r="K456" s="265" t="s">
        <v>6577</v>
      </c>
    </row>
    <row r="457" spans="1:11" ht="14.55" customHeight="1" x14ac:dyDescent="0.25">
      <c r="A457" s="272" t="s">
        <v>9358</v>
      </c>
      <c r="B457" s="272" t="s">
        <v>10591</v>
      </c>
      <c r="C457" s="265" t="s">
        <v>9584</v>
      </c>
      <c r="D457" s="266" t="s">
        <v>13428</v>
      </c>
      <c r="E457" s="265" t="s">
        <v>6577</v>
      </c>
      <c r="F457" s="272" t="s">
        <v>9198</v>
      </c>
      <c r="G457" s="272" t="s">
        <v>9197</v>
      </c>
      <c r="H457" s="7" t="s">
        <v>10593</v>
      </c>
      <c r="I457" s="266" t="s">
        <v>10594</v>
      </c>
      <c r="J457" s="7" t="s">
        <v>10592</v>
      </c>
      <c r="K457" s="265" t="s">
        <v>6577</v>
      </c>
    </row>
    <row r="458" spans="1:11" s="284" customFormat="1" ht="14.55" customHeight="1" x14ac:dyDescent="0.25">
      <c r="A458" s="272" t="s">
        <v>9358</v>
      </c>
      <c r="B458" s="272" t="s">
        <v>10591</v>
      </c>
      <c r="C458" s="265" t="s">
        <v>9584</v>
      </c>
      <c r="D458" s="266" t="s">
        <v>13428</v>
      </c>
      <c r="E458" s="265" t="s">
        <v>6577</v>
      </c>
      <c r="F458" s="272" t="s">
        <v>9198</v>
      </c>
      <c r="G458" s="272" t="s">
        <v>9197</v>
      </c>
      <c r="H458" s="7" t="s">
        <v>10651</v>
      </c>
      <c r="I458" s="266" t="s">
        <v>10652</v>
      </c>
      <c r="J458" s="7" t="s">
        <v>10600</v>
      </c>
      <c r="K458" s="265" t="s">
        <v>6577</v>
      </c>
    </row>
    <row r="459" spans="1:11" s="284" customFormat="1" ht="14.55" customHeight="1" x14ac:dyDescent="0.25">
      <c r="A459" s="272" t="s">
        <v>9358</v>
      </c>
      <c r="B459" s="272" t="s">
        <v>10591</v>
      </c>
      <c r="C459" s="265" t="s">
        <v>9584</v>
      </c>
      <c r="D459" s="266" t="s">
        <v>13428</v>
      </c>
      <c r="E459" s="265" t="s">
        <v>6577</v>
      </c>
      <c r="F459" s="272" t="s">
        <v>9198</v>
      </c>
      <c r="G459" s="272" t="s">
        <v>9197</v>
      </c>
      <c r="H459" s="7" t="s">
        <v>10598</v>
      </c>
      <c r="I459" s="266" t="s">
        <v>10599</v>
      </c>
      <c r="J459" s="7" t="s">
        <v>10600</v>
      </c>
      <c r="K459" s="265" t="s">
        <v>6577</v>
      </c>
    </row>
    <row r="460" spans="1:11" ht="14.55" customHeight="1" x14ac:dyDescent="0.25">
      <c r="A460" s="272" t="s">
        <v>9358</v>
      </c>
      <c r="B460" s="272" t="s">
        <v>10591</v>
      </c>
      <c r="C460" s="265" t="s">
        <v>9585</v>
      </c>
      <c r="D460" s="266" t="s">
        <v>1409</v>
      </c>
      <c r="E460" s="265" t="s">
        <v>1408</v>
      </c>
      <c r="F460" s="272" t="s">
        <v>9198</v>
      </c>
      <c r="G460" s="272" t="s">
        <v>9197</v>
      </c>
      <c r="H460" s="7" t="s">
        <v>10593</v>
      </c>
      <c r="I460" s="266" t="s">
        <v>10594</v>
      </c>
      <c r="J460" s="7" t="s">
        <v>10592</v>
      </c>
      <c r="K460" s="265" t="s">
        <v>1408</v>
      </c>
    </row>
    <row r="461" spans="1:11" ht="14.55" customHeight="1" x14ac:dyDescent="0.25">
      <c r="A461" s="272" t="s">
        <v>9358</v>
      </c>
      <c r="B461" s="272" t="s">
        <v>10591</v>
      </c>
      <c r="C461" s="265" t="s">
        <v>9585</v>
      </c>
      <c r="D461" s="266" t="s">
        <v>1409</v>
      </c>
      <c r="E461" s="265" t="s">
        <v>1408</v>
      </c>
      <c r="F461" s="272" t="s">
        <v>9198</v>
      </c>
      <c r="G461" s="272" t="s">
        <v>9197</v>
      </c>
      <c r="H461" s="7" t="s">
        <v>10598</v>
      </c>
      <c r="I461" s="266" t="s">
        <v>10599</v>
      </c>
      <c r="J461" s="7" t="s">
        <v>10600</v>
      </c>
      <c r="K461" s="265" t="s">
        <v>1408</v>
      </c>
    </row>
    <row r="462" spans="1:11" ht="14.55" customHeight="1" x14ac:dyDescent="0.25">
      <c r="A462" s="286" t="s">
        <v>9358</v>
      </c>
      <c r="B462" s="293" t="s">
        <v>10591</v>
      </c>
      <c r="C462" s="294" t="s">
        <v>9585</v>
      </c>
      <c r="D462" s="353" t="s">
        <v>1409</v>
      </c>
      <c r="E462" s="357" t="s">
        <v>1408</v>
      </c>
      <c r="F462" s="293" t="s">
        <v>9198</v>
      </c>
      <c r="G462" s="293" t="s">
        <v>9197</v>
      </c>
      <c r="H462" s="354" t="s">
        <v>13482</v>
      </c>
      <c r="I462" s="264" t="s">
        <v>13483</v>
      </c>
      <c r="J462" s="354" t="s">
        <v>10602</v>
      </c>
      <c r="K462" s="275" t="s">
        <v>10602</v>
      </c>
    </row>
    <row r="463" spans="1:11" ht="14.55" customHeight="1" x14ac:dyDescent="0.25">
      <c r="A463" s="272" t="s">
        <v>9358</v>
      </c>
      <c r="B463" s="272" t="s">
        <v>10591</v>
      </c>
      <c r="C463" s="265" t="s">
        <v>9586</v>
      </c>
      <c r="D463" s="266" t="s">
        <v>6548</v>
      </c>
      <c r="E463" s="265" t="s">
        <v>74</v>
      </c>
      <c r="F463" s="272" t="s">
        <v>9198</v>
      </c>
      <c r="G463" s="272" t="s">
        <v>9197</v>
      </c>
      <c r="H463" s="7" t="s">
        <v>10593</v>
      </c>
      <c r="I463" s="266" t="s">
        <v>10594</v>
      </c>
      <c r="J463" s="7" t="s">
        <v>10592</v>
      </c>
      <c r="K463" s="265" t="s">
        <v>74</v>
      </c>
    </row>
    <row r="464" spans="1:11" ht="14.55" customHeight="1" x14ac:dyDescent="0.25">
      <c r="A464" s="272" t="s">
        <v>9358</v>
      </c>
      <c r="B464" s="272" t="s">
        <v>10591</v>
      </c>
      <c r="C464" s="265" t="s">
        <v>9586</v>
      </c>
      <c r="D464" s="266" t="s">
        <v>6548</v>
      </c>
      <c r="E464" s="265" t="s">
        <v>74</v>
      </c>
      <c r="F464" s="272" t="s">
        <v>9198</v>
      </c>
      <c r="G464" s="272" t="s">
        <v>9197</v>
      </c>
      <c r="H464" s="7" t="s">
        <v>10598</v>
      </c>
      <c r="I464" s="266" t="s">
        <v>10599</v>
      </c>
      <c r="J464" s="7" t="s">
        <v>10600</v>
      </c>
      <c r="K464" s="265" t="s">
        <v>74</v>
      </c>
    </row>
    <row r="465" spans="1:11" ht="14.55" customHeight="1" x14ac:dyDescent="0.25">
      <c r="A465" s="286" t="s">
        <v>9358</v>
      </c>
      <c r="B465" s="293" t="s">
        <v>10591</v>
      </c>
      <c r="C465" s="294" t="s">
        <v>9586</v>
      </c>
      <c r="D465" s="353" t="s">
        <v>6548</v>
      </c>
      <c r="E465" s="357" t="s">
        <v>74</v>
      </c>
      <c r="F465" s="293" t="s">
        <v>9198</v>
      </c>
      <c r="G465" s="293" t="s">
        <v>9197</v>
      </c>
      <c r="H465" s="354" t="s">
        <v>13482</v>
      </c>
      <c r="I465" s="264" t="s">
        <v>13483</v>
      </c>
      <c r="J465" s="354" t="s">
        <v>10602</v>
      </c>
      <c r="K465" s="357" t="s">
        <v>74</v>
      </c>
    </row>
    <row r="466" spans="1:11" ht="14.55" customHeight="1" x14ac:dyDescent="0.25">
      <c r="A466" s="272" t="s">
        <v>9358</v>
      </c>
      <c r="B466" s="272" t="s">
        <v>10591</v>
      </c>
      <c r="C466" s="265" t="s">
        <v>9587</v>
      </c>
      <c r="D466" s="266" t="s">
        <v>6550</v>
      </c>
      <c r="E466" s="265" t="s">
        <v>84</v>
      </c>
      <c r="F466" s="272" t="s">
        <v>9198</v>
      </c>
      <c r="G466" s="272" t="s">
        <v>9197</v>
      </c>
      <c r="H466" s="7" t="s">
        <v>10593</v>
      </c>
      <c r="I466" s="266" t="s">
        <v>10594</v>
      </c>
      <c r="J466" s="7" t="s">
        <v>10592</v>
      </c>
      <c r="K466" s="265" t="s">
        <v>84</v>
      </c>
    </row>
    <row r="467" spans="1:11" ht="14.55" customHeight="1" x14ac:dyDescent="0.25">
      <c r="A467" s="272" t="s">
        <v>9358</v>
      </c>
      <c r="B467" s="272" t="s">
        <v>10591</v>
      </c>
      <c r="C467" s="265" t="s">
        <v>9587</v>
      </c>
      <c r="D467" s="266" t="s">
        <v>6550</v>
      </c>
      <c r="E467" s="265" t="s">
        <v>84</v>
      </c>
      <c r="F467" s="272" t="s">
        <v>9198</v>
      </c>
      <c r="G467" s="272" t="s">
        <v>9197</v>
      </c>
      <c r="H467" s="7" t="s">
        <v>10598</v>
      </c>
      <c r="I467" s="266" t="s">
        <v>10599</v>
      </c>
      <c r="J467" s="7" t="s">
        <v>10600</v>
      </c>
      <c r="K467" s="265" t="s">
        <v>84</v>
      </c>
    </row>
    <row r="468" spans="1:11" ht="14.55" customHeight="1" x14ac:dyDescent="0.25">
      <c r="A468" s="286" t="s">
        <v>9358</v>
      </c>
      <c r="B468" s="293" t="s">
        <v>10591</v>
      </c>
      <c r="C468" s="294" t="s">
        <v>9587</v>
      </c>
      <c r="D468" s="353" t="s">
        <v>6550</v>
      </c>
      <c r="E468" s="357" t="s">
        <v>84</v>
      </c>
      <c r="F468" s="293" t="s">
        <v>9198</v>
      </c>
      <c r="G468" s="293" t="s">
        <v>9197</v>
      </c>
      <c r="H468" s="354" t="s">
        <v>13482</v>
      </c>
      <c r="I468" s="264" t="s">
        <v>13483</v>
      </c>
      <c r="J468" s="354" t="s">
        <v>10602</v>
      </c>
      <c r="K468" s="357" t="s">
        <v>84</v>
      </c>
    </row>
    <row r="469" spans="1:11" ht="14.55" customHeight="1" x14ac:dyDescent="0.25">
      <c r="A469" s="272" t="s">
        <v>9358</v>
      </c>
      <c r="B469" s="272" t="s">
        <v>10591</v>
      </c>
      <c r="C469" s="265" t="s">
        <v>9588</v>
      </c>
      <c r="D469" s="266" t="s">
        <v>6552</v>
      </c>
      <c r="E469" s="265" t="s">
        <v>90</v>
      </c>
      <c r="F469" s="272" t="s">
        <v>9198</v>
      </c>
      <c r="G469" s="272" t="s">
        <v>9197</v>
      </c>
      <c r="H469" s="7" t="s">
        <v>10593</v>
      </c>
      <c r="I469" s="266" t="s">
        <v>10594</v>
      </c>
      <c r="J469" s="7" t="s">
        <v>10592</v>
      </c>
      <c r="K469" s="265" t="s">
        <v>90</v>
      </c>
    </row>
    <row r="470" spans="1:11" ht="14.55" customHeight="1" x14ac:dyDescent="0.25">
      <c r="A470" s="272" t="s">
        <v>9358</v>
      </c>
      <c r="B470" s="272" t="s">
        <v>10591</v>
      </c>
      <c r="C470" s="265" t="s">
        <v>9588</v>
      </c>
      <c r="D470" s="266" t="s">
        <v>6552</v>
      </c>
      <c r="E470" s="265" t="s">
        <v>90</v>
      </c>
      <c r="F470" s="272" t="s">
        <v>9198</v>
      </c>
      <c r="G470" s="272" t="s">
        <v>9197</v>
      </c>
      <c r="H470" s="7" t="s">
        <v>10598</v>
      </c>
      <c r="I470" s="266" t="s">
        <v>10599</v>
      </c>
      <c r="J470" s="7" t="s">
        <v>10600</v>
      </c>
      <c r="K470" s="265" t="s">
        <v>90</v>
      </c>
    </row>
    <row r="471" spans="1:11" ht="14.55" customHeight="1" x14ac:dyDescent="0.25">
      <c r="A471" s="286" t="s">
        <v>9358</v>
      </c>
      <c r="B471" s="293" t="s">
        <v>10591</v>
      </c>
      <c r="C471" s="294" t="s">
        <v>9588</v>
      </c>
      <c r="D471" s="353" t="s">
        <v>6552</v>
      </c>
      <c r="E471" s="357" t="s">
        <v>90</v>
      </c>
      <c r="F471" s="293" t="s">
        <v>9198</v>
      </c>
      <c r="G471" s="293" t="s">
        <v>9197</v>
      </c>
      <c r="H471" s="354" t="s">
        <v>13482</v>
      </c>
      <c r="I471" s="264" t="s">
        <v>13483</v>
      </c>
      <c r="J471" s="354" t="s">
        <v>10602</v>
      </c>
      <c r="K471" s="357" t="s">
        <v>90</v>
      </c>
    </row>
    <row r="472" spans="1:11" ht="14.55" customHeight="1" x14ac:dyDescent="0.25">
      <c r="A472" s="272" t="s">
        <v>9358</v>
      </c>
      <c r="B472" s="272" t="s">
        <v>10591</v>
      </c>
      <c r="C472" s="265" t="s">
        <v>9589</v>
      </c>
      <c r="D472" s="266" t="s">
        <v>6554</v>
      </c>
      <c r="E472" s="265" t="s">
        <v>96</v>
      </c>
      <c r="F472" s="272" t="s">
        <v>9198</v>
      </c>
      <c r="G472" s="272" t="s">
        <v>9197</v>
      </c>
      <c r="H472" s="7" t="s">
        <v>10593</v>
      </c>
      <c r="I472" s="266" t="s">
        <v>10594</v>
      </c>
      <c r="J472" s="7" t="s">
        <v>10592</v>
      </c>
      <c r="K472" s="265" t="s">
        <v>96</v>
      </c>
    </row>
    <row r="473" spans="1:11" ht="14.55" customHeight="1" x14ac:dyDescent="0.25">
      <c r="A473" s="272" t="s">
        <v>9358</v>
      </c>
      <c r="B473" s="272" t="s">
        <v>10591</v>
      </c>
      <c r="C473" s="265" t="s">
        <v>9589</v>
      </c>
      <c r="D473" s="266" t="s">
        <v>6554</v>
      </c>
      <c r="E473" s="265" t="s">
        <v>96</v>
      </c>
      <c r="F473" s="272" t="s">
        <v>9198</v>
      </c>
      <c r="G473" s="272" t="s">
        <v>9197</v>
      </c>
      <c r="H473" s="7" t="s">
        <v>10595</v>
      </c>
      <c r="I473" s="266" t="s">
        <v>10596</v>
      </c>
      <c r="J473" s="7" t="s">
        <v>10597</v>
      </c>
      <c r="K473" s="265" t="s">
        <v>96</v>
      </c>
    </row>
    <row r="474" spans="1:11" ht="14.55" customHeight="1" x14ac:dyDescent="0.25">
      <c r="A474" s="286" t="s">
        <v>9358</v>
      </c>
      <c r="B474" s="293" t="s">
        <v>10591</v>
      </c>
      <c r="C474" s="294" t="s">
        <v>9589</v>
      </c>
      <c r="D474" s="353" t="s">
        <v>6554</v>
      </c>
      <c r="E474" s="357" t="s">
        <v>96</v>
      </c>
      <c r="F474" s="293" t="s">
        <v>9198</v>
      </c>
      <c r="G474" s="293" t="s">
        <v>9197</v>
      </c>
      <c r="H474" s="354" t="s">
        <v>13482</v>
      </c>
      <c r="I474" s="264" t="s">
        <v>13483</v>
      </c>
      <c r="J474" s="354" t="s">
        <v>10602</v>
      </c>
      <c r="K474" s="357" t="s">
        <v>96</v>
      </c>
    </row>
    <row r="475" spans="1:11" ht="14.55" customHeight="1" x14ac:dyDescent="0.25">
      <c r="A475" s="272" t="s">
        <v>9358</v>
      </c>
      <c r="B475" s="272" t="s">
        <v>10591</v>
      </c>
      <c r="C475" s="265" t="s">
        <v>9590</v>
      </c>
      <c r="D475" s="266" t="s">
        <v>6556</v>
      </c>
      <c r="E475" s="265" t="s">
        <v>102</v>
      </c>
      <c r="F475" s="272" t="s">
        <v>9198</v>
      </c>
      <c r="G475" s="272" t="s">
        <v>9197</v>
      </c>
      <c r="H475" s="7" t="s">
        <v>10593</v>
      </c>
      <c r="I475" s="266" t="s">
        <v>10594</v>
      </c>
      <c r="J475" s="7" t="s">
        <v>10592</v>
      </c>
      <c r="K475" s="265" t="s">
        <v>102</v>
      </c>
    </row>
    <row r="476" spans="1:11" ht="14.55" customHeight="1" x14ac:dyDescent="0.25">
      <c r="A476" s="272" t="s">
        <v>9358</v>
      </c>
      <c r="B476" s="272" t="s">
        <v>10591</v>
      </c>
      <c r="C476" s="265" t="s">
        <v>9590</v>
      </c>
      <c r="D476" s="266" t="s">
        <v>6556</v>
      </c>
      <c r="E476" s="265" t="s">
        <v>102</v>
      </c>
      <c r="F476" s="272" t="s">
        <v>9198</v>
      </c>
      <c r="G476" s="272" t="s">
        <v>9197</v>
      </c>
      <c r="H476" s="7" t="s">
        <v>10595</v>
      </c>
      <c r="I476" s="266" t="s">
        <v>10596</v>
      </c>
      <c r="J476" s="7" t="s">
        <v>10597</v>
      </c>
      <c r="K476" s="265" t="s">
        <v>102</v>
      </c>
    </row>
    <row r="477" spans="1:11" ht="14.55" customHeight="1" x14ac:dyDescent="0.25">
      <c r="A477" s="286" t="s">
        <v>9358</v>
      </c>
      <c r="B477" s="293" t="s">
        <v>10591</v>
      </c>
      <c r="C477" s="294" t="s">
        <v>9590</v>
      </c>
      <c r="D477" s="353" t="s">
        <v>6556</v>
      </c>
      <c r="E477" s="357" t="s">
        <v>102</v>
      </c>
      <c r="F477" s="293" t="s">
        <v>9198</v>
      </c>
      <c r="G477" s="293" t="s">
        <v>9197</v>
      </c>
      <c r="H477" s="354" t="s">
        <v>13482</v>
      </c>
      <c r="I477" s="264" t="s">
        <v>13483</v>
      </c>
      <c r="J477" s="354" t="s">
        <v>10602</v>
      </c>
      <c r="K477" s="357" t="s">
        <v>102</v>
      </c>
    </row>
    <row r="478" spans="1:11" ht="14.55" customHeight="1" x14ac:dyDescent="0.25">
      <c r="A478" s="272" t="s">
        <v>9358</v>
      </c>
      <c r="B478" s="272" t="s">
        <v>10591</v>
      </c>
      <c r="C478" s="265" t="s">
        <v>9591</v>
      </c>
      <c r="D478" s="266" t="s">
        <v>6558</v>
      </c>
      <c r="E478" s="265" t="s">
        <v>109</v>
      </c>
      <c r="F478" s="272" t="s">
        <v>9198</v>
      </c>
      <c r="G478" s="272" t="s">
        <v>9197</v>
      </c>
      <c r="H478" s="7" t="s">
        <v>10593</v>
      </c>
      <c r="I478" s="266" t="s">
        <v>10594</v>
      </c>
      <c r="J478" s="7" t="s">
        <v>10592</v>
      </c>
      <c r="K478" s="265" t="s">
        <v>109</v>
      </c>
    </row>
    <row r="479" spans="1:11" ht="14.55" customHeight="1" x14ac:dyDescent="0.25">
      <c r="A479" s="272" t="s">
        <v>9358</v>
      </c>
      <c r="B479" s="272" t="s">
        <v>10591</v>
      </c>
      <c r="C479" s="265" t="s">
        <v>9591</v>
      </c>
      <c r="D479" s="266" t="s">
        <v>6558</v>
      </c>
      <c r="E479" s="265" t="s">
        <v>109</v>
      </c>
      <c r="F479" s="272" t="s">
        <v>9198</v>
      </c>
      <c r="G479" s="272" t="s">
        <v>9197</v>
      </c>
      <c r="H479" s="7" t="s">
        <v>10595</v>
      </c>
      <c r="I479" s="266" t="s">
        <v>10596</v>
      </c>
      <c r="J479" s="7" t="s">
        <v>10597</v>
      </c>
      <c r="K479" s="265" t="s">
        <v>109</v>
      </c>
    </row>
    <row r="480" spans="1:11" ht="14.55" customHeight="1" x14ac:dyDescent="0.25">
      <c r="A480" s="286" t="s">
        <v>9358</v>
      </c>
      <c r="B480" s="293" t="s">
        <v>10591</v>
      </c>
      <c r="C480" s="294" t="s">
        <v>9591</v>
      </c>
      <c r="D480" s="353" t="s">
        <v>6558</v>
      </c>
      <c r="E480" s="357" t="s">
        <v>109</v>
      </c>
      <c r="F480" s="293" t="s">
        <v>9198</v>
      </c>
      <c r="G480" s="293" t="s">
        <v>9197</v>
      </c>
      <c r="H480" s="354" t="s">
        <v>13482</v>
      </c>
      <c r="I480" s="264" t="s">
        <v>13483</v>
      </c>
      <c r="J480" s="354" t="s">
        <v>10602</v>
      </c>
      <c r="K480" s="357" t="s">
        <v>109</v>
      </c>
    </row>
    <row r="481" spans="1:11" s="282" customFormat="1" ht="14.55" customHeight="1" x14ac:dyDescent="0.25">
      <c r="A481" s="272" t="s">
        <v>9358</v>
      </c>
      <c r="B481" s="272" t="s">
        <v>10591</v>
      </c>
      <c r="C481" s="265" t="s">
        <v>9592</v>
      </c>
      <c r="D481" s="266" t="s">
        <v>9593</v>
      </c>
      <c r="E481" s="265" t="s">
        <v>10602</v>
      </c>
      <c r="F481" s="272" t="s">
        <v>9198</v>
      </c>
      <c r="G481" s="272" t="s">
        <v>9197</v>
      </c>
      <c r="H481" s="7" t="s">
        <v>10593</v>
      </c>
      <c r="I481" s="266" t="s">
        <v>10594</v>
      </c>
      <c r="J481" s="7" t="s">
        <v>10592</v>
      </c>
      <c r="K481" s="7" t="s">
        <v>10592</v>
      </c>
    </row>
    <row r="482" spans="1:11" ht="14.55" customHeight="1" x14ac:dyDescent="0.25">
      <c r="A482" s="272" t="s">
        <v>9358</v>
      </c>
      <c r="B482" s="272" t="s">
        <v>10591</v>
      </c>
      <c r="C482" s="265" t="s">
        <v>9592</v>
      </c>
      <c r="D482" s="266" t="s">
        <v>9593</v>
      </c>
      <c r="E482" s="265" t="s">
        <v>10602</v>
      </c>
      <c r="F482" s="272" t="s">
        <v>9198</v>
      </c>
      <c r="G482" s="272" t="s">
        <v>9197</v>
      </c>
      <c r="H482" s="7" t="s">
        <v>10606</v>
      </c>
      <c r="I482" s="127" t="s">
        <v>9366</v>
      </c>
      <c r="J482" s="7" t="s">
        <v>10602</v>
      </c>
      <c r="K482" s="7" t="s">
        <v>10602</v>
      </c>
    </row>
    <row r="483" spans="1:11" ht="14.55" customHeight="1" x14ac:dyDescent="0.25">
      <c r="A483" s="272" t="s">
        <v>9358</v>
      </c>
      <c r="B483" s="272" t="s">
        <v>10591</v>
      </c>
      <c r="C483" s="265" t="s">
        <v>9592</v>
      </c>
      <c r="D483" s="266" t="s">
        <v>9593</v>
      </c>
      <c r="E483" s="265" t="s">
        <v>10602</v>
      </c>
      <c r="F483" s="272" t="s">
        <v>9198</v>
      </c>
      <c r="G483" s="272" t="s">
        <v>9197</v>
      </c>
      <c r="H483" s="7" t="s">
        <v>10607</v>
      </c>
      <c r="I483" s="127" t="s">
        <v>10608</v>
      </c>
      <c r="J483" s="7" t="s">
        <v>10602</v>
      </c>
      <c r="K483" s="7" t="s">
        <v>10602</v>
      </c>
    </row>
    <row r="484" spans="1:11" ht="14.55" customHeight="1" x14ac:dyDescent="0.25">
      <c r="A484" s="286" t="s">
        <v>9358</v>
      </c>
      <c r="B484" s="293" t="s">
        <v>10591</v>
      </c>
      <c r="C484" s="294" t="s">
        <v>9592</v>
      </c>
      <c r="D484" s="353" t="s">
        <v>9593</v>
      </c>
      <c r="E484" s="357" t="s">
        <v>10602</v>
      </c>
      <c r="F484" s="293" t="s">
        <v>9198</v>
      </c>
      <c r="G484" s="293" t="s">
        <v>9197</v>
      </c>
      <c r="H484" s="354" t="s">
        <v>13482</v>
      </c>
      <c r="I484" s="264" t="s">
        <v>13483</v>
      </c>
      <c r="J484" s="354" t="s">
        <v>10602</v>
      </c>
      <c r="K484" s="275" t="s">
        <v>10602</v>
      </c>
    </row>
    <row r="485" spans="1:11" ht="14.55" customHeight="1" x14ac:dyDescent="0.25">
      <c r="A485" s="272" t="s">
        <v>9358</v>
      </c>
      <c r="B485" s="272" t="s">
        <v>10591</v>
      </c>
      <c r="C485" s="265" t="s">
        <v>9594</v>
      </c>
      <c r="D485" s="266" t="s">
        <v>9595</v>
      </c>
      <c r="E485" s="278" t="s">
        <v>10663</v>
      </c>
      <c r="F485" s="272" t="s">
        <v>9198</v>
      </c>
      <c r="G485" s="272" t="s">
        <v>9197</v>
      </c>
      <c r="H485" s="7" t="s">
        <v>10744</v>
      </c>
      <c r="I485" s="127" t="s">
        <v>10745</v>
      </c>
      <c r="J485" s="7" t="s">
        <v>10655</v>
      </c>
      <c r="K485" s="7" t="s">
        <v>10655</v>
      </c>
    </row>
    <row r="486" spans="1:11" ht="14.55" customHeight="1" x14ac:dyDescent="0.25">
      <c r="A486" s="272" t="s">
        <v>9358</v>
      </c>
      <c r="B486" s="272" t="s">
        <v>10591</v>
      </c>
      <c r="C486" s="265" t="s">
        <v>9594</v>
      </c>
      <c r="D486" s="266" t="s">
        <v>9595</v>
      </c>
      <c r="E486" s="278" t="s">
        <v>10663</v>
      </c>
      <c r="F486" s="272" t="s">
        <v>9198</v>
      </c>
      <c r="G486" s="272" t="s">
        <v>9197</v>
      </c>
      <c r="H486" s="7" t="s">
        <v>10606</v>
      </c>
      <c r="I486" s="127" t="s">
        <v>9366</v>
      </c>
      <c r="J486" s="7" t="s">
        <v>10602</v>
      </c>
      <c r="K486" s="7" t="s">
        <v>10602</v>
      </c>
    </row>
    <row r="487" spans="1:11" ht="14.55" customHeight="1" x14ac:dyDescent="0.25">
      <c r="A487" s="272" t="s">
        <v>9358</v>
      </c>
      <c r="B487" s="272" t="s">
        <v>10591</v>
      </c>
      <c r="C487" s="265" t="s">
        <v>9594</v>
      </c>
      <c r="D487" s="266" t="s">
        <v>9595</v>
      </c>
      <c r="E487" s="278" t="s">
        <v>10663</v>
      </c>
      <c r="F487" s="272" t="s">
        <v>9198</v>
      </c>
      <c r="G487" s="272" t="s">
        <v>9197</v>
      </c>
      <c r="H487" s="7" t="s">
        <v>10607</v>
      </c>
      <c r="I487" s="127" t="s">
        <v>10608</v>
      </c>
      <c r="J487" s="7" t="s">
        <v>10602</v>
      </c>
      <c r="K487" s="7" t="s">
        <v>10602</v>
      </c>
    </row>
    <row r="488" spans="1:11" ht="14.55" customHeight="1" x14ac:dyDescent="0.25">
      <c r="A488" s="272" t="s">
        <v>9358</v>
      </c>
      <c r="B488" s="272" t="s">
        <v>10591</v>
      </c>
      <c r="C488" s="265" t="s">
        <v>9594</v>
      </c>
      <c r="D488" s="266" t="s">
        <v>9595</v>
      </c>
      <c r="E488" s="278" t="s">
        <v>10663</v>
      </c>
      <c r="F488" s="272" t="s">
        <v>9198</v>
      </c>
      <c r="G488" s="272" t="s">
        <v>9197</v>
      </c>
      <c r="H488" s="7" t="s">
        <v>10746</v>
      </c>
      <c r="I488" s="127" t="s">
        <v>10747</v>
      </c>
      <c r="J488" s="7" t="s">
        <v>10655</v>
      </c>
      <c r="K488" s="7" t="s">
        <v>10655</v>
      </c>
    </row>
    <row r="489" spans="1:11" ht="14.55" customHeight="1" x14ac:dyDescent="0.25">
      <c r="A489" s="286" t="s">
        <v>9358</v>
      </c>
      <c r="B489" s="293" t="s">
        <v>10591</v>
      </c>
      <c r="C489" s="294" t="s">
        <v>9594</v>
      </c>
      <c r="D489" s="353" t="s">
        <v>9595</v>
      </c>
      <c r="E489" s="357" t="s">
        <v>10663</v>
      </c>
      <c r="F489" s="293" t="s">
        <v>9198</v>
      </c>
      <c r="G489" s="293" t="s">
        <v>9197</v>
      </c>
      <c r="H489" s="354" t="s">
        <v>13482</v>
      </c>
      <c r="I489" s="264" t="s">
        <v>13483</v>
      </c>
      <c r="J489" s="354" t="s">
        <v>10602</v>
      </c>
      <c r="K489" s="275" t="s">
        <v>10663</v>
      </c>
    </row>
    <row r="490" spans="1:11" ht="14.55" customHeight="1" x14ac:dyDescent="0.25">
      <c r="A490" s="272" t="s">
        <v>9358</v>
      </c>
      <c r="B490" s="272" t="s">
        <v>10591</v>
      </c>
      <c r="C490" s="265" t="s">
        <v>9594</v>
      </c>
      <c r="D490" s="266" t="s">
        <v>9595</v>
      </c>
      <c r="E490" s="278" t="s">
        <v>10663</v>
      </c>
      <c r="F490" s="272" t="s">
        <v>9198</v>
      </c>
      <c r="G490" s="272" t="s">
        <v>9197</v>
      </c>
      <c r="H490" s="7" t="s">
        <v>10798</v>
      </c>
      <c r="I490" s="127" t="s">
        <v>10799</v>
      </c>
      <c r="J490" s="7" t="s">
        <v>10658</v>
      </c>
      <c r="K490" s="7" t="s">
        <v>10658</v>
      </c>
    </row>
    <row r="491" spans="1:11" ht="14.55" customHeight="1" x14ac:dyDescent="0.25">
      <c r="A491" s="272" t="s">
        <v>9358</v>
      </c>
      <c r="B491" s="272" t="s">
        <v>10591</v>
      </c>
      <c r="C491" s="265" t="s">
        <v>9594</v>
      </c>
      <c r="D491" s="266" t="s">
        <v>9595</v>
      </c>
      <c r="E491" s="278" t="s">
        <v>10663</v>
      </c>
      <c r="F491" s="272" t="s">
        <v>9198</v>
      </c>
      <c r="G491" s="272" t="s">
        <v>9197</v>
      </c>
      <c r="H491" s="7" t="s">
        <v>10800</v>
      </c>
      <c r="I491" s="127" t="s">
        <v>10801</v>
      </c>
      <c r="J491" s="7" t="s">
        <v>10658</v>
      </c>
      <c r="K491" s="7" t="s">
        <v>10658</v>
      </c>
    </row>
    <row r="492" spans="1:11" ht="14.55" customHeight="1" x14ac:dyDescent="0.25">
      <c r="A492" s="272" t="s">
        <v>9358</v>
      </c>
      <c r="B492" s="272" t="s">
        <v>10591</v>
      </c>
      <c r="C492" s="265" t="s">
        <v>9596</v>
      </c>
      <c r="D492" s="266" t="s">
        <v>9597</v>
      </c>
      <c r="E492" s="278" t="s">
        <v>10659</v>
      </c>
      <c r="F492" s="272" t="s">
        <v>9198</v>
      </c>
      <c r="G492" s="272" t="s">
        <v>9197</v>
      </c>
      <c r="H492" s="7" t="s">
        <v>10607</v>
      </c>
      <c r="I492" s="127" t="s">
        <v>10608</v>
      </c>
      <c r="J492" s="7" t="s">
        <v>10602</v>
      </c>
      <c r="K492" s="7" t="s">
        <v>10659</v>
      </c>
    </row>
    <row r="493" spans="1:11" ht="14.55" customHeight="1" x14ac:dyDescent="0.25">
      <c r="A493" s="272" t="s">
        <v>9358</v>
      </c>
      <c r="B493" s="272" t="s">
        <v>10591</v>
      </c>
      <c r="C493" s="265" t="s">
        <v>9596</v>
      </c>
      <c r="D493" s="266" t="s">
        <v>9597</v>
      </c>
      <c r="E493" s="278" t="s">
        <v>10659</v>
      </c>
      <c r="F493" s="272" t="s">
        <v>9198</v>
      </c>
      <c r="G493" s="272" t="s">
        <v>9197</v>
      </c>
      <c r="H493" s="7" t="s">
        <v>10746</v>
      </c>
      <c r="I493" s="127" t="s">
        <v>10747</v>
      </c>
      <c r="J493" s="7" t="s">
        <v>10655</v>
      </c>
      <c r="K493" s="7" t="s">
        <v>10659</v>
      </c>
    </row>
    <row r="494" spans="1:11" ht="14.55" customHeight="1" x14ac:dyDescent="0.25">
      <c r="A494" s="286" t="s">
        <v>9358</v>
      </c>
      <c r="B494" s="293" t="s">
        <v>10591</v>
      </c>
      <c r="C494" s="294" t="s">
        <v>9596</v>
      </c>
      <c r="D494" s="353" t="s">
        <v>9597</v>
      </c>
      <c r="E494" s="357" t="s">
        <v>10659</v>
      </c>
      <c r="F494" s="293" t="s">
        <v>9198</v>
      </c>
      <c r="G494" s="293" t="s">
        <v>9197</v>
      </c>
      <c r="H494" s="354" t="s">
        <v>13482</v>
      </c>
      <c r="I494" s="264" t="s">
        <v>13483</v>
      </c>
      <c r="J494" s="354" t="s">
        <v>10602</v>
      </c>
      <c r="K494" s="275" t="s">
        <v>10659</v>
      </c>
    </row>
    <row r="495" spans="1:11" ht="14.55" customHeight="1" x14ac:dyDescent="0.25">
      <c r="A495" s="272" t="s">
        <v>9358</v>
      </c>
      <c r="B495" s="272" t="s">
        <v>10591</v>
      </c>
      <c r="C495" s="265" t="s">
        <v>9598</v>
      </c>
      <c r="D495" s="266" t="s">
        <v>9599</v>
      </c>
      <c r="E495" s="278" t="s">
        <v>10659</v>
      </c>
      <c r="F495" s="272" t="s">
        <v>9198</v>
      </c>
      <c r="G495" s="272" t="s">
        <v>9197</v>
      </c>
      <c r="H495" s="7" t="s">
        <v>10607</v>
      </c>
      <c r="I495" s="127" t="s">
        <v>10608</v>
      </c>
      <c r="J495" s="7" t="s">
        <v>10602</v>
      </c>
      <c r="K495" s="7" t="s">
        <v>10659</v>
      </c>
    </row>
    <row r="496" spans="1:11" ht="14.55" customHeight="1" x14ac:dyDescent="0.25">
      <c r="A496" s="272" t="s">
        <v>9358</v>
      </c>
      <c r="B496" s="272" t="s">
        <v>10591</v>
      </c>
      <c r="C496" s="265" t="s">
        <v>9598</v>
      </c>
      <c r="D496" s="266" t="s">
        <v>9599</v>
      </c>
      <c r="E496" s="278" t="s">
        <v>10659</v>
      </c>
      <c r="F496" s="272" t="s">
        <v>9198</v>
      </c>
      <c r="G496" s="272" t="s">
        <v>9197</v>
      </c>
      <c r="H496" s="7" t="s">
        <v>10746</v>
      </c>
      <c r="I496" s="127" t="s">
        <v>10747</v>
      </c>
      <c r="J496" s="7" t="s">
        <v>10655</v>
      </c>
      <c r="K496" s="7" t="s">
        <v>10659</v>
      </c>
    </row>
    <row r="497" spans="1:11" ht="14.55" customHeight="1" x14ac:dyDescent="0.25">
      <c r="A497" s="286" t="s">
        <v>9358</v>
      </c>
      <c r="B497" s="293" t="s">
        <v>10591</v>
      </c>
      <c r="C497" s="294" t="s">
        <v>9598</v>
      </c>
      <c r="D497" s="353" t="s">
        <v>9599</v>
      </c>
      <c r="E497" s="357" t="s">
        <v>10659</v>
      </c>
      <c r="F497" s="293" t="s">
        <v>9198</v>
      </c>
      <c r="G497" s="293" t="s">
        <v>9197</v>
      </c>
      <c r="H497" s="354" t="s">
        <v>13482</v>
      </c>
      <c r="I497" s="264" t="s">
        <v>13483</v>
      </c>
      <c r="J497" s="354" t="s">
        <v>10602</v>
      </c>
      <c r="K497" s="275" t="s">
        <v>10659</v>
      </c>
    </row>
    <row r="498" spans="1:11" ht="14.55" customHeight="1" x14ac:dyDescent="0.25">
      <c r="A498" s="272" t="s">
        <v>9358</v>
      </c>
      <c r="B498" s="272" t="s">
        <v>10591</v>
      </c>
      <c r="C498" s="265" t="s">
        <v>9600</v>
      </c>
      <c r="D498" s="266" t="s">
        <v>9601</v>
      </c>
      <c r="E498" s="278" t="s">
        <v>10659</v>
      </c>
      <c r="F498" s="272" t="s">
        <v>9198</v>
      </c>
      <c r="G498" s="272" t="s">
        <v>9197</v>
      </c>
      <c r="H498" s="7" t="s">
        <v>10607</v>
      </c>
      <c r="I498" s="127" t="s">
        <v>10608</v>
      </c>
      <c r="J498" s="7" t="s">
        <v>10602</v>
      </c>
      <c r="K498" s="7" t="s">
        <v>10659</v>
      </c>
    </row>
    <row r="499" spans="1:11" ht="14.55" customHeight="1" x14ac:dyDescent="0.25">
      <c r="A499" s="272" t="s">
        <v>9358</v>
      </c>
      <c r="B499" s="272" t="s">
        <v>10591</v>
      </c>
      <c r="C499" s="265" t="s">
        <v>9600</v>
      </c>
      <c r="D499" s="266" t="s">
        <v>9601</v>
      </c>
      <c r="E499" s="278" t="s">
        <v>10659</v>
      </c>
      <c r="F499" s="272" t="s">
        <v>9198</v>
      </c>
      <c r="G499" s="272" t="s">
        <v>9197</v>
      </c>
      <c r="H499" s="7" t="s">
        <v>10746</v>
      </c>
      <c r="I499" s="127" t="s">
        <v>10747</v>
      </c>
      <c r="J499" s="7" t="s">
        <v>10655</v>
      </c>
      <c r="K499" s="7" t="s">
        <v>10659</v>
      </c>
    </row>
    <row r="500" spans="1:11" ht="14.55" customHeight="1" x14ac:dyDescent="0.25">
      <c r="A500" s="286" t="s">
        <v>9358</v>
      </c>
      <c r="B500" s="293" t="s">
        <v>10591</v>
      </c>
      <c r="C500" s="294" t="s">
        <v>9600</v>
      </c>
      <c r="D500" s="353" t="s">
        <v>9601</v>
      </c>
      <c r="E500" s="357" t="s">
        <v>10659</v>
      </c>
      <c r="F500" s="293" t="s">
        <v>9198</v>
      </c>
      <c r="G500" s="293" t="s">
        <v>9197</v>
      </c>
      <c r="H500" s="354" t="s">
        <v>13482</v>
      </c>
      <c r="I500" s="264" t="s">
        <v>13483</v>
      </c>
      <c r="J500" s="354" t="s">
        <v>10602</v>
      </c>
      <c r="K500" s="275" t="s">
        <v>10659</v>
      </c>
    </row>
    <row r="501" spans="1:11" s="282" customFormat="1" ht="14.55" customHeight="1" x14ac:dyDescent="0.25">
      <c r="A501" s="272" t="s">
        <v>9358</v>
      </c>
      <c r="B501" s="272" t="s">
        <v>10591</v>
      </c>
      <c r="C501" s="265" t="s">
        <v>9602</v>
      </c>
      <c r="D501" s="266" t="s">
        <v>9603</v>
      </c>
      <c r="E501" s="265" t="s">
        <v>10602</v>
      </c>
      <c r="F501" s="272" t="s">
        <v>9198</v>
      </c>
      <c r="G501" s="272" t="s">
        <v>9197</v>
      </c>
      <c r="H501" s="7" t="s">
        <v>10593</v>
      </c>
      <c r="I501" s="266" t="s">
        <v>10594</v>
      </c>
      <c r="J501" s="7" t="s">
        <v>10592</v>
      </c>
      <c r="K501" s="7" t="s">
        <v>10592</v>
      </c>
    </row>
    <row r="502" spans="1:11" ht="14.55" customHeight="1" x14ac:dyDescent="0.25">
      <c r="A502" s="272" t="s">
        <v>9358</v>
      </c>
      <c r="B502" s="272" t="s">
        <v>10591</v>
      </c>
      <c r="C502" s="265" t="s">
        <v>9602</v>
      </c>
      <c r="D502" s="266" t="s">
        <v>9603</v>
      </c>
      <c r="E502" s="265" t="s">
        <v>10602</v>
      </c>
      <c r="F502" s="272" t="s">
        <v>9198</v>
      </c>
      <c r="G502" s="272" t="s">
        <v>9197</v>
      </c>
      <c r="H502" s="7" t="s">
        <v>10606</v>
      </c>
      <c r="I502" s="127" t="s">
        <v>9366</v>
      </c>
      <c r="J502" s="7" t="s">
        <v>10602</v>
      </c>
      <c r="K502" s="7" t="s">
        <v>10602</v>
      </c>
    </row>
    <row r="503" spans="1:11" ht="14.55" customHeight="1" x14ac:dyDescent="0.25">
      <c r="A503" s="272" t="s">
        <v>9358</v>
      </c>
      <c r="B503" s="272" t="s">
        <v>10591</v>
      </c>
      <c r="C503" s="265" t="s">
        <v>9602</v>
      </c>
      <c r="D503" s="266" t="s">
        <v>9603</v>
      </c>
      <c r="E503" s="265" t="s">
        <v>10602</v>
      </c>
      <c r="F503" s="272" t="s">
        <v>9198</v>
      </c>
      <c r="G503" s="272" t="s">
        <v>9197</v>
      </c>
      <c r="H503" s="7" t="s">
        <v>10609</v>
      </c>
      <c r="I503" s="127" t="s">
        <v>10610</v>
      </c>
      <c r="J503" s="7" t="s">
        <v>10602</v>
      </c>
      <c r="K503" s="7" t="s">
        <v>10602</v>
      </c>
    </row>
    <row r="504" spans="1:11" ht="14.55" customHeight="1" x14ac:dyDescent="0.25">
      <c r="A504" s="286" t="s">
        <v>9358</v>
      </c>
      <c r="B504" s="293" t="s">
        <v>10591</v>
      </c>
      <c r="C504" s="294" t="s">
        <v>9602</v>
      </c>
      <c r="D504" s="353" t="s">
        <v>9603</v>
      </c>
      <c r="E504" s="357" t="s">
        <v>10602</v>
      </c>
      <c r="F504" s="293" t="s">
        <v>9198</v>
      </c>
      <c r="G504" s="293" t="s">
        <v>9197</v>
      </c>
      <c r="H504" s="354" t="s">
        <v>13482</v>
      </c>
      <c r="I504" s="264" t="s">
        <v>13483</v>
      </c>
      <c r="J504" s="354" t="s">
        <v>10602</v>
      </c>
      <c r="K504" s="354" t="s">
        <v>10602</v>
      </c>
    </row>
    <row r="505" spans="1:11" ht="14.55" customHeight="1" x14ac:dyDescent="0.25">
      <c r="A505" s="272" t="s">
        <v>9358</v>
      </c>
      <c r="B505" s="272" t="s">
        <v>10591</v>
      </c>
      <c r="C505" s="265" t="s">
        <v>9604</v>
      </c>
      <c r="D505" s="266" t="s">
        <v>9605</v>
      </c>
      <c r="E505" s="278" t="s">
        <v>10663</v>
      </c>
      <c r="F505" s="272" t="s">
        <v>9198</v>
      </c>
      <c r="G505" s="272" t="s">
        <v>9197</v>
      </c>
      <c r="H505" s="7" t="s">
        <v>10744</v>
      </c>
      <c r="I505" s="127" t="s">
        <v>10745</v>
      </c>
      <c r="J505" s="7" t="s">
        <v>10655</v>
      </c>
      <c r="K505" s="7" t="s">
        <v>10655</v>
      </c>
    </row>
    <row r="506" spans="1:11" ht="14.55" customHeight="1" x14ac:dyDescent="0.25">
      <c r="A506" s="272" t="s">
        <v>9358</v>
      </c>
      <c r="B506" s="272" t="s">
        <v>10591</v>
      </c>
      <c r="C506" s="265" t="s">
        <v>9604</v>
      </c>
      <c r="D506" s="266" t="s">
        <v>9605</v>
      </c>
      <c r="E506" s="278" t="s">
        <v>10663</v>
      </c>
      <c r="F506" s="272" t="s">
        <v>9198</v>
      </c>
      <c r="G506" s="272" t="s">
        <v>9197</v>
      </c>
      <c r="H506" s="7" t="s">
        <v>10606</v>
      </c>
      <c r="I506" s="127" t="s">
        <v>9366</v>
      </c>
      <c r="J506" s="7" t="s">
        <v>10602</v>
      </c>
      <c r="K506" s="7" t="s">
        <v>10663</v>
      </c>
    </row>
    <row r="507" spans="1:11" ht="14.55" customHeight="1" x14ac:dyDescent="0.25">
      <c r="A507" s="272" t="s">
        <v>9358</v>
      </c>
      <c r="B507" s="272" t="s">
        <v>10591</v>
      </c>
      <c r="C507" s="265" t="s">
        <v>9604</v>
      </c>
      <c r="D507" s="266" t="s">
        <v>9605</v>
      </c>
      <c r="E507" s="278" t="s">
        <v>10663</v>
      </c>
      <c r="F507" s="272" t="s">
        <v>9198</v>
      </c>
      <c r="G507" s="272" t="s">
        <v>9197</v>
      </c>
      <c r="H507" s="7" t="s">
        <v>10609</v>
      </c>
      <c r="I507" s="127" t="s">
        <v>10610</v>
      </c>
      <c r="J507" s="7" t="s">
        <v>10602</v>
      </c>
      <c r="K507" s="7" t="s">
        <v>10663</v>
      </c>
    </row>
    <row r="508" spans="1:11" ht="14.55" customHeight="1" x14ac:dyDescent="0.25">
      <c r="A508" s="272" t="s">
        <v>9358</v>
      </c>
      <c r="B508" s="272" t="s">
        <v>10591</v>
      </c>
      <c r="C508" s="265" t="s">
        <v>9604</v>
      </c>
      <c r="D508" s="266" t="s">
        <v>9605</v>
      </c>
      <c r="E508" s="278" t="s">
        <v>10663</v>
      </c>
      <c r="F508" s="272" t="s">
        <v>9198</v>
      </c>
      <c r="G508" s="272" t="s">
        <v>9197</v>
      </c>
      <c r="H508" s="7" t="s">
        <v>10748</v>
      </c>
      <c r="I508" s="127" t="s">
        <v>10749</v>
      </c>
      <c r="J508" s="7" t="s">
        <v>10655</v>
      </c>
      <c r="K508" s="7" t="s">
        <v>10655</v>
      </c>
    </row>
    <row r="509" spans="1:11" ht="14.55" customHeight="1" x14ac:dyDescent="0.25">
      <c r="A509" s="286" t="s">
        <v>9358</v>
      </c>
      <c r="B509" s="293" t="s">
        <v>10591</v>
      </c>
      <c r="C509" s="294" t="s">
        <v>9604</v>
      </c>
      <c r="D509" s="353" t="s">
        <v>9605</v>
      </c>
      <c r="E509" s="357" t="s">
        <v>10663</v>
      </c>
      <c r="F509" s="293" t="s">
        <v>9198</v>
      </c>
      <c r="G509" s="293" t="s">
        <v>9197</v>
      </c>
      <c r="H509" s="354" t="s">
        <v>13482</v>
      </c>
      <c r="I509" s="264" t="s">
        <v>13483</v>
      </c>
      <c r="J509" s="354" t="s">
        <v>10602</v>
      </c>
      <c r="K509" s="354" t="s">
        <v>10663</v>
      </c>
    </row>
    <row r="510" spans="1:11" ht="14.55" customHeight="1" x14ac:dyDescent="0.25">
      <c r="A510" s="272" t="s">
        <v>9358</v>
      </c>
      <c r="B510" s="272" t="s">
        <v>10591</v>
      </c>
      <c r="C510" s="265" t="s">
        <v>9604</v>
      </c>
      <c r="D510" s="266" t="s">
        <v>9605</v>
      </c>
      <c r="E510" s="278" t="s">
        <v>10663</v>
      </c>
      <c r="F510" s="272" t="s">
        <v>9198</v>
      </c>
      <c r="G510" s="272" t="s">
        <v>9197</v>
      </c>
      <c r="H510" s="7" t="s">
        <v>10798</v>
      </c>
      <c r="I510" s="127" t="s">
        <v>10799</v>
      </c>
      <c r="J510" s="7" t="s">
        <v>10658</v>
      </c>
      <c r="K510" s="7" t="s">
        <v>10658</v>
      </c>
    </row>
    <row r="511" spans="1:11" ht="14.55" customHeight="1" x14ac:dyDescent="0.25">
      <c r="A511" s="272" t="s">
        <v>9358</v>
      </c>
      <c r="B511" s="272" t="s">
        <v>10591</v>
      </c>
      <c r="C511" s="265" t="s">
        <v>9604</v>
      </c>
      <c r="D511" s="266" t="s">
        <v>9605</v>
      </c>
      <c r="E511" s="278" t="s">
        <v>10663</v>
      </c>
      <c r="F511" s="272" t="s">
        <v>9198</v>
      </c>
      <c r="G511" s="272" t="s">
        <v>9197</v>
      </c>
      <c r="H511" s="7" t="s">
        <v>10802</v>
      </c>
      <c r="I511" s="127" t="s">
        <v>10803</v>
      </c>
      <c r="J511" s="7" t="s">
        <v>10658</v>
      </c>
      <c r="K511" s="7" t="s">
        <v>10658</v>
      </c>
    </row>
    <row r="512" spans="1:11" ht="14.55" customHeight="1" x14ac:dyDescent="0.25">
      <c r="A512" s="272" t="s">
        <v>9358</v>
      </c>
      <c r="B512" s="272" t="s">
        <v>10591</v>
      </c>
      <c r="C512" s="265" t="s">
        <v>9606</v>
      </c>
      <c r="D512" s="266" t="s">
        <v>9607</v>
      </c>
      <c r="E512" s="278" t="s">
        <v>10659</v>
      </c>
      <c r="F512" s="272" t="s">
        <v>9198</v>
      </c>
      <c r="G512" s="272" t="s">
        <v>9197</v>
      </c>
      <c r="H512" s="7" t="s">
        <v>10609</v>
      </c>
      <c r="I512" s="127" t="s">
        <v>10610</v>
      </c>
      <c r="J512" s="7" t="s">
        <v>10602</v>
      </c>
      <c r="K512" s="265" t="s">
        <v>10659</v>
      </c>
    </row>
    <row r="513" spans="1:11" ht="14.55" customHeight="1" x14ac:dyDescent="0.25">
      <c r="A513" s="272" t="s">
        <v>9358</v>
      </c>
      <c r="B513" s="272" t="s">
        <v>10591</v>
      </c>
      <c r="C513" s="265" t="s">
        <v>9606</v>
      </c>
      <c r="D513" s="266" t="s">
        <v>9607</v>
      </c>
      <c r="E513" s="278" t="s">
        <v>10659</v>
      </c>
      <c r="F513" s="272" t="s">
        <v>9198</v>
      </c>
      <c r="G513" s="272" t="s">
        <v>9197</v>
      </c>
      <c r="H513" s="7" t="s">
        <v>10748</v>
      </c>
      <c r="I513" s="127" t="s">
        <v>10749</v>
      </c>
      <c r="J513" s="7" t="s">
        <v>10655</v>
      </c>
      <c r="K513" s="265" t="s">
        <v>10659</v>
      </c>
    </row>
    <row r="514" spans="1:11" ht="14.55" customHeight="1" x14ac:dyDescent="0.25">
      <c r="A514" s="286" t="s">
        <v>9358</v>
      </c>
      <c r="B514" s="293" t="s">
        <v>10591</v>
      </c>
      <c r="C514" s="294" t="s">
        <v>9606</v>
      </c>
      <c r="D514" s="353" t="s">
        <v>9607</v>
      </c>
      <c r="E514" s="357" t="s">
        <v>10659</v>
      </c>
      <c r="F514" s="293" t="s">
        <v>9198</v>
      </c>
      <c r="G514" s="293" t="s">
        <v>9197</v>
      </c>
      <c r="H514" s="354" t="s">
        <v>13482</v>
      </c>
      <c r="I514" s="264" t="s">
        <v>13483</v>
      </c>
      <c r="J514" s="354" t="s">
        <v>10602</v>
      </c>
      <c r="K514" s="354" t="s">
        <v>10659</v>
      </c>
    </row>
    <row r="515" spans="1:11" ht="14.55" customHeight="1" x14ac:dyDescent="0.25">
      <c r="A515" s="272" t="s">
        <v>9358</v>
      </c>
      <c r="B515" s="272" t="s">
        <v>10591</v>
      </c>
      <c r="C515" s="265" t="s">
        <v>9608</v>
      </c>
      <c r="D515" s="266" t="s">
        <v>9609</v>
      </c>
      <c r="E515" s="278" t="s">
        <v>10659</v>
      </c>
      <c r="F515" s="272" t="s">
        <v>9198</v>
      </c>
      <c r="G515" s="272" t="s">
        <v>9197</v>
      </c>
      <c r="H515" s="7" t="s">
        <v>10609</v>
      </c>
      <c r="I515" s="127" t="s">
        <v>10610</v>
      </c>
      <c r="J515" s="7" t="s">
        <v>10602</v>
      </c>
      <c r="K515" s="265" t="s">
        <v>10659</v>
      </c>
    </row>
    <row r="516" spans="1:11" ht="14.55" customHeight="1" x14ac:dyDescent="0.25">
      <c r="A516" s="272" t="s">
        <v>9358</v>
      </c>
      <c r="B516" s="272" t="s">
        <v>10591</v>
      </c>
      <c r="C516" s="265" t="s">
        <v>9608</v>
      </c>
      <c r="D516" s="266" t="s">
        <v>9609</v>
      </c>
      <c r="E516" s="278" t="s">
        <v>10659</v>
      </c>
      <c r="F516" s="272" t="s">
        <v>9198</v>
      </c>
      <c r="G516" s="272" t="s">
        <v>9197</v>
      </c>
      <c r="H516" s="7" t="s">
        <v>10748</v>
      </c>
      <c r="I516" s="127" t="s">
        <v>10749</v>
      </c>
      <c r="J516" s="7" t="s">
        <v>10655</v>
      </c>
      <c r="K516" s="265" t="s">
        <v>10659</v>
      </c>
    </row>
    <row r="517" spans="1:11" ht="14.55" customHeight="1" x14ac:dyDescent="0.25">
      <c r="A517" s="286" t="s">
        <v>9358</v>
      </c>
      <c r="B517" s="293" t="s">
        <v>10591</v>
      </c>
      <c r="C517" s="294" t="s">
        <v>9608</v>
      </c>
      <c r="D517" s="353" t="s">
        <v>9609</v>
      </c>
      <c r="E517" s="357" t="s">
        <v>10659</v>
      </c>
      <c r="F517" s="293" t="s">
        <v>9198</v>
      </c>
      <c r="G517" s="293" t="s">
        <v>9197</v>
      </c>
      <c r="H517" s="354" t="s">
        <v>13482</v>
      </c>
      <c r="I517" s="264" t="s">
        <v>13483</v>
      </c>
      <c r="J517" s="354" t="s">
        <v>10602</v>
      </c>
      <c r="K517" s="354" t="s">
        <v>10659</v>
      </c>
    </row>
    <row r="518" spans="1:11" ht="14.55" customHeight="1" x14ac:dyDescent="0.25">
      <c r="A518" s="272" t="s">
        <v>9358</v>
      </c>
      <c r="B518" s="272" t="s">
        <v>10591</v>
      </c>
      <c r="C518" s="265" t="s">
        <v>9610</v>
      </c>
      <c r="D518" s="266" t="s">
        <v>9611</v>
      </c>
      <c r="E518" s="278" t="s">
        <v>10659</v>
      </c>
      <c r="F518" s="272" t="s">
        <v>9198</v>
      </c>
      <c r="G518" s="272" t="s">
        <v>9197</v>
      </c>
      <c r="H518" s="7" t="s">
        <v>10609</v>
      </c>
      <c r="I518" s="127" t="s">
        <v>10610</v>
      </c>
      <c r="J518" s="7" t="s">
        <v>10602</v>
      </c>
      <c r="K518" s="265" t="s">
        <v>10659</v>
      </c>
    </row>
    <row r="519" spans="1:11" ht="14.55" customHeight="1" x14ac:dyDescent="0.25">
      <c r="A519" s="272" t="s">
        <v>9358</v>
      </c>
      <c r="B519" s="272" t="s">
        <v>10591</v>
      </c>
      <c r="C519" s="265" t="s">
        <v>9610</v>
      </c>
      <c r="D519" s="266" t="s">
        <v>9611</v>
      </c>
      <c r="E519" s="278" t="s">
        <v>10659</v>
      </c>
      <c r="F519" s="272" t="s">
        <v>9198</v>
      </c>
      <c r="G519" s="272" t="s">
        <v>9197</v>
      </c>
      <c r="H519" s="7" t="s">
        <v>10748</v>
      </c>
      <c r="I519" s="127" t="s">
        <v>10749</v>
      </c>
      <c r="J519" s="7" t="s">
        <v>10655</v>
      </c>
      <c r="K519" s="265" t="s">
        <v>10659</v>
      </c>
    </row>
    <row r="520" spans="1:11" ht="14.55" customHeight="1" x14ac:dyDescent="0.25">
      <c r="A520" s="286" t="s">
        <v>9358</v>
      </c>
      <c r="B520" s="293" t="s">
        <v>10591</v>
      </c>
      <c r="C520" s="294" t="s">
        <v>9610</v>
      </c>
      <c r="D520" s="353" t="s">
        <v>9611</v>
      </c>
      <c r="E520" s="357" t="s">
        <v>10659</v>
      </c>
      <c r="F520" s="293" t="s">
        <v>9198</v>
      </c>
      <c r="G520" s="293" t="s">
        <v>9197</v>
      </c>
      <c r="H520" s="354" t="s">
        <v>13482</v>
      </c>
      <c r="I520" s="264" t="s">
        <v>13483</v>
      </c>
      <c r="J520" s="354" t="s">
        <v>10602</v>
      </c>
      <c r="K520" s="354" t="s">
        <v>10659</v>
      </c>
    </row>
    <row r="521" spans="1:11" s="282" customFormat="1" ht="14.55" customHeight="1" x14ac:dyDescent="0.25">
      <c r="A521" s="272" t="s">
        <v>9358</v>
      </c>
      <c r="B521" s="272" t="s">
        <v>10591</v>
      </c>
      <c r="C521" s="265" t="s">
        <v>9612</v>
      </c>
      <c r="D521" s="266" t="s">
        <v>9613</v>
      </c>
      <c r="E521" s="265" t="s">
        <v>10602</v>
      </c>
      <c r="F521" s="272" t="s">
        <v>9198</v>
      </c>
      <c r="G521" s="272" t="s">
        <v>9197</v>
      </c>
      <c r="H521" s="7" t="s">
        <v>10593</v>
      </c>
      <c r="I521" s="266" t="s">
        <v>10594</v>
      </c>
      <c r="J521" s="7" t="s">
        <v>10592</v>
      </c>
      <c r="K521" s="281" t="s">
        <v>10592</v>
      </c>
    </row>
    <row r="522" spans="1:11" ht="14.55" customHeight="1" x14ac:dyDescent="0.25">
      <c r="A522" s="272" t="s">
        <v>9358</v>
      </c>
      <c r="B522" s="272" t="s">
        <v>10591</v>
      </c>
      <c r="C522" s="265" t="s">
        <v>9612</v>
      </c>
      <c r="D522" s="266" t="s">
        <v>9613</v>
      </c>
      <c r="E522" s="265" t="s">
        <v>10602</v>
      </c>
      <c r="F522" s="272" t="s">
        <v>9198</v>
      </c>
      <c r="G522" s="272" t="s">
        <v>9197</v>
      </c>
      <c r="H522" s="7" t="s">
        <v>10606</v>
      </c>
      <c r="I522" s="127" t="s">
        <v>9366</v>
      </c>
      <c r="J522" s="7" t="s">
        <v>10602</v>
      </c>
      <c r="K522" s="7" t="s">
        <v>10602</v>
      </c>
    </row>
    <row r="523" spans="1:11" ht="14.55" customHeight="1" x14ac:dyDescent="0.25">
      <c r="A523" s="272" t="s">
        <v>9358</v>
      </c>
      <c r="B523" s="272" t="s">
        <v>10591</v>
      </c>
      <c r="C523" s="265" t="s">
        <v>9612</v>
      </c>
      <c r="D523" s="266" t="s">
        <v>9613</v>
      </c>
      <c r="E523" s="265" t="s">
        <v>10602</v>
      </c>
      <c r="F523" s="272" t="s">
        <v>9198</v>
      </c>
      <c r="G523" s="272" t="s">
        <v>9197</v>
      </c>
      <c r="H523" s="7" t="s">
        <v>10611</v>
      </c>
      <c r="I523" s="127" t="s">
        <v>10612</v>
      </c>
      <c r="J523" s="7" t="s">
        <v>10602</v>
      </c>
      <c r="K523" s="7" t="s">
        <v>10602</v>
      </c>
    </row>
    <row r="524" spans="1:11" ht="14.55" customHeight="1" x14ac:dyDescent="0.25">
      <c r="A524" s="286" t="s">
        <v>9358</v>
      </c>
      <c r="B524" s="293" t="s">
        <v>10591</v>
      </c>
      <c r="C524" s="294" t="s">
        <v>9612</v>
      </c>
      <c r="D524" s="353" t="s">
        <v>9613</v>
      </c>
      <c r="E524" s="357" t="s">
        <v>10602</v>
      </c>
      <c r="F524" s="293" t="s">
        <v>9198</v>
      </c>
      <c r="G524" s="293" t="s">
        <v>9197</v>
      </c>
      <c r="H524" s="354" t="s">
        <v>13482</v>
      </c>
      <c r="I524" s="264" t="s">
        <v>13483</v>
      </c>
      <c r="J524" s="354" t="s">
        <v>10602</v>
      </c>
      <c r="K524" s="354" t="s">
        <v>10602</v>
      </c>
    </row>
    <row r="525" spans="1:11" ht="14.55" customHeight="1" x14ac:dyDescent="0.25">
      <c r="A525" s="272" t="s">
        <v>9358</v>
      </c>
      <c r="B525" s="272" t="s">
        <v>10591</v>
      </c>
      <c r="C525" s="265" t="s">
        <v>9614</v>
      </c>
      <c r="D525" s="266" t="s">
        <v>9615</v>
      </c>
      <c r="E525" s="278" t="s">
        <v>10663</v>
      </c>
      <c r="F525" s="272" t="s">
        <v>9198</v>
      </c>
      <c r="G525" s="272" t="s">
        <v>9197</v>
      </c>
      <c r="H525" s="7" t="s">
        <v>10744</v>
      </c>
      <c r="I525" s="127" t="s">
        <v>10745</v>
      </c>
      <c r="J525" s="7" t="s">
        <v>10655</v>
      </c>
      <c r="K525" s="7" t="s">
        <v>10655</v>
      </c>
    </row>
    <row r="526" spans="1:11" ht="14.55" customHeight="1" x14ac:dyDescent="0.25">
      <c r="A526" s="272" t="s">
        <v>9358</v>
      </c>
      <c r="B526" s="272" t="s">
        <v>10591</v>
      </c>
      <c r="C526" s="265" t="s">
        <v>9614</v>
      </c>
      <c r="D526" s="266" t="s">
        <v>9615</v>
      </c>
      <c r="E526" s="278" t="s">
        <v>10663</v>
      </c>
      <c r="F526" s="272" t="s">
        <v>9198</v>
      </c>
      <c r="G526" s="272" t="s">
        <v>9197</v>
      </c>
      <c r="H526" s="7" t="s">
        <v>10606</v>
      </c>
      <c r="I526" s="127" t="s">
        <v>9366</v>
      </c>
      <c r="J526" s="7" t="s">
        <v>10602</v>
      </c>
      <c r="K526" s="7" t="s">
        <v>10663</v>
      </c>
    </row>
    <row r="527" spans="1:11" ht="14.55" customHeight="1" x14ac:dyDescent="0.25">
      <c r="A527" s="272" t="s">
        <v>9358</v>
      </c>
      <c r="B527" s="272" t="s">
        <v>10591</v>
      </c>
      <c r="C527" s="265" t="s">
        <v>9614</v>
      </c>
      <c r="D527" s="266" t="s">
        <v>9615</v>
      </c>
      <c r="E527" s="278" t="s">
        <v>10663</v>
      </c>
      <c r="F527" s="272" t="s">
        <v>9198</v>
      </c>
      <c r="G527" s="272" t="s">
        <v>9197</v>
      </c>
      <c r="H527" s="7" t="s">
        <v>10611</v>
      </c>
      <c r="I527" s="127" t="s">
        <v>10612</v>
      </c>
      <c r="J527" s="7" t="s">
        <v>10602</v>
      </c>
      <c r="K527" s="7" t="s">
        <v>10663</v>
      </c>
    </row>
    <row r="528" spans="1:11" ht="14.55" customHeight="1" x14ac:dyDescent="0.25">
      <c r="A528" s="272" t="s">
        <v>9358</v>
      </c>
      <c r="B528" s="272" t="s">
        <v>10591</v>
      </c>
      <c r="C528" s="265" t="s">
        <v>9614</v>
      </c>
      <c r="D528" s="266" t="s">
        <v>9615</v>
      </c>
      <c r="E528" s="278" t="s">
        <v>10663</v>
      </c>
      <c r="F528" s="272" t="s">
        <v>9198</v>
      </c>
      <c r="G528" s="272" t="s">
        <v>9197</v>
      </c>
      <c r="H528" s="7" t="s">
        <v>10750</v>
      </c>
      <c r="I528" s="127" t="s">
        <v>10751</v>
      </c>
      <c r="J528" s="7" t="s">
        <v>10655</v>
      </c>
      <c r="K528" s="7" t="s">
        <v>10655</v>
      </c>
    </row>
    <row r="529" spans="1:11" ht="14.55" customHeight="1" x14ac:dyDescent="0.25">
      <c r="A529" s="286" t="s">
        <v>9358</v>
      </c>
      <c r="B529" s="293" t="s">
        <v>10591</v>
      </c>
      <c r="C529" s="294" t="s">
        <v>9614</v>
      </c>
      <c r="D529" s="353" t="s">
        <v>9615</v>
      </c>
      <c r="E529" s="357" t="s">
        <v>10663</v>
      </c>
      <c r="F529" s="293" t="s">
        <v>9198</v>
      </c>
      <c r="G529" s="293" t="s">
        <v>9197</v>
      </c>
      <c r="H529" s="354" t="s">
        <v>13482</v>
      </c>
      <c r="I529" s="264" t="s">
        <v>13483</v>
      </c>
      <c r="J529" s="354" t="s">
        <v>10602</v>
      </c>
      <c r="K529" s="354" t="s">
        <v>10663</v>
      </c>
    </row>
    <row r="530" spans="1:11" ht="14.55" customHeight="1" x14ac:dyDescent="0.25">
      <c r="A530" s="272" t="s">
        <v>9358</v>
      </c>
      <c r="B530" s="272" t="s">
        <v>10591</v>
      </c>
      <c r="C530" s="265" t="s">
        <v>9614</v>
      </c>
      <c r="D530" s="266" t="s">
        <v>9615</v>
      </c>
      <c r="E530" s="278" t="s">
        <v>10663</v>
      </c>
      <c r="F530" s="272" t="s">
        <v>9198</v>
      </c>
      <c r="G530" s="272" t="s">
        <v>9197</v>
      </c>
      <c r="H530" s="7" t="s">
        <v>10798</v>
      </c>
      <c r="I530" s="127" t="s">
        <v>10799</v>
      </c>
      <c r="J530" s="7" t="s">
        <v>10658</v>
      </c>
      <c r="K530" s="7" t="s">
        <v>10658</v>
      </c>
    </row>
    <row r="531" spans="1:11" ht="14.55" customHeight="1" x14ac:dyDescent="0.25">
      <c r="A531" s="272" t="s">
        <v>9358</v>
      </c>
      <c r="B531" s="272" t="s">
        <v>10591</v>
      </c>
      <c r="C531" s="265" t="s">
        <v>9614</v>
      </c>
      <c r="D531" s="266" t="s">
        <v>9615</v>
      </c>
      <c r="E531" s="278" t="s">
        <v>10663</v>
      </c>
      <c r="F531" s="272" t="s">
        <v>9198</v>
      </c>
      <c r="G531" s="272" t="s">
        <v>9197</v>
      </c>
      <c r="H531" s="7" t="s">
        <v>10804</v>
      </c>
      <c r="I531" s="127" t="s">
        <v>10805</v>
      </c>
      <c r="J531" s="7" t="s">
        <v>10658</v>
      </c>
      <c r="K531" s="7" t="s">
        <v>10658</v>
      </c>
    </row>
    <row r="532" spans="1:11" ht="14.55" customHeight="1" x14ac:dyDescent="0.25">
      <c r="A532" s="272" t="s">
        <v>9358</v>
      </c>
      <c r="B532" s="272" t="s">
        <v>10591</v>
      </c>
      <c r="C532" s="265" t="s">
        <v>9616</v>
      </c>
      <c r="D532" s="266" t="s">
        <v>9617</v>
      </c>
      <c r="E532" s="278" t="s">
        <v>10659</v>
      </c>
      <c r="F532" s="272" t="s">
        <v>9198</v>
      </c>
      <c r="G532" s="272" t="s">
        <v>9197</v>
      </c>
      <c r="H532" s="7" t="s">
        <v>10611</v>
      </c>
      <c r="I532" s="127" t="s">
        <v>10612</v>
      </c>
      <c r="J532" s="7" t="s">
        <v>10602</v>
      </c>
      <c r="K532" s="265" t="s">
        <v>10659</v>
      </c>
    </row>
    <row r="533" spans="1:11" ht="14.55" customHeight="1" x14ac:dyDescent="0.25">
      <c r="A533" s="272" t="s">
        <v>9358</v>
      </c>
      <c r="B533" s="272" t="s">
        <v>10591</v>
      </c>
      <c r="C533" s="265" t="s">
        <v>9616</v>
      </c>
      <c r="D533" s="266" t="s">
        <v>9617</v>
      </c>
      <c r="E533" s="278" t="s">
        <v>10659</v>
      </c>
      <c r="F533" s="272" t="s">
        <v>9198</v>
      </c>
      <c r="G533" s="272" t="s">
        <v>9197</v>
      </c>
      <c r="H533" s="7" t="s">
        <v>10750</v>
      </c>
      <c r="I533" s="127" t="s">
        <v>10751</v>
      </c>
      <c r="J533" s="7" t="s">
        <v>10655</v>
      </c>
      <c r="K533" s="265" t="s">
        <v>10659</v>
      </c>
    </row>
    <row r="534" spans="1:11" ht="14.55" customHeight="1" x14ac:dyDescent="0.25">
      <c r="A534" s="286" t="s">
        <v>9358</v>
      </c>
      <c r="B534" s="293" t="s">
        <v>10591</v>
      </c>
      <c r="C534" s="294" t="s">
        <v>9616</v>
      </c>
      <c r="D534" s="353" t="s">
        <v>9617</v>
      </c>
      <c r="E534" s="357" t="s">
        <v>10659</v>
      </c>
      <c r="F534" s="293" t="s">
        <v>9198</v>
      </c>
      <c r="G534" s="293" t="s">
        <v>9197</v>
      </c>
      <c r="H534" s="354" t="s">
        <v>13482</v>
      </c>
      <c r="I534" s="264" t="s">
        <v>13483</v>
      </c>
      <c r="J534" s="354" t="s">
        <v>10602</v>
      </c>
      <c r="K534" s="354" t="s">
        <v>10659</v>
      </c>
    </row>
    <row r="535" spans="1:11" s="282" customFormat="1" ht="14.55" customHeight="1" x14ac:dyDescent="0.25">
      <c r="A535" s="272" t="s">
        <v>9358</v>
      </c>
      <c r="B535" s="272" t="s">
        <v>10591</v>
      </c>
      <c r="C535" s="265" t="s">
        <v>9618</v>
      </c>
      <c r="D535" s="266" t="s">
        <v>9619</v>
      </c>
      <c r="E535" s="265" t="s">
        <v>10602</v>
      </c>
      <c r="F535" s="272" t="s">
        <v>9198</v>
      </c>
      <c r="G535" s="272" t="s">
        <v>9197</v>
      </c>
      <c r="H535" s="7" t="s">
        <v>10593</v>
      </c>
      <c r="I535" s="266" t="s">
        <v>10594</v>
      </c>
      <c r="J535" s="7" t="s">
        <v>10592</v>
      </c>
      <c r="K535" s="7" t="s">
        <v>10592</v>
      </c>
    </row>
    <row r="536" spans="1:11" ht="14.55" customHeight="1" x14ac:dyDescent="0.25">
      <c r="A536" s="272" t="s">
        <v>9358</v>
      </c>
      <c r="B536" s="272" t="s">
        <v>10591</v>
      </c>
      <c r="C536" s="265" t="s">
        <v>9618</v>
      </c>
      <c r="D536" s="266" t="s">
        <v>9619</v>
      </c>
      <c r="E536" s="265" t="s">
        <v>10602</v>
      </c>
      <c r="F536" s="272" t="s">
        <v>9198</v>
      </c>
      <c r="G536" s="272" t="s">
        <v>9197</v>
      </c>
      <c r="H536" s="7" t="s">
        <v>10606</v>
      </c>
      <c r="I536" s="127" t="s">
        <v>9366</v>
      </c>
      <c r="J536" s="7" t="s">
        <v>10602</v>
      </c>
      <c r="K536" s="7" t="s">
        <v>10602</v>
      </c>
    </row>
    <row r="537" spans="1:11" ht="14.55" customHeight="1" x14ac:dyDescent="0.25">
      <c r="A537" s="272" t="s">
        <v>9358</v>
      </c>
      <c r="B537" s="272" t="s">
        <v>10591</v>
      </c>
      <c r="C537" s="265" t="s">
        <v>9618</v>
      </c>
      <c r="D537" s="266" t="s">
        <v>9619</v>
      </c>
      <c r="E537" s="265" t="s">
        <v>10602</v>
      </c>
      <c r="F537" s="272" t="s">
        <v>9198</v>
      </c>
      <c r="G537" s="272" t="s">
        <v>9197</v>
      </c>
      <c r="H537" s="7" t="s">
        <v>10617</v>
      </c>
      <c r="I537" s="127" t="s">
        <v>10618</v>
      </c>
      <c r="J537" s="7" t="s">
        <v>10602</v>
      </c>
      <c r="K537" s="7" t="s">
        <v>10602</v>
      </c>
    </row>
    <row r="538" spans="1:11" ht="14.55" customHeight="1" x14ac:dyDescent="0.25">
      <c r="A538" s="286" t="s">
        <v>9358</v>
      </c>
      <c r="B538" s="293" t="s">
        <v>10591</v>
      </c>
      <c r="C538" s="294" t="s">
        <v>9618</v>
      </c>
      <c r="D538" s="353" t="s">
        <v>9619</v>
      </c>
      <c r="E538" s="357" t="s">
        <v>10602</v>
      </c>
      <c r="F538" s="293" t="s">
        <v>9198</v>
      </c>
      <c r="G538" s="293" t="s">
        <v>9197</v>
      </c>
      <c r="H538" s="354" t="s">
        <v>13482</v>
      </c>
      <c r="I538" s="264" t="s">
        <v>13483</v>
      </c>
      <c r="J538" s="354" t="s">
        <v>10602</v>
      </c>
      <c r="K538" s="354" t="s">
        <v>10602</v>
      </c>
    </row>
    <row r="539" spans="1:11" ht="14.55" customHeight="1" x14ac:dyDescent="0.25">
      <c r="A539" s="272" t="s">
        <v>9358</v>
      </c>
      <c r="B539" s="272" t="s">
        <v>10591</v>
      </c>
      <c r="C539" s="265" t="s">
        <v>9620</v>
      </c>
      <c r="D539" s="266" t="s">
        <v>9621</v>
      </c>
      <c r="E539" s="278" t="s">
        <v>10663</v>
      </c>
      <c r="F539" s="272" t="s">
        <v>9198</v>
      </c>
      <c r="G539" s="272" t="s">
        <v>9197</v>
      </c>
      <c r="H539" s="7" t="s">
        <v>10744</v>
      </c>
      <c r="I539" s="127" t="s">
        <v>10745</v>
      </c>
      <c r="J539" s="7" t="s">
        <v>10655</v>
      </c>
      <c r="K539" s="7" t="s">
        <v>10655</v>
      </c>
    </row>
    <row r="540" spans="1:11" ht="14.55" customHeight="1" x14ac:dyDescent="0.25">
      <c r="A540" s="272" t="s">
        <v>9358</v>
      </c>
      <c r="B540" s="272" t="s">
        <v>10591</v>
      </c>
      <c r="C540" s="265" t="s">
        <v>9620</v>
      </c>
      <c r="D540" s="266" t="s">
        <v>9621</v>
      </c>
      <c r="E540" s="278" t="s">
        <v>10663</v>
      </c>
      <c r="F540" s="272" t="s">
        <v>9198</v>
      </c>
      <c r="G540" s="272" t="s">
        <v>9197</v>
      </c>
      <c r="H540" s="7" t="s">
        <v>10606</v>
      </c>
      <c r="I540" s="127" t="s">
        <v>9366</v>
      </c>
      <c r="J540" s="7" t="s">
        <v>10602</v>
      </c>
      <c r="K540" s="7" t="s">
        <v>10663</v>
      </c>
    </row>
    <row r="541" spans="1:11" ht="14.55" customHeight="1" x14ac:dyDescent="0.25">
      <c r="A541" s="272" t="s">
        <v>9358</v>
      </c>
      <c r="B541" s="272" t="s">
        <v>10591</v>
      </c>
      <c r="C541" s="265" t="s">
        <v>9620</v>
      </c>
      <c r="D541" s="266" t="s">
        <v>9621</v>
      </c>
      <c r="E541" s="278" t="s">
        <v>10663</v>
      </c>
      <c r="F541" s="272" t="s">
        <v>9198</v>
      </c>
      <c r="G541" s="272" t="s">
        <v>9197</v>
      </c>
      <c r="H541" s="7" t="s">
        <v>10617</v>
      </c>
      <c r="I541" s="127" t="s">
        <v>10618</v>
      </c>
      <c r="J541" s="7" t="s">
        <v>10602</v>
      </c>
      <c r="K541" s="7" t="s">
        <v>10663</v>
      </c>
    </row>
    <row r="542" spans="1:11" ht="14.55" customHeight="1" x14ac:dyDescent="0.25">
      <c r="A542" s="286" t="s">
        <v>9358</v>
      </c>
      <c r="B542" s="293" t="s">
        <v>10591</v>
      </c>
      <c r="C542" s="294" t="s">
        <v>9620</v>
      </c>
      <c r="D542" s="353" t="s">
        <v>9621</v>
      </c>
      <c r="E542" s="357" t="s">
        <v>10663</v>
      </c>
      <c r="F542" s="293" t="s">
        <v>9198</v>
      </c>
      <c r="G542" s="293" t="s">
        <v>9197</v>
      </c>
      <c r="H542" s="354" t="s">
        <v>13482</v>
      </c>
      <c r="I542" s="264" t="s">
        <v>13483</v>
      </c>
      <c r="J542" s="354" t="s">
        <v>10602</v>
      </c>
      <c r="K542" s="354" t="s">
        <v>10663</v>
      </c>
    </row>
    <row r="543" spans="1:11" ht="14.55" customHeight="1" x14ac:dyDescent="0.25">
      <c r="A543" s="272" t="s">
        <v>9358</v>
      </c>
      <c r="B543" s="272" t="s">
        <v>10591</v>
      </c>
      <c r="C543" s="265" t="s">
        <v>9620</v>
      </c>
      <c r="D543" s="266" t="s">
        <v>9621</v>
      </c>
      <c r="E543" s="278" t="s">
        <v>10663</v>
      </c>
      <c r="F543" s="272" t="s">
        <v>9198</v>
      </c>
      <c r="G543" s="272" t="s">
        <v>9197</v>
      </c>
      <c r="H543" s="7" t="s">
        <v>10798</v>
      </c>
      <c r="I543" s="127" t="s">
        <v>10799</v>
      </c>
      <c r="J543" s="7" t="s">
        <v>10658</v>
      </c>
      <c r="K543" s="7" t="s">
        <v>10658</v>
      </c>
    </row>
    <row r="544" spans="1:11" s="282" customFormat="1" ht="14.55" customHeight="1" x14ac:dyDescent="0.25">
      <c r="A544" s="272" t="s">
        <v>9358</v>
      </c>
      <c r="B544" s="272" t="s">
        <v>10591</v>
      </c>
      <c r="C544" s="265" t="s">
        <v>9622</v>
      </c>
      <c r="D544" s="266" t="s">
        <v>9623</v>
      </c>
      <c r="E544" s="265" t="s">
        <v>10602</v>
      </c>
      <c r="F544" s="272" t="s">
        <v>9198</v>
      </c>
      <c r="G544" s="272" t="s">
        <v>9197</v>
      </c>
      <c r="H544" s="7" t="s">
        <v>10593</v>
      </c>
      <c r="I544" s="266" t="s">
        <v>10594</v>
      </c>
      <c r="J544" s="7" t="s">
        <v>10592</v>
      </c>
      <c r="K544" s="7" t="s">
        <v>10592</v>
      </c>
    </row>
    <row r="545" spans="1:11" ht="14.55" customHeight="1" x14ac:dyDescent="0.25">
      <c r="A545" s="272" t="s">
        <v>9358</v>
      </c>
      <c r="B545" s="272" t="s">
        <v>10591</v>
      </c>
      <c r="C545" s="265" t="s">
        <v>9622</v>
      </c>
      <c r="D545" s="266" t="s">
        <v>9623</v>
      </c>
      <c r="E545" s="265" t="s">
        <v>10602</v>
      </c>
      <c r="F545" s="272" t="s">
        <v>9198</v>
      </c>
      <c r="G545" s="272" t="s">
        <v>9197</v>
      </c>
      <c r="H545" s="7" t="s">
        <v>10806</v>
      </c>
      <c r="I545" s="266" t="s">
        <v>10807</v>
      </c>
      <c r="J545" s="7" t="s">
        <v>10808</v>
      </c>
      <c r="K545" s="265" t="s">
        <v>10602</v>
      </c>
    </row>
    <row r="546" spans="1:11" ht="14.55" customHeight="1" x14ac:dyDescent="0.25">
      <c r="A546" s="272" t="s">
        <v>9358</v>
      </c>
      <c r="B546" s="272" t="s">
        <v>10591</v>
      </c>
      <c r="C546" s="265" t="s">
        <v>9622</v>
      </c>
      <c r="D546" s="266" t="s">
        <v>9623</v>
      </c>
      <c r="E546" s="265" t="s">
        <v>10602</v>
      </c>
      <c r="F546" s="272" t="s">
        <v>9198</v>
      </c>
      <c r="G546" s="272" t="s">
        <v>9197</v>
      </c>
      <c r="H546" s="7" t="s">
        <v>10809</v>
      </c>
      <c r="I546" s="127" t="s">
        <v>10810</v>
      </c>
      <c r="J546" s="7" t="s">
        <v>10602</v>
      </c>
      <c r="K546" s="265" t="s">
        <v>10602</v>
      </c>
    </row>
    <row r="547" spans="1:11" ht="14.55" customHeight="1" x14ac:dyDescent="0.25">
      <c r="A547" s="286" t="s">
        <v>9358</v>
      </c>
      <c r="B547" s="293" t="s">
        <v>10591</v>
      </c>
      <c r="C547" s="294" t="s">
        <v>9622</v>
      </c>
      <c r="D547" s="353" t="s">
        <v>9623</v>
      </c>
      <c r="E547" s="357" t="s">
        <v>10602</v>
      </c>
      <c r="F547" s="293" t="s">
        <v>9198</v>
      </c>
      <c r="G547" s="293" t="s">
        <v>9197</v>
      </c>
      <c r="H547" s="354" t="s">
        <v>13482</v>
      </c>
      <c r="I547" s="264" t="s">
        <v>13483</v>
      </c>
      <c r="J547" s="354" t="s">
        <v>10602</v>
      </c>
      <c r="K547" s="354" t="s">
        <v>10602</v>
      </c>
    </row>
    <row r="548" spans="1:11" ht="14.55" customHeight="1" x14ac:dyDescent="0.25">
      <c r="A548" s="272" t="s">
        <v>9358</v>
      </c>
      <c r="B548" s="272" t="s">
        <v>10591</v>
      </c>
      <c r="C548" s="265" t="s">
        <v>9624</v>
      </c>
      <c r="D548" s="266" t="s">
        <v>9625</v>
      </c>
      <c r="E548" s="265" t="s">
        <v>10663</v>
      </c>
      <c r="F548" s="272" t="s">
        <v>9198</v>
      </c>
      <c r="G548" s="272" t="s">
        <v>9197</v>
      </c>
      <c r="H548" s="7" t="s">
        <v>10806</v>
      </c>
      <c r="I548" s="266" t="s">
        <v>10807</v>
      </c>
      <c r="J548" s="7" t="s">
        <v>10808</v>
      </c>
      <c r="K548" s="265" t="s">
        <v>10663</v>
      </c>
    </row>
    <row r="549" spans="1:11" ht="14.55" customHeight="1" x14ac:dyDescent="0.25">
      <c r="A549" s="272" t="s">
        <v>9358</v>
      </c>
      <c r="B549" s="272" t="s">
        <v>10591</v>
      </c>
      <c r="C549" s="265" t="s">
        <v>9624</v>
      </c>
      <c r="D549" s="266" t="s">
        <v>9625</v>
      </c>
      <c r="E549" s="265" t="s">
        <v>10663</v>
      </c>
      <c r="F549" s="272" t="s">
        <v>9198</v>
      </c>
      <c r="G549" s="272" t="s">
        <v>9197</v>
      </c>
      <c r="H549" s="7" t="s">
        <v>10809</v>
      </c>
      <c r="I549" s="127" t="s">
        <v>10810</v>
      </c>
      <c r="J549" s="7" t="s">
        <v>10602</v>
      </c>
      <c r="K549" s="7" t="s">
        <v>10663</v>
      </c>
    </row>
    <row r="550" spans="1:11" ht="14.55" customHeight="1" x14ac:dyDescent="0.25">
      <c r="A550" s="272" t="s">
        <v>9358</v>
      </c>
      <c r="B550" s="272" t="s">
        <v>10591</v>
      </c>
      <c r="C550" s="265" t="s">
        <v>9624</v>
      </c>
      <c r="D550" s="266" t="s">
        <v>9625</v>
      </c>
      <c r="E550" s="265" t="s">
        <v>10663</v>
      </c>
      <c r="F550" s="272" t="s">
        <v>9198</v>
      </c>
      <c r="G550" s="272" t="s">
        <v>9197</v>
      </c>
      <c r="H550" s="7" t="s">
        <v>10811</v>
      </c>
      <c r="I550" s="127" t="s">
        <v>10812</v>
      </c>
      <c r="J550" s="7" t="s">
        <v>10655</v>
      </c>
      <c r="K550" s="7" t="s">
        <v>10655</v>
      </c>
    </row>
    <row r="551" spans="1:11" ht="14.55" customHeight="1" x14ac:dyDescent="0.25">
      <c r="A551" s="286" t="s">
        <v>9358</v>
      </c>
      <c r="B551" s="293" t="s">
        <v>10591</v>
      </c>
      <c r="C551" s="294" t="s">
        <v>9624</v>
      </c>
      <c r="D551" s="353" t="s">
        <v>9625</v>
      </c>
      <c r="E551" s="357" t="s">
        <v>10663</v>
      </c>
      <c r="F551" s="293" t="s">
        <v>9198</v>
      </c>
      <c r="G551" s="293" t="s">
        <v>9197</v>
      </c>
      <c r="H551" s="354" t="s">
        <v>13482</v>
      </c>
      <c r="I551" s="264" t="s">
        <v>13483</v>
      </c>
      <c r="J551" s="354" t="s">
        <v>10602</v>
      </c>
      <c r="K551" s="354" t="s">
        <v>10663</v>
      </c>
    </row>
    <row r="552" spans="1:11" ht="14.55" customHeight="1" x14ac:dyDescent="0.25">
      <c r="A552" s="272" t="s">
        <v>9358</v>
      </c>
      <c r="B552" s="272" t="s">
        <v>10591</v>
      </c>
      <c r="C552" s="265" t="s">
        <v>9624</v>
      </c>
      <c r="D552" s="266" t="s">
        <v>9625</v>
      </c>
      <c r="E552" s="265" t="s">
        <v>10663</v>
      </c>
      <c r="F552" s="272" t="s">
        <v>9198</v>
      </c>
      <c r="G552" s="272" t="s">
        <v>9197</v>
      </c>
      <c r="H552" s="7" t="s">
        <v>10813</v>
      </c>
      <c r="I552" s="266" t="s">
        <v>10814</v>
      </c>
      <c r="J552" s="7" t="s">
        <v>10658</v>
      </c>
      <c r="K552" s="265" t="s">
        <v>10658</v>
      </c>
    </row>
    <row r="553" spans="1:11" ht="14.55" customHeight="1" x14ac:dyDescent="0.25">
      <c r="A553" s="272" t="s">
        <v>9358</v>
      </c>
      <c r="B553" s="272" t="s">
        <v>10591</v>
      </c>
      <c r="C553" s="265" t="s">
        <v>9626</v>
      </c>
      <c r="D553" s="266" t="s">
        <v>9627</v>
      </c>
      <c r="E553" s="278" t="s">
        <v>10663</v>
      </c>
      <c r="F553" s="272" t="s">
        <v>9198</v>
      </c>
      <c r="G553" s="272" t="s">
        <v>9197</v>
      </c>
      <c r="H553" s="7" t="s">
        <v>10744</v>
      </c>
      <c r="I553" s="266" t="s">
        <v>10745</v>
      </c>
      <c r="J553" s="7" t="s">
        <v>10655</v>
      </c>
      <c r="K553" s="7" t="s">
        <v>10655</v>
      </c>
    </row>
    <row r="554" spans="1:11" ht="14.55" customHeight="1" x14ac:dyDescent="0.25">
      <c r="A554" s="272" t="s">
        <v>9358</v>
      </c>
      <c r="B554" s="272" t="s">
        <v>10591</v>
      </c>
      <c r="C554" s="265" t="s">
        <v>9626</v>
      </c>
      <c r="D554" s="266" t="s">
        <v>9627</v>
      </c>
      <c r="E554" s="278" t="s">
        <v>10663</v>
      </c>
      <c r="F554" s="272" t="s">
        <v>9198</v>
      </c>
      <c r="G554" s="272" t="s">
        <v>9197</v>
      </c>
      <c r="H554" s="7" t="s">
        <v>10811</v>
      </c>
      <c r="I554" s="266" t="s">
        <v>10812</v>
      </c>
      <c r="J554" s="7" t="s">
        <v>10655</v>
      </c>
      <c r="K554" s="7" t="s">
        <v>10655</v>
      </c>
    </row>
    <row r="555" spans="1:11" ht="14.55" customHeight="1" x14ac:dyDescent="0.25">
      <c r="A555" s="272" t="s">
        <v>9358</v>
      </c>
      <c r="B555" s="272" t="s">
        <v>10591</v>
      </c>
      <c r="C555" s="265" t="s">
        <v>9626</v>
      </c>
      <c r="D555" s="266" t="s">
        <v>9627</v>
      </c>
      <c r="E555" s="278" t="s">
        <v>10663</v>
      </c>
      <c r="F555" s="272" t="s">
        <v>9198</v>
      </c>
      <c r="G555" s="272" t="s">
        <v>9197</v>
      </c>
      <c r="H555" s="7" t="s">
        <v>10606</v>
      </c>
      <c r="I555" s="266" t="s">
        <v>9366</v>
      </c>
      <c r="J555" s="7" t="s">
        <v>10602</v>
      </c>
      <c r="K555" s="7" t="s">
        <v>10663</v>
      </c>
    </row>
    <row r="556" spans="1:11" ht="14.55" customHeight="1" x14ac:dyDescent="0.25">
      <c r="A556" s="272" t="s">
        <v>9358</v>
      </c>
      <c r="B556" s="272" t="s">
        <v>10591</v>
      </c>
      <c r="C556" s="265" t="s">
        <v>9626</v>
      </c>
      <c r="D556" s="266" t="s">
        <v>9627</v>
      </c>
      <c r="E556" s="278" t="s">
        <v>10663</v>
      </c>
      <c r="F556" s="272" t="s">
        <v>9198</v>
      </c>
      <c r="G556" s="272" t="s">
        <v>9197</v>
      </c>
      <c r="H556" s="7" t="s">
        <v>10607</v>
      </c>
      <c r="I556" s="266" t="s">
        <v>10608</v>
      </c>
      <c r="J556" s="7" t="s">
        <v>10602</v>
      </c>
      <c r="K556" s="7" t="s">
        <v>10663</v>
      </c>
    </row>
    <row r="557" spans="1:11" ht="14.55" customHeight="1" x14ac:dyDescent="0.25">
      <c r="A557" s="272" t="s">
        <v>9358</v>
      </c>
      <c r="B557" s="272" t="s">
        <v>10591</v>
      </c>
      <c r="C557" s="265" t="s">
        <v>9626</v>
      </c>
      <c r="D557" s="266" t="s">
        <v>9627</v>
      </c>
      <c r="E557" s="278" t="s">
        <v>10663</v>
      </c>
      <c r="F557" s="272" t="s">
        <v>9198</v>
      </c>
      <c r="G557" s="272" t="s">
        <v>9197</v>
      </c>
      <c r="H557" s="7" t="s">
        <v>10609</v>
      </c>
      <c r="I557" s="266" t="s">
        <v>10610</v>
      </c>
      <c r="J557" s="7" t="s">
        <v>10602</v>
      </c>
      <c r="K557" s="7" t="s">
        <v>10663</v>
      </c>
    </row>
    <row r="558" spans="1:11" ht="14.55" customHeight="1" x14ac:dyDescent="0.25">
      <c r="A558" s="272" t="s">
        <v>9358</v>
      </c>
      <c r="B558" s="272" t="s">
        <v>10591</v>
      </c>
      <c r="C558" s="265" t="s">
        <v>9626</v>
      </c>
      <c r="D558" s="266" t="s">
        <v>9627</v>
      </c>
      <c r="E558" s="278" t="s">
        <v>10663</v>
      </c>
      <c r="F558" s="272" t="s">
        <v>9198</v>
      </c>
      <c r="G558" s="272" t="s">
        <v>9197</v>
      </c>
      <c r="H558" s="7" t="s">
        <v>10611</v>
      </c>
      <c r="I558" s="266" t="s">
        <v>10612</v>
      </c>
      <c r="J558" s="7" t="s">
        <v>10602</v>
      </c>
      <c r="K558" s="7" t="s">
        <v>10663</v>
      </c>
    </row>
    <row r="559" spans="1:11" ht="14.55" customHeight="1" x14ac:dyDescent="0.25">
      <c r="A559" s="272" t="s">
        <v>9358</v>
      </c>
      <c r="B559" s="272" t="s">
        <v>10591</v>
      </c>
      <c r="C559" s="265" t="s">
        <v>9626</v>
      </c>
      <c r="D559" s="266" t="s">
        <v>9627</v>
      </c>
      <c r="E559" s="278" t="s">
        <v>10663</v>
      </c>
      <c r="F559" s="272" t="s">
        <v>9198</v>
      </c>
      <c r="G559" s="272" t="s">
        <v>9197</v>
      </c>
      <c r="H559" s="7" t="s">
        <v>10613</v>
      </c>
      <c r="I559" s="266" t="s">
        <v>10614</v>
      </c>
      <c r="J559" s="7" t="s">
        <v>10602</v>
      </c>
      <c r="K559" s="7" t="s">
        <v>10663</v>
      </c>
    </row>
    <row r="560" spans="1:11" ht="14.55" customHeight="1" x14ac:dyDescent="0.25">
      <c r="A560" s="272" t="s">
        <v>9358</v>
      </c>
      <c r="B560" s="272" t="s">
        <v>10591</v>
      </c>
      <c r="C560" s="265" t="s">
        <v>9626</v>
      </c>
      <c r="D560" s="266" t="s">
        <v>9627</v>
      </c>
      <c r="E560" s="278" t="s">
        <v>10663</v>
      </c>
      <c r="F560" s="272" t="s">
        <v>9198</v>
      </c>
      <c r="G560" s="272" t="s">
        <v>9197</v>
      </c>
      <c r="H560" s="7" t="s">
        <v>10615</v>
      </c>
      <c r="I560" s="266" t="s">
        <v>10616</v>
      </c>
      <c r="J560" s="7" t="s">
        <v>10602</v>
      </c>
      <c r="K560" s="7" t="s">
        <v>10663</v>
      </c>
    </row>
    <row r="561" spans="1:11" ht="14.55" customHeight="1" x14ac:dyDescent="0.25">
      <c r="A561" s="272" t="s">
        <v>9358</v>
      </c>
      <c r="B561" s="272" t="s">
        <v>10591</v>
      </c>
      <c r="C561" s="265" t="s">
        <v>9626</v>
      </c>
      <c r="D561" s="266" t="s">
        <v>9627</v>
      </c>
      <c r="E561" s="278" t="s">
        <v>10663</v>
      </c>
      <c r="F561" s="272" t="s">
        <v>9198</v>
      </c>
      <c r="G561" s="272" t="s">
        <v>9197</v>
      </c>
      <c r="H561" s="7" t="s">
        <v>10746</v>
      </c>
      <c r="I561" s="266" t="s">
        <v>10747</v>
      </c>
      <c r="J561" s="7" t="s">
        <v>10655</v>
      </c>
      <c r="K561" s="7" t="s">
        <v>10655</v>
      </c>
    </row>
    <row r="562" spans="1:11" ht="14.55" customHeight="1" x14ac:dyDescent="0.25">
      <c r="A562" s="272" t="s">
        <v>9358</v>
      </c>
      <c r="B562" s="272" t="s">
        <v>10591</v>
      </c>
      <c r="C562" s="265" t="s">
        <v>9626</v>
      </c>
      <c r="D562" s="266" t="s">
        <v>9627</v>
      </c>
      <c r="E562" s="278" t="s">
        <v>10663</v>
      </c>
      <c r="F562" s="272" t="s">
        <v>9198</v>
      </c>
      <c r="G562" s="272" t="s">
        <v>9197</v>
      </c>
      <c r="H562" s="7" t="s">
        <v>10748</v>
      </c>
      <c r="I562" s="266" t="s">
        <v>10749</v>
      </c>
      <c r="J562" s="7" t="s">
        <v>10655</v>
      </c>
      <c r="K562" s="7" t="s">
        <v>10655</v>
      </c>
    </row>
    <row r="563" spans="1:11" ht="14.55" customHeight="1" x14ac:dyDescent="0.25">
      <c r="A563" s="272" t="s">
        <v>9358</v>
      </c>
      <c r="B563" s="272" t="s">
        <v>10591</v>
      </c>
      <c r="C563" s="265" t="s">
        <v>9626</v>
      </c>
      <c r="D563" s="266" t="s">
        <v>9627</v>
      </c>
      <c r="E563" s="278" t="s">
        <v>10663</v>
      </c>
      <c r="F563" s="272" t="s">
        <v>9198</v>
      </c>
      <c r="G563" s="272" t="s">
        <v>9197</v>
      </c>
      <c r="H563" s="7" t="s">
        <v>10750</v>
      </c>
      <c r="I563" s="266" t="s">
        <v>10751</v>
      </c>
      <c r="J563" s="7" t="s">
        <v>10655</v>
      </c>
      <c r="K563" s="7" t="s">
        <v>10655</v>
      </c>
    </row>
    <row r="564" spans="1:11" ht="14.55" customHeight="1" x14ac:dyDescent="0.25">
      <c r="A564" s="272" t="s">
        <v>9358</v>
      </c>
      <c r="B564" s="272" t="s">
        <v>10591</v>
      </c>
      <c r="C564" s="265" t="s">
        <v>9626</v>
      </c>
      <c r="D564" s="266" t="s">
        <v>9627</v>
      </c>
      <c r="E564" s="278" t="s">
        <v>10663</v>
      </c>
      <c r="F564" s="272" t="s">
        <v>9198</v>
      </c>
      <c r="G564" s="272" t="s">
        <v>9197</v>
      </c>
      <c r="H564" s="7" t="s">
        <v>10617</v>
      </c>
      <c r="I564" s="266" t="s">
        <v>10618</v>
      </c>
      <c r="J564" s="7" t="s">
        <v>10602</v>
      </c>
      <c r="K564" s="7" t="s">
        <v>10663</v>
      </c>
    </row>
    <row r="565" spans="1:11" ht="14.55" customHeight="1" x14ac:dyDescent="0.25">
      <c r="A565" s="272" t="s">
        <v>9358</v>
      </c>
      <c r="B565" s="272" t="s">
        <v>10591</v>
      </c>
      <c r="C565" s="265" t="s">
        <v>9626</v>
      </c>
      <c r="D565" s="266" t="s">
        <v>9627</v>
      </c>
      <c r="E565" s="278" t="s">
        <v>10663</v>
      </c>
      <c r="F565" s="272" t="s">
        <v>9198</v>
      </c>
      <c r="G565" s="272" t="s">
        <v>9197</v>
      </c>
      <c r="H565" s="7" t="s">
        <v>10752</v>
      </c>
      <c r="I565" s="266" t="s">
        <v>10753</v>
      </c>
      <c r="J565" s="7" t="s">
        <v>10655</v>
      </c>
      <c r="K565" s="7" t="s">
        <v>10655</v>
      </c>
    </row>
    <row r="566" spans="1:11" ht="14.55" customHeight="1" x14ac:dyDescent="0.25">
      <c r="A566" s="272" t="s">
        <v>9358</v>
      </c>
      <c r="B566" s="272" t="s">
        <v>10591</v>
      </c>
      <c r="C566" s="265" t="s">
        <v>9626</v>
      </c>
      <c r="D566" s="266" t="s">
        <v>9627</v>
      </c>
      <c r="E566" s="278" t="s">
        <v>10663</v>
      </c>
      <c r="F566" s="272" t="s">
        <v>9198</v>
      </c>
      <c r="G566" s="272" t="s">
        <v>9197</v>
      </c>
      <c r="H566" s="7" t="s">
        <v>10754</v>
      </c>
      <c r="I566" s="266" t="s">
        <v>10755</v>
      </c>
      <c r="J566" s="7" t="s">
        <v>10655</v>
      </c>
      <c r="K566" s="7" t="s">
        <v>10655</v>
      </c>
    </row>
    <row r="567" spans="1:11" ht="14.55" customHeight="1" x14ac:dyDescent="0.25">
      <c r="A567" s="272" t="s">
        <v>9358</v>
      </c>
      <c r="B567" s="272" t="s">
        <v>10591</v>
      </c>
      <c r="C567" s="265" t="s">
        <v>9626</v>
      </c>
      <c r="D567" s="266" t="s">
        <v>9627</v>
      </c>
      <c r="E567" s="278" t="s">
        <v>10663</v>
      </c>
      <c r="F567" s="272" t="s">
        <v>9198</v>
      </c>
      <c r="G567" s="272" t="s">
        <v>9197</v>
      </c>
      <c r="H567" s="7" t="s">
        <v>10619</v>
      </c>
      <c r="I567" s="266" t="s">
        <v>10620</v>
      </c>
      <c r="J567" s="7" t="s">
        <v>10602</v>
      </c>
      <c r="K567" s="7" t="s">
        <v>10663</v>
      </c>
    </row>
    <row r="568" spans="1:11" ht="14.55" customHeight="1" x14ac:dyDescent="0.25">
      <c r="A568" s="272" t="s">
        <v>9358</v>
      </c>
      <c r="B568" s="272" t="s">
        <v>10591</v>
      </c>
      <c r="C568" s="265" t="s">
        <v>9626</v>
      </c>
      <c r="D568" s="266" t="s">
        <v>9627</v>
      </c>
      <c r="E568" s="278" t="s">
        <v>10663</v>
      </c>
      <c r="F568" s="272" t="s">
        <v>9198</v>
      </c>
      <c r="G568" s="272" t="s">
        <v>9197</v>
      </c>
      <c r="H568" s="7" t="s">
        <v>10756</v>
      </c>
      <c r="I568" s="266" t="s">
        <v>10757</v>
      </c>
      <c r="J568" s="7" t="s">
        <v>10655</v>
      </c>
      <c r="K568" s="7" t="s">
        <v>10655</v>
      </c>
    </row>
    <row r="569" spans="1:11" ht="14.55" customHeight="1" x14ac:dyDescent="0.25">
      <c r="A569" s="272" t="s">
        <v>9358</v>
      </c>
      <c r="B569" s="272" t="s">
        <v>10591</v>
      </c>
      <c r="C569" s="265" t="s">
        <v>9626</v>
      </c>
      <c r="D569" s="266" t="s">
        <v>9627</v>
      </c>
      <c r="E569" s="278" t="s">
        <v>10663</v>
      </c>
      <c r="F569" s="272" t="s">
        <v>9198</v>
      </c>
      <c r="G569" s="272" t="s">
        <v>9197</v>
      </c>
      <c r="H569" s="7" t="s">
        <v>10621</v>
      </c>
      <c r="I569" s="266" t="s">
        <v>10622</v>
      </c>
      <c r="J569" s="7" t="s">
        <v>10602</v>
      </c>
      <c r="K569" s="7" t="s">
        <v>10663</v>
      </c>
    </row>
    <row r="570" spans="1:11" ht="14.55" customHeight="1" x14ac:dyDescent="0.25">
      <c r="A570" s="272" t="s">
        <v>9358</v>
      </c>
      <c r="B570" s="272" t="s">
        <v>10591</v>
      </c>
      <c r="C570" s="265" t="s">
        <v>9626</v>
      </c>
      <c r="D570" s="266" t="s">
        <v>9627</v>
      </c>
      <c r="E570" s="278" t="s">
        <v>10663</v>
      </c>
      <c r="F570" s="272" t="s">
        <v>9198</v>
      </c>
      <c r="G570" s="272" t="s">
        <v>9197</v>
      </c>
      <c r="H570" s="7" t="s">
        <v>10758</v>
      </c>
      <c r="I570" s="266" t="s">
        <v>10759</v>
      </c>
      <c r="J570" s="7" t="s">
        <v>10655</v>
      </c>
      <c r="K570" s="7" t="s">
        <v>10655</v>
      </c>
    </row>
    <row r="571" spans="1:11" ht="14.55" customHeight="1" x14ac:dyDescent="0.25">
      <c r="A571" s="272" t="s">
        <v>9358</v>
      </c>
      <c r="B571" s="272" t="s">
        <v>10591</v>
      </c>
      <c r="C571" s="265" t="s">
        <v>9626</v>
      </c>
      <c r="D571" s="266" t="s">
        <v>9627</v>
      </c>
      <c r="E571" s="278" t="s">
        <v>10663</v>
      </c>
      <c r="F571" s="272" t="s">
        <v>9198</v>
      </c>
      <c r="G571" s="272" t="s">
        <v>9197</v>
      </c>
      <c r="H571" s="7" t="s">
        <v>10623</v>
      </c>
      <c r="I571" s="266" t="s">
        <v>10760</v>
      </c>
      <c r="J571" s="7" t="s">
        <v>10602</v>
      </c>
      <c r="K571" s="7" t="s">
        <v>10663</v>
      </c>
    </row>
    <row r="572" spans="1:11" ht="14.55" customHeight="1" x14ac:dyDescent="0.25">
      <c r="A572" s="272" t="s">
        <v>9358</v>
      </c>
      <c r="B572" s="272" t="s">
        <v>10591</v>
      </c>
      <c r="C572" s="265" t="s">
        <v>9626</v>
      </c>
      <c r="D572" s="266" t="s">
        <v>9627</v>
      </c>
      <c r="E572" s="278" t="s">
        <v>10663</v>
      </c>
      <c r="F572" s="272" t="s">
        <v>9198</v>
      </c>
      <c r="G572" s="272" t="s">
        <v>9197</v>
      </c>
      <c r="H572" s="7" t="s">
        <v>10625</v>
      </c>
      <c r="I572" s="266" t="s">
        <v>10626</v>
      </c>
      <c r="J572" s="7" t="s">
        <v>10602</v>
      </c>
      <c r="K572" s="7" t="s">
        <v>10663</v>
      </c>
    </row>
    <row r="573" spans="1:11" ht="14.55" customHeight="1" x14ac:dyDescent="0.25">
      <c r="A573" s="272" t="s">
        <v>9358</v>
      </c>
      <c r="B573" s="272" t="s">
        <v>10591</v>
      </c>
      <c r="C573" s="265" t="s">
        <v>9626</v>
      </c>
      <c r="D573" s="266" t="s">
        <v>9627</v>
      </c>
      <c r="E573" s="278" t="s">
        <v>10663</v>
      </c>
      <c r="F573" s="272" t="s">
        <v>9198</v>
      </c>
      <c r="G573" s="272" t="s">
        <v>9197</v>
      </c>
      <c r="H573" s="7" t="s">
        <v>10627</v>
      </c>
      <c r="I573" s="266" t="s">
        <v>10761</v>
      </c>
      <c r="J573" s="7" t="s">
        <v>10602</v>
      </c>
      <c r="K573" s="7" t="s">
        <v>10663</v>
      </c>
    </row>
    <row r="574" spans="1:11" ht="14.55" customHeight="1" x14ac:dyDescent="0.25">
      <c r="A574" s="272" t="s">
        <v>9358</v>
      </c>
      <c r="B574" s="272" t="s">
        <v>10591</v>
      </c>
      <c r="C574" s="265" t="s">
        <v>9626</v>
      </c>
      <c r="D574" s="266" t="s">
        <v>9627</v>
      </c>
      <c r="E574" s="278" t="s">
        <v>10663</v>
      </c>
      <c r="F574" s="272" t="s">
        <v>9198</v>
      </c>
      <c r="G574" s="272" t="s">
        <v>9197</v>
      </c>
      <c r="H574" s="7" t="s">
        <v>10629</v>
      </c>
      <c r="I574" s="266" t="s">
        <v>10762</v>
      </c>
      <c r="J574" s="7" t="s">
        <v>10602</v>
      </c>
      <c r="K574" s="7" t="s">
        <v>10663</v>
      </c>
    </row>
    <row r="575" spans="1:11" ht="14.55" customHeight="1" x14ac:dyDescent="0.25">
      <c r="A575" s="272" t="s">
        <v>9358</v>
      </c>
      <c r="B575" s="272" t="s">
        <v>10591</v>
      </c>
      <c r="C575" s="265" t="s">
        <v>9626</v>
      </c>
      <c r="D575" s="266" t="s">
        <v>9627</v>
      </c>
      <c r="E575" s="278" t="s">
        <v>10663</v>
      </c>
      <c r="F575" s="272" t="s">
        <v>9198</v>
      </c>
      <c r="G575" s="272" t="s">
        <v>9197</v>
      </c>
      <c r="H575" s="7" t="s">
        <v>10631</v>
      </c>
      <c r="I575" s="266" t="s">
        <v>10763</v>
      </c>
      <c r="J575" s="7" t="s">
        <v>10602</v>
      </c>
      <c r="K575" s="7" t="s">
        <v>10663</v>
      </c>
    </row>
    <row r="576" spans="1:11" ht="14.55" customHeight="1" x14ac:dyDescent="0.25">
      <c r="A576" s="272" t="s">
        <v>9358</v>
      </c>
      <c r="B576" s="272" t="s">
        <v>10591</v>
      </c>
      <c r="C576" s="265" t="s">
        <v>9626</v>
      </c>
      <c r="D576" s="266" t="s">
        <v>9627</v>
      </c>
      <c r="E576" s="278" t="s">
        <v>10663</v>
      </c>
      <c r="F576" s="272" t="s">
        <v>9198</v>
      </c>
      <c r="G576" s="272" t="s">
        <v>9197</v>
      </c>
      <c r="H576" s="7" t="s">
        <v>10633</v>
      </c>
      <c r="I576" s="266" t="s">
        <v>10764</v>
      </c>
      <c r="J576" s="7" t="s">
        <v>10602</v>
      </c>
      <c r="K576" s="7" t="s">
        <v>10663</v>
      </c>
    </row>
    <row r="577" spans="1:11" ht="14.55" customHeight="1" x14ac:dyDescent="0.25">
      <c r="A577" s="272" t="s">
        <v>9358</v>
      </c>
      <c r="B577" s="272" t="s">
        <v>10591</v>
      </c>
      <c r="C577" s="265" t="s">
        <v>9626</v>
      </c>
      <c r="D577" s="266" t="s">
        <v>9627</v>
      </c>
      <c r="E577" s="278" t="s">
        <v>10663</v>
      </c>
      <c r="F577" s="272" t="s">
        <v>9198</v>
      </c>
      <c r="G577" s="272" t="s">
        <v>9197</v>
      </c>
      <c r="H577" s="7" t="s">
        <v>10765</v>
      </c>
      <c r="I577" s="266" t="s">
        <v>10766</v>
      </c>
      <c r="J577" s="7" t="s">
        <v>10655</v>
      </c>
      <c r="K577" s="7" t="s">
        <v>10655</v>
      </c>
    </row>
    <row r="578" spans="1:11" ht="14.55" customHeight="1" x14ac:dyDescent="0.25">
      <c r="A578" s="272" t="s">
        <v>9358</v>
      </c>
      <c r="B578" s="272" t="s">
        <v>10591</v>
      </c>
      <c r="C578" s="265" t="s">
        <v>9626</v>
      </c>
      <c r="D578" s="266" t="s">
        <v>9627</v>
      </c>
      <c r="E578" s="278" t="s">
        <v>10663</v>
      </c>
      <c r="F578" s="272" t="s">
        <v>9198</v>
      </c>
      <c r="G578" s="272" t="s">
        <v>9197</v>
      </c>
      <c r="H578" s="7" t="s">
        <v>10635</v>
      </c>
      <c r="I578" s="266" t="s">
        <v>10636</v>
      </c>
      <c r="J578" s="7" t="s">
        <v>10602</v>
      </c>
      <c r="K578" s="7" t="s">
        <v>10663</v>
      </c>
    </row>
    <row r="579" spans="1:11" ht="14.55" customHeight="1" x14ac:dyDescent="0.25">
      <c r="A579" s="272" t="s">
        <v>9358</v>
      </c>
      <c r="B579" s="272" t="s">
        <v>10591</v>
      </c>
      <c r="C579" s="265" t="s">
        <v>9626</v>
      </c>
      <c r="D579" s="266" t="s">
        <v>9627</v>
      </c>
      <c r="E579" s="278" t="s">
        <v>10663</v>
      </c>
      <c r="F579" s="272" t="s">
        <v>9198</v>
      </c>
      <c r="G579" s="272" t="s">
        <v>9197</v>
      </c>
      <c r="H579" s="7" t="s">
        <v>10637</v>
      </c>
      <c r="I579" s="266" t="s">
        <v>10638</v>
      </c>
      <c r="J579" s="7" t="s">
        <v>10602</v>
      </c>
      <c r="K579" s="7" t="s">
        <v>10663</v>
      </c>
    </row>
    <row r="580" spans="1:11" ht="14.55" customHeight="1" x14ac:dyDescent="0.25">
      <c r="A580" s="286" t="s">
        <v>9358</v>
      </c>
      <c r="B580" s="293" t="s">
        <v>10591</v>
      </c>
      <c r="C580" s="294" t="s">
        <v>9626</v>
      </c>
      <c r="D580" s="353" t="s">
        <v>9627</v>
      </c>
      <c r="E580" s="357" t="s">
        <v>10663</v>
      </c>
      <c r="F580" s="293" t="s">
        <v>9198</v>
      </c>
      <c r="G580" s="293" t="s">
        <v>9197</v>
      </c>
      <c r="H580" s="354" t="s">
        <v>13482</v>
      </c>
      <c r="I580" s="264" t="s">
        <v>13483</v>
      </c>
      <c r="J580" s="354" t="s">
        <v>10602</v>
      </c>
      <c r="K580" s="354" t="s">
        <v>10663</v>
      </c>
    </row>
    <row r="581" spans="1:11" ht="14.55" customHeight="1" x14ac:dyDescent="0.25">
      <c r="A581" s="272" t="s">
        <v>9358</v>
      </c>
      <c r="B581" s="272" t="s">
        <v>10591</v>
      </c>
      <c r="C581" s="265" t="s">
        <v>9626</v>
      </c>
      <c r="D581" s="266" t="s">
        <v>9627</v>
      </c>
      <c r="E581" s="278" t="s">
        <v>10663</v>
      </c>
      <c r="F581" s="272" t="s">
        <v>9198</v>
      </c>
      <c r="G581" s="272" t="s">
        <v>9197</v>
      </c>
      <c r="H581" s="7" t="s">
        <v>10798</v>
      </c>
      <c r="I581" s="266" t="s">
        <v>10799</v>
      </c>
      <c r="J581" s="7" t="s">
        <v>10658</v>
      </c>
      <c r="K581" s="7" t="s">
        <v>10658</v>
      </c>
    </row>
    <row r="582" spans="1:11" ht="14.55" customHeight="1" x14ac:dyDescent="0.25">
      <c r="A582" s="272" t="s">
        <v>9358</v>
      </c>
      <c r="B582" s="272" t="s">
        <v>10591</v>
      </c>
      <c r="C582" s="265" t="s">
        <v>9626</v>
      </c>
      <c r="D582" s="266" t="s">
        <v>9627</v>
      </c>
      <c r="E582" s="278" t="s">
        <v>10663</v>
      </c>
      <c r="F582" s="272" t="s">
        <v>9198</v>
      </c>
      <c r="G582" s="272" t="s">
        <v>9197</v>
      </c>
      <c r="H582" s="7" t="s">
        <v>10813</v>
      </c>
      <c r="I582" s="266" t="s">
        <v>10814</v>
      </c>
      <c r="J582" s="7" t="s">
        <v>10658</v>
      </c>
      <c r="K582" s="7" t="s">
        <v>10658</v>
      </c>
    </row>
    <row r="583" spans="1:11" ht="14.55" customHeight="1" x14ac:dyDescent="0.25">
      <c r="A583" s="272" t="s">
        <v>9358</v>
      </c>
      <c r="B583" s="272" t="s">
        <v>10591</v>
      </c>
      <c r="C583" s="265" t="s">
        <v>9626</v>
      </c>
      <c r="D583" s="266" t="s">
        <v>9627</v>
      </c>
      <c r="E583" s="278" t="s">
        <v>10663</v>
      </c>
      <c r="F583" s="272" t="s">
        <v>9198</v>
      </c>
      <c r="G583" s="272" t="s">
        <v>9197</v>
      </c>
      <c r="H583" s="7" t="s">
        <v>10800</v>
      </c>
      <c r="I583" s="266" t="s">
        <v>10801</v>
      </c>
      <c r="J583" s="7" t="s">
        <v>10658</v>
      </c>
      <c r="K583" s="7" t="s">
        <v>10658</v>
      </c>
    </row>
    <row r="584" spans="1:11" ht="14.55" customHeight="1" x14ac:dyDescent="0.25">
      <c r="A584" s="272" t="s">
        <v>9358</v>
      </c>
      <c r="B584" s="272" t="s">
        <v>10591</v>
      </c>
      <c r="C584" s="265" t="s">
        <v>9626</v>
      </c>
      <c r="D584" s="266" t="s">
        <v>9627</v>
      </c>
      <c r="E584" s="278" t="s">
        <v>10663</v>
      </c>
      <c r="F584" s="272" t="s">
        <v>9198</v>
      </c>
      <c r="G584" s="272" t="s">
        <v>9197</v>
      </c>
      <c r="H584" s="7" t="s">
        <v>10804</v>
      </c>
      <c r="I584" s="266" t="s">
        <v>10805</v>
      </c>
      <c r="J584" s="7" t="s">
        <v>10658</v>
      </c>
      <c r="K584" s="7" t="s">
        <v>10658</v>
      </c>
    </row>
    <row r="585" spans="1:11" ht="14.55" customHeight="1" x14ac:dyDescent="0.25">
      <c r="A585" s="272" t="s">
        <v>9358</v>
      </c>
      <c r="B585" s="272" t="s">
        <v>10591</v>
      </c>
      <c r="C585" s="265" t="s">
        <v>9626</v>
      </c>
      <c r="D585" s="266" t="s">
        <v>9627</v>
      </c>
      <c r="E585" s="278" t="s">
        <v>10663</v>
      </c>
      <c r="F585" s="272" t="s">
        <v>9198</v>
      </c>
      <c r="G585" s="272" t="s">
        <v>9197</v>
      </c>
      <c r="H585" s="7" t="s">
        <v>10815</v>
      </c>
      <c r="I585" s="266" t="s">
        <v>10816</v>
      </c>
      <c r="J585" s="7" t="s">
        <v>10658</v>
      </c>
      <c r="K585" s="7" t="s">
        <v>10658</v>
      </c>
    </row>
    <row r="586" spans="1:11" ht="14.55" customHeight="1" x14ac:dyDescent="0.25">
      <c r="A586" s="272" t="s">
        <v>9358</v>
      </c>
      <c r="B586" s="272" t="s">
        <v>10591</v>
      </c>
      <c r="C586" s="265" t="s">
        <v>9626</v>
      </c>
      <c r="D586" s="266" t="s">
        <v>9627</v>
      </c>
      <c r="E586" s="278" t="s">
        <v>10663</v>
      </c>
      <c r="F586" s="272" t="s">
        <v>9198</v>
      </c>
      <c r="G586" s="272" t="s">
        <v>9197</v>
      </c>
      <c r="H586" s="7" t="s">
        <v>10817</v>
      </c>
      <c r="I586" s="266" t="s">
        <v>10818</v>
      </c>
      <c r="J586" s="7" t="s">
        <v>10658</v>
      </c>
      <c r="K586" s="7" t="s">
        <v>10658</v>
      </c>
    </row>
    <row r="587" spans="1:11" ht="14.55" customHeight="1" x14ac:dyDescent="0.25">
      <c r="A587" s="272" t="s">
        <v>9358</v>
      </c>
      <c r="B587" s="272" t="s">
        <v>10591</v>
      </c>
      <c r="C587" s="265" t="s">
        <v>9626</v>
      </c>
      <c r="D587" s="266" t="s">
        <v>9627</v>
      </c>
      <c r="E587" s="278" t="s">
        <v>10663</v>
      </c>
      <c r="F587" s="272" t="s">
        <v>9198</v>
      </c>
      <c r="G587" s="272" t="s">
        <v>9197</v>
      </c>
      <c r="H587" s="7" t="s">
        <v>10819</v>
      </c>
      <c r="I587" s="266" t="s">
        <v>10820</v>
      </c>
      <c r="J587" s="7" t="s">
        <v>10658</v>
      </c>
      <c r="K587" s="7" t="s">
        <v>10658</v>
      </c>
    </row>
    <row r="588" spans="1:11" ht="14.55" customHeight="1" x14ac:dyDescent="0.25">
      <c r="A588" s="272" t="s">
        <v>9358</v>
      </c>
      <c r="B588" s="272" t="s">
        <v>10591</v>
      </c>
      <c r="C588" s="265" t="s">
        <v>9626</v>
      </c>
      <c r="D588" s="266" t="s">
        <v>9627</v>
      </c>
      <c r="E588" s="278" t="s">
        <v>10663</v>
      </c>
      <c r="F588" s="272" t="s">
        <v>9198</v>
      </c>
      <c r="G588" s="272" t="s">
        <v>9197</v>
      </c>
      <c r="H588" s="7" t="s">
        <v>10821</v>
      </c>
      <c r="I588" s="266" t="s">
        <v>10822</v>
      </c>
      <c r="J588" s="7" t="s">
        <v>10658</v>
      </c>
      <c r="K588" s="7" t="s">
        <v>10658</v>
      </c>
    </row>
    <row r="589" spans="1:11" ht="14.55" customHeight="1" x14ac:dyDescent="0.25">
      <c r="A589" s="272" t="s">
        <v>9358</v>
      </c>
      <c r="B589" s="272" t="s">
        <v>10591</v>
      </c>
      <c r="C589" s="265" t="s">
        <v>9626</v>
      </c>
      <c r="D589" s="266" t="s">
        <v>9627</v>
      </c>
      <c r="E589" s="278" t="s">
        <v>10663</v>
      </c>
      <c r="F589" s="272" t="s">
        <v>9198</v>
      </c>
      <c r="G589" s="272" t="s">
        <v>9197</v>
      </c>
      <c r="H589" s="7" t="s">
        <v>10802</v>
      </c>
      <c r="I589" s="266" t="s">
        <v>10803</v>
      </c>
      <c r="J589" s="7" t="s">
        <v>10658</v>
      </c>
      <c r="K589" s="7" t="s">
        <v>10658</v>
      </c>
    </row>
    <row r="590" spans="1:11" ht="14.55" customHeight="1" x14ac:dyDescent="0.25">
      <c r="A590" s="272" t="s">
        <v>9358</v>
      </c>
      <c r="B590" s="272" t="s">
        <v>10591</v>
      </c>
      <c r="C590" s="265" t="s">
        <v>9628</v>
      </c>
      <c r="D590" s="266" t="s">
        <v>9629</v>
      </c>
      <c r="E590" s="265" t="s">
        <v>10602</v>
      </c>
      <c r="F590" s="285" t="s">
        <v>9197</v>
      </c>
      <c r="G590" s="272" t="s">
        <v>9197</v>
      </c>
      <c r="H590" s="7" t="s">
        <v>10823</v>
      </c>
      <c r="I590" s="266" t="s">
        <v>10824</v>
      </c>
      <c r="J590" s="7" t="s">
        <v>10602</v>
      </c>
    </row>
    <row r="591" spans="1:11" ht="14.55" customHeight="1" x14ac:dyDescent="0.25">
      <c r="A591" s="272" t="s">
        <v>9358</v>
      </c>
      <c r="B591" s="272" t="s">
        <v>10591</v>
      </c>
      <c r="C591" s="265" t="s">
        <v>9628</v>
      </c>
      <c r="D591" s="266" t="s">
        <v>9629</v>
      </c>
      <c r="E591" s="265" t="s">
        <v>10602</v>
      </c>
      <c r="F591" s="285" t="s">
        <v>9197</v>
      </c>
      <c r="G591" s="272" t="s">
        <v>9197</v>
      </c>
      <c r="H591" s="7" t="s">
        <v>10825</v>
      </c>
      <c r="I591" s="266" t="s">
        <v>10826</v>
      </c>
      <c r="J591" s="7" t="s">
        <v>10602</v>
      </c>
    </row>
    <row r="592" spans="1:11" ht="14.55" customHeight="1" x14ac:dyDescent="0.25">
      <c r="A592" s="272" t="s">
        <v>9358</v>
      </c>
      <c r="B592" s="272" t="s">
        <v>10591</v>
      </c>
      <c r="C592" s="265" t="s">
        <v>9628</v>
      </c>
      <c r="D592" s="266" t="s">
        <v>9629</v>
      </c>
      <c r="E592" s="265" t="s">
        <v>10602</v>
      </c>
      <c r="F592" s="285" t="s">
        <v>9197</v>
      </c>
      <c r="G592" s="272" t="s">
        <v>9197</v>
      </c>
      <c r="H592" s="7" t="s">
        <v>10827</v>
      </c>
      <c r="I592" s="266" t="s">
        <v>9657</v>
      </c>
      <c r="J592" s="7"/>
    </row>
    <row r="593" spans="1:11" ht="14.55" customHeight="1" x14ac:dyDescent="0.25">
      <c r="A593" s="286" t="s">
        <v>9358</v>
      </c>
      <c r="B593" s="293" t="s">
        <v>10591</v>
      </c>
      <c r="C593" s="294" t="s">
        <v>9628</v>
      </c>
      <c r="D593" s="353" t="s">
        <v>9629</v>
      </c>
      <c r="E593" s="357" t="s">
        <v>10602</v>
      </c>
      <c r="F593" s="368" t="s">
        <v>9197</v>
      </c>
      <c r="G593" s="293" t="s">
        <v>9197</v>
      </c>
      <c r="H593" s="354" t="s">
        <v>13482</v>
      </c>
      <c r="I593" s="264" t="s">
        <v>13483</v>
      </c>
      <c r="J593" s="354" t="s">
        <v>10602</v>
      </c>
      <c r="K593" s="354"/>
    </row>
    <row r="594" spans="1:11" ht="14.55" customHeight="1" x14ac:dyDescent="0.25">
      <c r="A594" s="272" t="s">
        <v>9358</v>
      </c>
      <c r="B594" s="272" t="s">
        <v>10591</v>
      </c>
      <c r="C594" s="265" t="s">
        <v>9628</v>
      </c>
      <c r="D594" s="266" t="s">
        <v>9629</v>
      </c>
      <c r="E594" s="265" t="s">
        <v>10602</v>
      </c>
      <c r="F594" s="285" t="s">
        <v>9197</v>
      </c>
      <c r="G594" s="272" t="s">
        <v>9197</v>
      </c>
      <c r="H594" s="7"/>
      <c r="I594" s="266" t="s">
        <v>10789</v>
      </c>
      <c r="J594" s="7"/>
    </row>
    <row r="595" spans="1:11" ht="14.55" customHeight="1" x14ac:dyDescent="0.25">
      <c r="A595" s="286" t="s">
        <v>9358</v>
      </c>
      <c r="B595" s="293" t="s">
        <v>10591</v>
      </c>
      <c r="C595" s="294" t="s">
        <v>9630</v>
      </c>
      <c r="D595" s="353" t="s">
        <v>9631</v>
      </c>
      <c r="E595" s="357" t="s">
        <v>10602</v>
      </c>
      <c r="F595" s="368" t="s">
        <v>9197</v>
      </c>
      <c r="G595" s="293" t="s">
        <v>9197</v>
      </c>
      <c r="H595" s="354" t="s">
        <v>13482</v>
      </c>
      <c r="I595" s="264" t="s">
        <v>13483</v>
      </c>
      <c r="J595" s="354" t="s">
        <v>10602</v>
      </c>
      <c r="K595" s="354"/>
    </row>
    <row r="596" spans="1:11" ht="14.55" customHeight="1" x14ac:dyDescent="0.25">
      <c r="A596" s="272" t="s">
        <v>9358</v>
      </c>
      <c r="B596" s="272" t="s">
        <v>10591</v>
      </c>
      <c r="C596" s="265" t="s">
        <v>9630</v>
      </c>
      <c r="D596" s="266" t="s">
        <v>9631</v>
      </c>
      <c r="E596" s="265" t="s">
        <v>10602</v>
      </c>
      <c r="F596" s="285" t="s">
        <v>9197</v>
      </c>
      <c r="G596" s="272" t="s">
        <v>9197</v>
      </c>
      <c r="H596" s="7"/>
      <c r="I596" s="266" t="s">
        <v>10789</v>
      </c>
      <c r="J596" s="7"/>
    </row>
    <row r="597" spans="1:11" ht="14.55" customHeight="1" x14ac:dyDescent="0.25">
      <c r="A597" s="272" t="s">
        <v>9358</v>
      </c>
      <c r="B597" s="272" t="s">
        <v>10591</v>
      </c>
      <c r="C597" s="265" t="s">
        <v>9632</v>
      </c>
      <c r="D597" s="266" t="s">
        <v>10828</v>
      </c>
      <c r="E597" s="265" t="s">
        <v>10602</v>
      </c>
      <c r="F597" s="285" t="s">
        <v>9197</v>
      </c>
      <c r="G597" s="272" t="s">
        <v>9197</v>
      </c>
      <c r="H597" s="7" t="s">
        <v>10823</v>
      </c>
      <c r="I597" s="266" t="s">
        <v>10824</v>
      </c>
      <c r="J597" s="7" t="s">
        <v>10602</v>
      </c>
    </row>
    <row r="598" spans="1:11" ht="14.55" customHeight="1" x14ac:dyDescent="0.25">
      <c r="A598" s="272" t="s">
        <v>9358</v>
      </c>
      <c r="B598" s="272" t="s">
        <v>10591</v>
      </c>
      <c r="C598" s="265" t="s">
        <v>9632</v>
      </c>
      <c r="D598" s="266" t="s">
        <v>10828</v>
      </c>
      <c r="E598" s="265" t="s">
        <v>10602</v>
      </c>
      <c r="F598" s="285" t="s">
        <v>9197</v>
      </c>
      <c r="G598" s="272" t="s">
        <v>9197</v>
      </c>
      <c r="H598" s="7" t="s">
        <v>10827</v>
      </c>
      <c r="I598" s="266" t="s">
        <v>9657</v>
      </c>
      <c r="J598" s="7"/>
    </row>
    <row r="599" spans="1:11" ht="14.55" customHeight="1" x14ac:dyDescent="0.25">
      <c r="A599" s="286" t="s">
        <v>9358</v>
      </c>
      <c r="B599" s="293" t="s">
        <v>10591</v>
      </c>
      <c r="C599" s="294" t="s">
        <v>9632</v>
      </c>
      <c r="D599" s="353" t="s">
        <v>10828</v>
      </c>
      <c r="E599" s="357" t="s">
        <v>10602</v>
      </c>
      <c r="F599" s="368" t="s">
        <v>9197</v>
      </c>
      <c r="G599" s="293" t="s">
        <v>9197</v>
      </c>
      <c r="H599" s="354" t="s">
        <v>13482</v>
      </c>
      <c r="I599" s="264" t="s">
        <v>13483</v>
      </c>
      <c r="J599" s="354" t="s">
        <v>10602</v>
      </c>
      <c r="K599" s="354"/>
    </row>
    <row r="600" spans="1:11" ht="14.55" customHeight="1" x14ac:dyDescent="0.25">
      <c r="A600" s="286" t="s">
        <v>9358</v>
      </c>
      <c r="B600" s="293" t="s">
        <v>10591</v>
      </c>
      <c r="C600" s="294" t="s">
        <v>9632</v>
      </c>
      <c r="D600" s="353" t="s">
        <v>10828</v>
      </c>
      <c r="E600" s="357" t="s">
        <v>10602</v>
      </c>
      <c r="F600" s="368" t="s">
        <v>9197</v>
      </c>
      <c r="G600" s="293" t="s">
        <v>9197</v>
      </c>
      <c r="H600" s="366"/>
      <c r="I600" s="367" t="s">
        <v>10796</v>
      </c>
      <c r="J600" s="366"/>
      <c r="K600" s="366"/>
    </row>
    <row r="601" spans="1:11" ht="14.55" customHeight="1" x14ac:dyDescent="0.25">
      <c r="A601" s="272" t="s">
        <v>9358</v>
      </c>
      <c r="B601" s="272" t="s">
        <v>10591</v>
      </c>
      <c r="C601" s="265" t="s">
        <v>9632</v>
      </c>
      <c r="D601" s="266" t="s">
        <v>10828</v>
      </c>
      <c r="E601" s="265" t="s">
        <v>10602</v>
      </c>
      <c r="F601" s="285" t="s">
        <v>9197</v>
      </c>
      <c r="G601" s="272" t="s">
        <v>9197</v>
      </c>
      <c r="H601" s="7"/>
      <c r="I601" s="266" t="s">
        <v>10789</v>
      </c>
      <c r="J601" s="7"/>
    </row>
    <row r="602" spans="1:11" ht="14.55" customHeight="1" x14ac:dyDescent="0.25">
      <c r="A602" s="272" t="s">
        <v>9358</v>
      </c>
      <c r="B602" s="272" t="s">
        <v>10591</v>
      </c>
      <c r="C602" s="265" t="s">
        <v>9634</v>
      </c>
      <c r="D602" s="266" t="s">
        <v>9635</v>
      </c>
      <c r="E602" s="265" t="s">
        <v>10602</v>
      </c>
      <c r="F602" s="285" t="s">
        <v>9197</v>
      </c>
      <c r="G602" s="272" t="s">
        <v>9197</v>
      </c>
      <c r="H602" s="7"/>
      <c r="I602" s="266" t="s">
        <v>10789</v>
      </c>
      <c r="J602" s="7"/>
    </row>
    <row r="603" spans="1:11" ht="14.55" customHeight="1" x14ac:dyDescent="0.25">
      <c r="A603" s="286" t="s">
        <v>9358</v>
      </c>
      <c r="B603" s="293" t="s">
        <v>10591</v>
      </c>
      <c r="C603" s="294" t="s">
        <v>9634</v>
      </c>
      <c r="D603" s="353" t="s">
        <v>9635</v>
      </c>
      <c r="E603" s="357" t="s">
        <v>10602</v>
      </c>
      <c r="F603" s="368" t="s">
        <v>9197</v>
      </c>
      <c r="G603" s="293" t="s">
        <v>9197</v>
      </c>
      <c r="H603" s="354" t="s">
        <v>13482</v>
      </c>
      <c r="I603" s="264" t="s">
        <v>13483</v>
      </c>
      <c r="J603" s="354" t="s">
        <v>10602</v>
      </c>
      <c r="K603" s="354"/>
    </row>
    <row r="604" spans="1:11" s="280" customFormat="1" ht="14.55" customHeight="1" x14ac:dyDescent="0.25">
      <c r="A604" s="272" t="s">
        <v>9358</v>
      </c>
      <c r="B604" s="272" t="s">
        <v>10591</v>
      </c>
      <c r="C604" s="265" t="s">
        <v>9636</v>
      </c>
      <c r="D604" s="266" t="s">
        <v>9637</v>
      </c>
      <c r="E604" s="265" t="s">
        <v>10602</v>
      </c>
      <c r="F604" s="285" t="s">
        <v>9197</v>
      </c>
      <c r="G604" s="272" t="s">
        <v>9197</v>
      </c>
      <c r="H604" s="7"/>
      <c r="I604" s="266" t="s">
        <v>10789</v>
      </c>
      <c r="J604" s="7"/>
      <c r="K604" s="279"/>
    </row>
    <row r="605" spans="1:11" ht="14.55" customHeight="1" x14ac:dyDescent="0.25">
      <c r="A605" s="286" t="s">
        <v>9358</v>
      </c>
      <c r="B605" s="293" t="s">
        <v>10591</v>
      </c>
      <c r="C605" s="294" t="s">
        <v>9636</v>
      </c>
      <c r="D605" s="353" t="s">
        <v>9637</v>
      </c>
      <c r="E605" s="357" t="s">
        <v>10602</v>
      </c>
      <c r="F605" s="368" t="s">
        <v>9197</v>
      </c>
      <c r="G605" s="293" t="s">
        <v>9197</v>
      </c>
      <c r="H605" s="354" t="s">
        <v>13482</v>
      </c>
      <c r="I605" s="264" t="s">
        <v>13483</v>
      </c>
      <c r="J605" s="354" t="s">
        <v>10602</v>
      </c>
      <c r="K605" s="354"/>
    </row>
    <row r="606" spans="1:11" ht="14.55" customHeight="1" x14ac:dyDescent="0.25">
      <c r="A606" s="272" t="s">
        <v>9358</v>
      </c>
      <c r="B606" s="272" t="s">
        <v>10591</v>
      </c>
      <c r="C606" s="265" t="s">
        <v>9638</v>
      </c>
      <c r="D606" s="266" t="s">
        <v>9639</v>
      </c>
      <c r="E606" s="265" t="s">
        <v>10602</v>
      </c>
      <c r="F606" s="285" t="s">
        <v>9197</v>
      </c>
      <c r="G606" s="272" t="s">
        <v>9197</v>
      </c>
      <c r="H606" s="7" t="s">
        <v>10645</v>
      </c>
      <c r="I606" s="266" t="s">
        <v>10646</v>
      </c>
      <c r="J606" s="7" t="s">
        <v>10602</v>
      </c>
    </row>
    <row r="607" spans="1:11" ht="14.55" customHeight="1" x14ac:dyDescent="0.25">
      <c r="A607" s="286" t="s">
        <v>9358</v>
      </c>
      <c r="B607" s="293" t="s">
        <v>10591</v>
      </c>
      <c r="C607" s="294" t="s">
        <v>9638</v>
      </c>
      <c r="D607" s="353" t="s">
        <v>9639</v>
      </c>
      <c r="E607" s="357" t="s">
        <v>10602</v>
      </c>
      <c r="F607" s="368" t="s">
        <v>9197</v>
      </c>
      <c r="G607" s="293" t="s">
        <v>9197</v>
      </c>
      <c r="H607" s="354" t="s">
        <v>13482</v>
      </c>
      <c r="I607" s="264" t="s">
        <v>13483</v>
      </c>
      <c r="J607" s="354" t="s">
        <v>10602</v>
      </c>
      <c r="K607" s="354"/>
    </row>
    <row r="608" spans="1:11" ht="14.55" customHeight="1" x14ac:dyDescent="0.25">
      <c r="A608" s="272" t="s">
        <v>9358</v>
      </c>
      <c r="B608" s="272" t="s">
        <v>10591</v>
      </c>
      <c r="C608" s="265" t="s">
        <v>9640</v>
      </c>
      <c r="D608" s="266" t="s">
        <v>9641</v>
      </c>
      <c r="E608" s="265" t="s">
        <v>10602</v>
      </c>
      <c r="F608" s="285" t="s">
        <v>9197</v>
      </c>
      <c r="G608" s="272" t="s">
        <v>9197</v>
      </c>
      <c r="H608" s="7" t="s">
        <v>10829</v>
      </c>
      <c r="I608" s="266" t="s">
        <v>10830</v>
      </c>
      <c r="J608" s="7" t="s">
        <v>10602</v>
      </c>
    </row>
    <row r="609" spans="1:11" ht="14.55" customHeight="1" x14ac:dyDescent="0.25">
      <c r="A609" s="272" t="s">
        <v>9358</v>
      </c>
      <c r="B609" s="272" t="s">
        <v>10591</v>
      </c>
      <c r="C609" s="265" t="s">
        <v>9642</v>
      </c>
      <c r="D609" s="266" t="s">
        <v>9643</v>
      </c>
      <c r="E609" s="265" t="s">
        <v>10602</v>
      </c>
      <c r="F609" s="285" t="s">
        <v>9197</v>
      </c>
      <c r="G609" s="272" t="s">
        <v>9197</v>
      </c>
      <c r="H609" s="7" t="s">
        <v>10831</v>
      </c>
      <c r="I609" s="266" t="s">
        <v>10832</v>
      </c>
      <c r="J609" s="7" t="s">
        <v>10602</v>
      </c>
    </row>
    <row r="610" spans="1:11" ht="14.55" customHeight="1" x14ac:dyDescent="0.25">
      <c r="A610" s="286" t="s">
        <v>9358</v>
      </c>
      <c r="B610" s="293" t="s">
        <v>10591</v>
      </c>
      <c r="C610" s="294" t="s">
        <v>9642</v>
      </c>
      <c r="D610" s="353" t="s">
        <v>9643</v>
      </c>
      <c r="E610" s="357" t="s">
        <v>10602</v>
      </c>
      <c r="F610" s="368" t="s">
        <v>9197</v>
      </c>
      <c r="G610" s="293" t="s">
        <v>9197</v>
      </c>
      <c r="H610" s="354" t="s">
        <v>13482</v>
      </c>
      <c r="I610" s="264" t="s">
        <v>13483</v>
      </c>
      <c r="J610" s="354" t="s">
        <v>10602</v>
      </c>
      <c r="K610" s="354"/>
    </row>
    <row r="611" spans="1:11" ht="14.55" customHeight="1" x14ac:dyDescent="0.25">
      <c r="A611" s="272" t="s">
        <v>9358</v>
      </c>
      <c r="B611" s="272" t="s">
        <v>10591</v>
      </c>
      <c r="C611" s="265" t="s">
        <v>9644</v>
      </c>
      <c r="D611" s="266" t="s">
        <v>9645</v>
      </c>
      <c r="E611" s="265" t="s">
        <v>10602</v>
      </c>
      <c r="F611" s="285" t="s">
        <v>9197</v>
      </c>
      <c r="G611" s="272" t="s">
        <v>9197</v>
      </c>
      <c r="H611" s="7" t="s">
        <v>10833</v>
      </c>
      <c r="I611" s="266" t="s">
        <v>9645</v>
      </c>
      <c r="J611" s="7" t="s">
        <v>10602</v>
      </c>
    </row>
    <row r="612" spans="1:11" ht="14.55" customHeight="1" x14ac:dyDescent="0.25">
      <c r="A612" s="286" t="s">
        <v>9358</v>
      </c>
      <c r="B612" s="293" t="s">
        <v>10591</v>
      </c>
      <c r="C612" s="294" t="s">
        <v>9644</v>
      </c>
      <c r="D612" s="353" t="s">
        <v>9645</v>
      </c>
      <c r="E612" s="357" t="s">
        <v>10602</v>
      </c>
      <c r="F612" s="368" t="s">
        <v>9197</v>
      </c>
      <c r="G612" s="293" t="s">
        <v>9197</v>
      </c>
      <c r="H612" s="354" t="s">
        <v>13482</v>
      </c>
      <c r="I612" s="264" t="s">
        <v>13483</v>
      </c>
      <c r="J612" s="354" t="s">
        <v>10602</v>
      </c>
      <c r="K612" s="354"/>
    </row>
    <row r="613" spans="1:11" ht="14.55" customHeight="1" x14ac:dyDescent="0.25">
      <c r="A613" s="272" t="s">
        <v>9358</v>
      </c>
      <c r="B613" s="272" t="s">
        <v>10591</v>
      </c>
      <c r="C613" s="265" t="s">
        <v>9646</v>
      </c>
      <c r="D613" s="266" t="s">
        <v>9647</v>
      </c>
      <c r="E613" s="265" t="s">
        <v>10602</v>
      </c>
      <c r="F613" s="285" t="s">
        <v>9197</v>
      </c>
      <c r="G613" s="272" t="s">
        <v>9197</v>
      </c>
      <c r="H613" s="7" t="s">
        <v>10834</v>
      </c>
      <c r="I613" s="266" t="s">
        <v>9647</v>
      </c>
      <c r="J613" s="7" t="s">
        <v>10602</v>
      </c>
    </row>
    <row r="614" spans="1:11" ht="14.55" customHeight="1" x14ac:dyDescent="0.25">
      <c r="A614" s="286" t="s">
        <v>9358</v>
      </c>
      <c r="B614" s="293" t="s">
        <v>10591</v>
      </c>
      <c r="C614" s="294" t="s">
        <v>9646</v>
      </c>
      <c r="D614" s="353" t="s">
        <v>9647</v>
      </c>
      <c r="E614" s="357" t="s">
        <v>10602</v>
      </c>
      <c r="F614" s="368" t="s">
        <v>9197</v>
      </c>
      <c r="G614" s="293" t="s">
        <v>9197</v>
      </c>
      <c r="H614" s="354" t="s">
        <v>13482</v>
      </c>
      <c r="I614" s="264" t="s">
        <v>13483</v>
      </c>
      <c r="J614" s="354" t="s">
        <v>10602</v>
      </c>
      <c r="K614" s="354"/>
    </row>
    <row r="615" spans="1:11" ht="14.55" customHeight="1" x14ac:dyDescent="0.25">
      <c r="A615" s="272" t="s">
        <v>9358</v>
      </c>
      <c r="B615" s="272" t="s">
        <v>10591</v>
      </c>
      <c r="C615" s="265" t="s">
        <v>9648</v>
      </c>
      <c r="D615" s="266" t="s">
        <v>13429</v>
      </c>
      <c r="E615" s="265" t="s">
        <v>10602</v>
      </c>
      <c r="F615" s="285" t="s">
        <v>9197</v>
      </c>
      <c r="G615" s="272" t="s">
        <v>9197</v>
      </c>
      <c r="H615" s="7"/>
      <c r="I615" s="266" t="s">
        <v>10789</v>
      </c>
      <c r="J615" s="7"/>
    </row>
    <row r="616" spans="1:11" ht="14.55" customHeight="1" x14ac:dyDescent="0.25">
      <c r="A616" s="286" t="s">
        <v>9358</v>
      </c>
      <c r="B616" s="293" t="s">
        <v>10591</v>
      </c>
      <c r="C616" s="294" t="s">
        <v>9648</v>
      </c>
      <c r="D616" s="353" t="s">
        <v>13429</v>
      </c>
      <c r="E616" s="357" t="s">
        <v>10602</v>
      </c>
      <c r="F616" s="368" t="s">
        <v>9197</v>
      </c>
      <c r="G616" s="293" t="s">
        <v>9197</v>
      </c>
      <c r="H616" s="354" t="s">
        <v>13482</v>
      </c>
      <c r="I616" s="264" t="s">
        <v>13483</v>
      </c>
      <c r="J616" s="354" t="s">
        <v>10602</v>
      </c>
      <c r="K616" s="354"/>
    </row>
    <row r="617" spans="1:11" ht="14.55" customHeight="1" x14ac:dyDescent="0.25">
      <c r="A617" s="272" t="s">
        <v>9358</v>
      </c>
      <c r="B617" s="272" t="s">
        <v>10835</v>
      </c>
      <c r="C617" s="265" t="s">
        <v>9649</v>
      </c>
      <c r="D617" s="266" t="s">
        <v>9650</v>
      </c>
      <c r="E617" s="265" t="s">
        <v>10602</v>
      </c>
      <c r="F617" s="285" t="s">
        <v>9197</v>
      </c>
      <c r="G617" s="272" t="s">
        <v>9197</v>
      </c>
      <c r="H617" s="7" t="s">
        <v>10836</v>
      </c>
      <c r="I617" s="266" t="s">
        <v>10837</v>
      </c>
      <c r="J617" s="7"/>
    </row>
    <row r="618" spans="1:11" ht="14.55" customHeight="1" x14ac:dyDescent="0.25">
      <c r="A618" s="286" t="s">
        <v>9358</v>
      </c>
      <c r="B618" s="272" t="s">
        <v>10835</v>
      </c>
      <c r="C618" s="265" t="s">
        <v>9651</v>
      </c>
      <c r="D618" s="287" t="s">
        <v>10839</v>
      </c>
      <c r="E618" s="265" t="s">
        <v>10602</v>
      </c>
      <c r="F618" s="285" t="s">
        <v>9197</v>
      </c>
      <c r="G618" s="272" t="s">
        <v>9197</v>
      </c>
      <c r="H618" s="7" t="s">
        <v>10838</v>
      </c>
      <c r="I618" s="266" t="s">
        <v>10839</v>
      </c>
      <c r="J618" s="7"/>
    </row>
    <row r="619" spans="1:11" ht="14.55" customHeight="1" x14ac:dyDescent="0.25">
      <c r="A619" s="272" t="s">
        <v>9358</v>
      </c>
      <c r="B619" s="272" t="s">
        <v>10835</v>
      </c>
      <c r="C619" s="265" t="s">
        <v>9653</v>
      </c>
      <c r="D619" s="266" t="s">
        <v>8884</v>
      </c>
      <c r="E619" s="265" t="s">
        <v>10602</v>
      </c>
      <c r="F619" s="285" t="s">
        <v>9197</v>
      </c>
      <c r="G619" s="272" t="s">
        <v>9197</v>
      </c>
      <c r="H619" s="7" t="s">
        <v>10840</v>
      </c>
      <c r="I619" s="266" t="s">
        <v>8884</v>
      </c>
      <c r="J619" s="7"/>
    </row>
    <row r="620" spans="1:11" ht="14.55" customHeight="1" x14ac:dyDescent="0.25">
      <c r="A620" s="272" t="s">
        <v>9358</v>
      </c>
      <c r="B620" s="272" t="s">
        <v>10835</v>
      </c>
      <c r="C620" s="265" t="s">
        <v>9654</v>
      </c>
      <c r="D620" s="266" t="s">
        <v>9655</v>
      </c>
      <c r="E620" s="265" t="s">
        <v>10602</v>
      </c>
      <c r="F620" s="285" t="s">
        <v>9197</v>
      </c>
      <c r="G620" s="272" t="s">
        <v>9197</v>
      </c>
      <c r="H620" s="7" t="s">
        <v>10841</v>
      </c>
      <c r="I620" s="266" t="s">
        <v>9655</v>
      </c>
      <c r="J620" s="7"/>
    </row>
    <row r="621" spans="1:11" ht="14.55" customHeight="1" x14ac:dyDescent="0.25">
      <c r="A621" s="272" t="s">
        <v>9358</v>
      </c>
      <c r="B621" s="272" t="s">
        <v>10835</v>
      </c>
      <c r="C621" s="265" t="s">
        <v>9656</v>
      </c>
      <c r="D621" s="266" t="s">
        <v>9657</v>
      </c>
      <c r="E621" s="265" t="s">
        <v>10602</v>
      </c>
      <c r="F621" s="285" t="s">
        <v>9197</v>
      </c>
      <c r="G621" s="272" t="s">
        <v>9197</v>
      </c>
      <c r="H621" s="7" t="s">
        <v>10827</v>
      </c>
      <c r="I621" s="266" t="s">
        <v>9657</v>
      </c>
      <c r="J621" s="7"/>
    </row>
    <row r="622" spans="1:11" ht="14.55" customHeight="1" x14ac:dyDescent="0.25">
      <c r="A622" s="272" t="s">
        <v>9358</v>
      </c>
      <c r="B622" s="272" t="s">
        <v>10835</v>
      </c>
      <c r="C622" s="265" t="s">
        <v>9658</v>
      </c>
      <c r="D622" s="266" t="s">
        <v>8882</v>
      </c>
      <c r="E622" s="265" t="s">
        <v>10602</v>
      </c>
      <c r="F622" s="285" t="s">
        <v>9197</v>
      </c>
      <c r="G622" s="272" t="s">
        <v>9197</v>
      </c>
      <c r="H622" s="7" t="s">
        <v>10823</v>
      </c>
      <c r="I622" s="266" t="s">
        <v>10824</v>
      </c>
      <c r="J622" s="7" t="s">
        <v>10602</v>
      </c>
    </row>
    <row r="623" spans="1:11" ht="14.55" customHeight="1" x14ac:dyDescent="0.25">
      <c r="A623" s="286" t="s">
        <v>9358</v>
      </c>
      <c r="B623" s="293" t="s">
        <v>10835</v>
      </c>
      <c r="C623" s="294" t="s">
        <v>9658</v>
      </c>
      <c r="D623" s="353" t="s">
        <v>8882</v>
      </c>
      <c r="E623" s="357" t="s">
        <v>10602</v>
      </c>
      <c r="F623" s="368" t="s">
        <v>9197</v>
      </c>
      <c r="G623" s="293" t="s">
        <v>9197</v>
      </c>
      <c r="H623" s="354" t="s">
        <v>10825</v>
      </c>
      <c r="I623" s="264" t="s">
        <v>10826</v>
      </c>
      <c r="J623" s="354" t="s">
        <v>10602</v>
      </c>
      <c r="K623" s="354"/>
    </row>
    <row r="624" spans="1:11" s="358" customFormat="1" ht="14.55" customHeight="1" x14ac:dyDescent="0.25">
      <c r="A624" s="286" t="s">
        <v>9358</v>
      </c>
      <c r="B624" s="379" t="s">
        <v>10835</v>
      </c>
      <c r="C624" s="380" t="s">
        <v>9658</v>
      </c>
      <c r="D624" s="381" t="s">
        <v>8882</v>
      </c>
      <c r="E624" s="385" t="s">
        <v>10602</v>
      </c>
      <c r="F624" s="379" t="s">
        <v>9197</v>
      </c>
      <c r="G624" s="379" t="s">
        <v>9197</v>
      </c>
      <c r="H624" s="363" t="s">
        <v>10827</v>
      </c>
      <c r="I624" s="365" t="s">
        <v>9657</v>
      </c>
      <c r="J624" s="363"/>
      <c r="K624" s="361"/>
    </row>
    <row r="625" spans="1:11" s="358" customFormat="1" ht="14.55" customHeight="1" x14ac:dyDescent="0.25">
      <c r="A625" s="359" t="s">
        <v>9358</v>
      </c>
      <c r="B625" s="360" t="s">
        <v>10835</v>
      </c>
      <c r="C625" s="361" t="s">
        <v>9659</v>
      </c>
      <c r="D625" s="362" t="s">
        <v>13430</v>
      </c>
      <c r="E625" s="364" t="s">
        <v>10602</v>
      </c>
      <c r="F625" s="360" t="s">
        <v>9197</v>
      </c>
      <c r="G625" s="360" t="s">
        <v>9197</v>
      </c>
      <c r="H625" s="363" t="s">
        <v>10825</v>
      </c>
      <c r="I625" s="365" t="s">
        <v>10826</v>
      </c>
      <c r="J625" s="363" t="s">
        <v>10602</v>
      </c>
      <c r="K625" s="361"/>
    </row>
    <row r="626" spans="1:11" ht="14.55" customHeight="1" x14ac:dyDescent="0.25">
      <c r="A626" s="272" t="s">
        <v>9358</v>
      </c>
      <c r="B626" s="272" t="s">
        <v>10835</v>
      </c>
      <c r="C626" s="265" t="s">
        <v>9660</v>
      </c>
      <c r="D626" s="266" t="s">
        <v>9661</v>
      </c>
      <c r="E626" s="265" t="s">
        <v>10602</v>
      </c>
      <c r="F626" s="285" t="s">
        <v>9197</v>
      </c>
      <c r="G626" s="272" t="s">
        <v>9197</v>
      </c>
      <c r="H626" s="7" t="s">
        <v>10842</v>
      </c>
      <c r="I626" s="266" t="s">
        <v>9661</v>
      </c>
      <c r="J626" s="7"/>
    </row>
    <row r="627" spans="1:11" ht="14.55" customHeight="1" x14ac:dyDescent="0.25">
      <c r="A627" s="272" t="s">
        <v>9358</v>
      </c>
      <c r="B627" s="272" t="s">
        <v>10835</v>
      </c>
      <c r="C627" s="265" t="s">
        <v>9662</v>
      </c>
      <c r="D627" s="266" t="s">
        <v>9663</v>
      </c>
      <c r="E627" s="265" t="s">
        <v>10602</v>
      </c>
      <c r="F627" s="285" t="s">
        <v>9197</v>
      </c>
      <c r="G627" s="272" t="s">
        <v>9197</v>
      </c>
      <c r="H627" s="7" t="s">
        <v>10843</v>
      </c>
      <c r="I627" s="266" t="s">
        <v>9663</v>
      </c>
      <c r="J627" s="7"/>
    </row>
    <row r="628" spans="1:11" ht="14.55" customHeight="1" x14ac:dyDescent="0.25">
      <c r="A628" s="272" t="s">
        <v>9358</v>
      </c>
      <c r="B628" s="272" t="s">
        <v>10591</v>
      </c>
      <c r="C628" s="265" t="s">
        <v>9664</v>
      </c>
      <c r="D628" s="266" t="s">
        <v>13437</v>
      </c>
      <c r="E628" s="265" t="s">
        <v>10602</v>
      </c>
      <c r="F628" s="285" t="s">
        <v>9197</v>
      </c>
      <c r="G628" s="272" t="s">
        <v>9197</v>
      </c>
      <c r="H628" s="7" t="s">
        <v>10823</v>
      </c>
      <c r="I628" s="266" t="s">
        <v>10824</v>
      </c>
      <c r="J628" s="7" t="s">
        <v>10602</v>
      </c>
    </row>
    <row r="629" spans="1:11" ht="14.55" customHeight="1" x14ac:dyDescent="0.25">
      <c r="A629" s="272" t="s">
        <v>9358</v>
      </c>
      <c r="B629" s="272" t="s">
        <v>10591</v>
      </c>
      <c r="C629" s="265" t="s">
        <v>9664</v>
      </c>
      <c r="D629" s="266" t="s">
        <v>13437</v>
      </c>
      <c r="E629" s="265" t="s">
        <v>10602</v>
      </c>
      <c r="F629" s="285" t="s">
        <v>9197</v>
      </c>
      <c r="G629" s="272" t="s">
        <v>9197</v>
      </c>
      <c r="H629" s="7" t="s">
        <v>10825</v>
      </c>
      <c r="I629" s="266" t="s">
        <v>10826</v>
      </c>
      <c r="J629" s="7" t="s">
        <v>10602</v>
      </c>
    </row>
    <row r="630" spans="1:11" ht="14.55" customHeight="1" x14ac:dyDescent="0.25">
      <c r="A630" s="272" t="s">
        <v>9358</v>
      </c>
      <c r="B630" s="272" t="s">
        <v>10591</v>
      </c>
      <c r="C630" s="265" t="s">
        <v>9664</v>
      </c>
      <c r="D630" s="266" t="s">
        <v>13437</v>
      </c>
      <c r="E630" s="265" t="s">
        <v>10602</v>
      </c>
      <c r="F630" s="285" t="s">
        <v>9197</v>
      </c>
      <c r="G630" s="272" t="s">
        <v>9197</v>
      </c>
      <c r="H630" s="7" t="s">
        <v>10827</v>
      </c>
      <c r="I630" s="266" t="s">
        <v>9657</v>
      </c>
      <c r="J630" s="7"/>
    </row>
    <row r="631" spans="1:11" s="282" customFormat="1" ht="14.55" customHeight="1" x14ac:dyDescent="0.25">
      <c r="A631" s="272" t="s">
        <v>9358</v>
      </c>
      <c r="B631" s="272" t="s">
        <v>10591</v>
      </c>
      <c r="C631" s="265" t="s">
        <v>9665</v>
      </c>
      <c r="D631" s="266" t="s">
        <v>9666</v>
      </c>
      <c r="E631" s="265" t="s">
        <v>10602</v>
      </c>
      <c r="F631" s="285" t="s">
        <v>9197</v>
      </c>
      <c r="G631" s="272" t="s">
        <v>9197</v>
      </c>
      <c r="H631" s="7" t="s">
        <v>10593</v>
      </c>
      <c r="I631" s="266" t="s">
        <v>10594</v>
      </c>
      <c r="J631" s="7" t="s">
        <v>10592</v>
      </c>
      <c r="K631" s="281"/>
    </row>
    <row r="632" spans="1:11" ht="14.55" customHeight="1" x14ac:dyDescent="0.25">
      <c r="A632" s="272" t="s">
        <v>9358</v>
      </c>
      <c r="B632" s="272" t="s">
        <v>10591</v>
      </c>
      <c r="C632" s="265" t="s">
        <v>9665</v>
      </c>
      <c r="D632" s="266" t="s">
        <v>9666</v>
      </c>
      <c r="E632" s="265" t="s">
        <v>10602</v>
      </c>
      <c r="F632" s="285" t="s">
        <v>9197</v>
      </c>
      <c r="G632" s="272" t="s">
        <v>9197</v>
      </c>
      <c r="H632" s="7" t="s">
        <v>10844</v>
      </c>
      <c r="I632" s="266" t="s">
        <v>9666</v>
      </c>
      <c r="J632" s="7" t="s">
        <v>10602</v>
      </c>
    </row>
    <row r="633" spans="1:11" ht="14.55" customHeight="1" x14ac:dyDescent="0.25">
      <c r="A633" s="286" t="s">
        <v>9358</v>
      </c>
      <c r="B633" s="293" t="s">
        <v>10591</v>
      </c>
      <c r="C633" s="294" t="s">
        <v>9665</v>
      </c>
      <c r="D633" s="353" t="s">
        <v>9666</v>
      </c>
      <c r="E633" s="357" t="s">
        <v>10602</v>
      </c>
      <c r="F633" s="368" t="s">
        <v>9197</v>
      </c>
      <c r="G633" s="293" t="s">
        <v>9197</v>
      </c>
      <c r="H633" s="354" t="s">
        <v>13482</v>
      </c>
      <c r="I633" s="264" t="s">
        <v>13483</v>
      </c>
      <c r="J633" s="354" t="s">
        <v>10602</v>
      </c>
      <c r="K633" s="354"/>
    </row>
    <row r="634" spans="1:11" ht="14.55" customHeight="1" x14ac:dyDescent="0.25">
      <c r="A634" s="272" t="s">
        <v>9358</v>
      </c>
      <c r="B634" s="272" t="s">
        <v>10845</v>
      </c>
      <c r="C634" s="265" t="s">
        <v>9667</v>
      </c>
      <c r="D634" s="266" t="s">
        <v>8892</v>
      </c>
      <c r="E634" s="265" t="s">
        <v>10602</v>
      </c>
      <c r="F634" s="285" t="s">
        <v>9197</v>
      </c>
      <c r="G634" s="272" t="s">
        <v>9197</v>
      </c>
      <c r="H634" s="7" t="s">
        <v>10846</v>
      </c>
      <c r="I634" s="266" t="s">
        <v>10847</v>
      </c>
      <c r="J634" s="7" t="s">
        <v>10848</v>
      </c>
    </row>
    <row r="635" spans="1:11" ht="14.55" customHeight="1" x14ac:dyDescent="0.25">
      <c r="A635" s="272" t="s">
        <v>9358</v>
      </c>
      <c r="B635" s="272" t="s">
        <v>10845</v>
      </c>
      <c r="C635" s="265" t="s">
        <v>9668</v>
      </c>
      <c r="D635" s="266" t="s">
        <v>9669</v>
      </c>
      <c r="E635" s="265" t="s">
        <v>10602</v>
      </c>
      <c r="F635" s="285" t="s">
        <v>9197</v>
      </c>
      <c r="G635" s="272" t="s">
        <v>9197</v>
      </c>
      <c r="H635" s="7" t="s">
        <v>10846</v>
      </c>
      <c r="I635" s="266" t="s">
        <v>10847</v>
      </c>
      <c r="J635" s="7" t="s">
        <v>10848</v>
      </c>
    </row>
    <row r="636" spans="1:11" ht="14.55" customHeight="1" x14ac:dyDescent="0.25">
      <c r="A636" s="286" t="s">
        <v>9358</v>
      </c>
      <c r="B636" s="272" t="s">
        <v>10845</v>
      </c>
      <c r="C636" s="265" t="s">
        <v>9670</v>
      </c>
      <c r="D636" s="287" t="s">
        <v>13481</v>
      </c>
      <c r="E636" s="265" t="s">
        <v>10602</v>
      </c>
      <c r="F636" s="285" t="s">
        <v>9197</v>
      </c>
      <c r="G636" s="272" t="s">
        <v>9197</v>
      </c>
      <c r="H636" s="7" t="s">
        <v>10849</v>
      </c>
      <c r="I636" s="287" t="s">
        <v>13481</v>
      </c>
      <c r="J636" s="7" t="s">
        <v>10848</v>
      </c>
    </row>
    <row r="637" spans="1:11" ht="14.55" customHeight="1" x14ac:dyDescent="0.25">
      <c r="A637" s="286" t="s">
        <v>9358</v>
      </c>
      <c r="B637" s="272" t="s">
        <v>10845</v>
      </c>
      <c r="C637" s="265" t="s">
        <v>9670</v>
      </c>
      <c r="D637" s="287" t="s">
        <v>13481</v>
      </c>
      <c r="E637" s="265" t="s">
        <v>10602</v>
      </c>
      <c r="F637" s="285" t="s">
        <v>9197</v>
      </c>
      <c r="G637" s="272" t="s">
        <v>9197</v>
      </c>
      <c r="H637" s="7" t="s">
        <v>10846</v>
      </c>
      <c r="I637" s="266" t="s">
        <v>10847</v>
      </c>
      <c r="J637" s="7" t="s">
        <v>10848</v>
      </c>
    </row>
    <row r="638" spans="1:11" ht="14.55" customHeight="1" x14ac:dyDescent="0.25">
      <c r="A638" s="286" t="s">
        <v>9358</v>
      </c>
      <c r="B638" s="272" t="s">
        <v>10845</v>
      </c>
      <c r="C638" s="265" t="s">
        <v>9670</v>
      </c>
      <c r="D638" s="287" t="s">
        <v>13481</v>
      </c>
      <c r="E638" s="265" t="s">
        <v>10602</v>
      </c>
      <c r="F638" s="285" t="s">
        <v>9197</v>
      </c>
      <c r="G638" s="272" t="s">
        <v>9197</v>
      </c>
      <c r="H638" s="7" t="s">
        <v>10850</v>
      </c>
      <c r="I638" s="266" t="s">
        <v>10851</v>
      </c>
      <c r="J638" s="7" t="s">
        <v>10848</v>
      </c>
    </row>
    <row r="639" spans="1:11" ht="14.55" customHeight="1" x14ac:dyDescent="0.25">
      <c r="A639" s="272" t="s">
        <v>9358</v>
      </c>
      <c r="B639" s="272" t="s">
        <v>10845</v>
      </c>
      <c r="C639" s="265" t="s">
        <v>9672</v>
      </c>
      <c r="D639" s="266" t="s">
        <v>8868</v>
      </c>
      <c r="E639" s="265" t="s">
        <v>10602</v>
      </c>
      <c r="F639" s="285" t="s">
        <v>9197</v>
      </c>
      <c r="G639" s="272" t="s">
        <v>9197</v>
      </c>
      <c r="H639" s="7" t="s">
        <v>10846</v>
      </c>
      <c r="I639" s="266" t="s">
        <v>10847</v>
      </c>
      <c r="J639" s="7" t="s">
        <v>10848</v>
      </c>
    </row>
    <row r="640" spans="1:11" ht="14.55" customHeight="1" x14ac:dyDescent="0.25">
      <c r="A640" s="272" t="s">
        <v>9358</v>
      </c>
      <c r="B640" s="272" t="s">
        <v>10845</v>
      </c>
      <c r="C640" s="265" t="s">
        <v>9672</v>
      </c>
      <c r="D640" s="266" t="s">
        <v>8868</v>
      </c>
      <c r="E640" s="265" t="s">
        <v>10602</v>
      </c>
      <c r="F640" s="285" t="s">
        <v>9197</v>
      </c>
      <c r="G640" s="272" t="s">
        <v>9197</v>
      </c>
      <c r="H640" s="7" t="s">
        <v>10850</v>
      </c>
      <c r="I640" s="266" t="s">
        <v>10851</v>
      </c>
      <c r="J640" s="7" t="s">
        <v>10848</v>
      </c>
    </row>
    <row r="641" spans="1:11" ht="14.55" customHeight="1" x14ac:dyDescent="0.25">
      <c r="A641" s="272" t="s">
        <v>9358</v>
      </c>
      <c r="B641" s="272" t="s">
        <v>10845</v>
      </c>
      <c r="C641" s="265" t="s">
        <v>9673</v>
      </c>
      <c r="D641" s="266" t="s">
        <v>8813</v>
      </c>
      <c r="E641" s="265" t="s">
        <v>10602</v>
      </c>
      <c r="F641" s="285" t="s">
        <v>9197</v>
      </c>
      <c r="G641" s="272" t="s">
        <v>9197</v>
      </c>
      <c r="H641" s="7" t="s">
        <v>10846</v>
      </c>
      <c r="I641" s="266" t="s">
        <v>10847</v>
      </c>
      <c r="J641" s="7" t="s">
        <v>10848</v>
      </c>
    </row>
    <row r="642" spans="1:11" ht="14.55" customHeight="1" x14ac:dyDescent="0.25">
      <c r="A642" s="272" t="s">
        <v>9358</v>
      </c>
      <c r="B642" s="272" t="s">
        <v>10845</v>
      </c>
      <c r="C642" s="265" t="s">
        <v>9673</v>
      </c>
      <c r="D642" s="266" t="s">
        <v>8813</v>
      </c>
      <c r="E642" s="265" t="s">
        <v>10602</v>
      </c>
      <c r="F642" s="285" t="s">
        <v>9197</v>
      </c>
      <c r="G642" s="272" t="s">
        <v>9197</v>
      </c>
      <c r="H642" s="7" t="s">
        <v>10850</v>
      </c>
      <c r="I642" s="266" t="s">
        <v>10851</v>
      </c>
      <c r="J642" s="7" t="s">
        <v>10848</v>
      </c>
    </row>
    <row r="643" spans="1:11" ht="14.55" customHeight="1" x14ac:dyDescent="0.25">
      <c r="A643" s="272" t="s">
        <v>9358</v>
      </c>
      <c r="B643" s="272" t="s">
        <v>10845</v>
      </c>
      <c r="C643" s="265" t="s">
        <v>9674</v>
      </c>
      <c r="D643" s="266" t="s">
        <v>13438</v>
      </c>
      <c r="E643" s="265" t="s">
        <v>10602</v>
      </c>
      <c r="F643" s="285" t="s">
        <v>9197</v>
      </c>
      <c r="G643" s="272" t="s">
        <v>9197</v>
      </c>
      <c r="H643" s="7" t="s">
        <v>10593</v>
      </c>
      <c r="I643" s="266" t="s">
        <v>10594</v>
      </c>
      <c r="J643" s="7" t="s">
        <v>10592</v>
      </c>
    </row>
    <row r="644" spans="1:11" ht="14.55" customHeight="1" x14ac:dyDescent="0.25">
      <c r="A644" s="272" t="s">
        <v>9358</v>
      </c>
      <c r="B644" s="272" t="s">
        <v>10845</v>
      </c>
      <c r="C644" s="265" t="s">
        <v>9675</v>
      </c>
      <c r="D644" s="266" t="s">
        <v>9676</v>
      </c>
      <c r="E644" s="265" t="s">
        <v>10602</v>
      </c>
      <c r="F644" s="285" t="s">
        <v>9197</v>
      </c>
      <c r="G644" s="272" t="s">
        <v>9197</v>
      </c>
      <c r="H644" s="7" t="s">
        <v>10852</v>
      </c>
      <c r="I644" s="266" t="s">
        <v>10853</v>
      </c>
      <c r="J644" s="7" t="s">
        <v>10848</v>
      </c>
    </row>
    <row r="645" spans="1:11" ht="14.55" customHeight="1" x14ac:dyDescent="0.25">
      <c r="A645" s="272" t="s">
        <v>9358</v>
      </c>
      <c r="B645" s="272" t="s">
        <v>10845</v>
      </c>
      <c r="C645" s="265" t="s">
        <v>9677</v>
      </c>
      <c r="D645" s="266" t="s">
        <v>13433</v>
      </c>
      <c r="E645" s="265" t="s">
        <v>10602</v>
      </c>
      <c r="F645" s="285" t="s">
        <v>9197</v>
      </c>
      <c r="G645" s="272" t="s">
        <v>9197</v>
      </c>
      <c r="H645" s="7" t="s">
        <v>10852</v>
      </c>
      <c r="I645" s="266" t="s">
        <v>10853</v>
      </c>
      <c r="J645" s="7" t="s">
        <v>10848</v>
      </c>
    </row>
    <row r="646" spans="1:11" ht="14.55" customHeight="1" x14ac:dyDescent="0.25">
      <c r="A646" s="272" t="s">
        <v>9358</v>
      </c>
      <c r="B646" s="272" t="s">
        <v>10845</v>
      </c>
      <c r="C646" s="265" t="s">
        <v>9677</v>
      </c>
      <c r="D646" s="266" t="s">
        <v>13433</v>
      </c>
      <c r="E646" s="265" t="s">
        <v>10602</v>
      </c>
      <c r="F646" s="285" t="s">
        <v>9197</v>
      </c>
      <c r="G646" s="272" t="s">
        <v>9197</v>
      </c>
      <c r="H646" s="7" t="s">
        <v>10846</v>
      </c>
      <c r="I646" s="266" t="s">
        <v>10847</v>
      </c>
      <c r="J646" s="7" t="s">
        <v>10848</v>
      </c>
    </row>
    <row r="647" spans="1:11" ht="14.55" customHeight="1" x14ac:dyDescent="0.25">
      <c r="A647" s="272" t="s">
        <v>9358</v>
      </c>
      <c r="B647" s="272" t="s">
        <v>10845</v>
      </c>
      <c r="C647" s="265" t="s">
        <v>9677</v>
      </c>
      <c r="D647" s="266" t="s">
        <v>13433</v>
      </c>
      <c r="E647" s="265" t="s">
        <v>10602</v>
      </c>
      <c r="F647" s="285" t="s">
        <v>9197</v>
      </c>
      <c r="G647" s="272" t="s">
        <v>9197</v>
      </c>
      <c r="H647" s="7" t="s">
        <v>10850</v>
      </c>
      <c r="I647" s="266" t="s">
        <v>10851</v>
      </c>
      <c r="J647" s="7" t="s">
        <v>10848</v>
      </c>
    </row>
    <row r="648" spans="1:11" ht="14.55" customHeight="1" x14ac:dyDescent="0.25">
      <c r="A648" s="272" t="s">
        <v>9358</v>
      </c>
      <c r="B648" s="272" t="s">
        <v>10591</v>
      </c>
      <c r="C648" s="265" t="s">
        <v>9678</v>
      </c>
      <c r="D648" s="266" t="s">
        <v>9679</v>
      </c>
      <c r="E648" s="278" t="s">
        <v>10672</v>
      </c>
      <c r="F648" s="272" t="s">
        <v>9198</v>
      </c>
      <c r="G648" s="272" t="s">
        <v>9197</v>
      </c>
      <c r="H648" s="7" t="s">
        <v>10593</v>
      </c>
      <c r="I648" s="266" t="s">
        <v>10594</v>
      </c>
      <c r="J648" s="7" t="s">
        <v>10592</v>
      </c>
      <c r="K648" s="265" t="s">
        <v>10672</v>
      </c>
    </row>
    <row r="649" spans="1:11" ht="14.55" customHeight="1" x14ac:dyDescent="0.25">
      <c r="A649" s="272" t="s">
        <v>9358</v>
      </c>
      <c r="B649" s="272" t="s">
        <v>10591</v>
      </c>
      <c r="C649" s="265" t="s">
        <v>9678</v>
      </c>
      <c r="D649" s="266" t="s">
        <v>9679</v>
      </c>
      <c r="E649" s="278" t="s">
        <v>10672</v>
      </c>
      <c r="F649" s="272" t="s">
        <v>9198</v>
      </c>
      <c r="G649" s="272" t="s">
        <v>9197</v>
      </c>
      <c r="H649" s="7" t="s">
        <v>10653</v>
      </c>
      <c r="I649" s="266" t="s">
        <v>10654</v>
      </c>
      <c r="J649" s="7" t="s">
        <v>10655</v>
      </c>
      <c r="K649" s="265" t="s">
        <v>10672</v>
      </c>
    </row>
    <row r="650" spans="1:11" ht="14.55" customHeight="1" x14ac:dyDescent="0.25">
      <c r="A650" s="286" t="s">
        <v>9358</v>
      </c>
      <c r="B650" s="293" t="s">
        <v>10591</v>
      </c>
      <c r="C650" s="294" t="s">
        <v>9678</v>
      </c>
      <c r="D650" s="353" t="s">
        <v>9679</v>
      </c>
      <c r="E650" s="357" t="s">
        <v>10672</v>
      </c>
      <c r="F650" s="293" t="s">
        <v>9198</v>
      </c>
      <c r="G650" s="293" t="s">
        <v>9197</v>
      </c>
      <c r="H650" s="354" t="s">
        <v>13482</v>
      </c>
      <c r="I650" s="264" t="s">
        <v>13483</v>
      </c>
      <c r="J650" s="354" t="s">
        <v>10602</v>
      </c>
      <c r="K650" s="354" t="s">
        <v>10672</v>
      </c>
    </row>
    <row r="651" spans="1:11" ht="14.55" customHeight="1" x14ac:dyDescent="0.25">
      <c r="A651" s="272" t="s">
        <v>9358</v>
      </c>
      <c r="B651" s="272" t="s">
        <v>10591</v>
      </c>
      <c r="C651" s="265" t="s">
        <v>9678</v>
      </c>
      <c r="D651" s="266" t="s">
        <v>9679</v>
      </c>
      <c r="E651" s="278" t="s">
        <v>10672</v>
      </c>
      <c r="F651" s="272" t="s">
        <v>9198</v>
      </c>
      <c r="G651" s="272" t="s">
        <v>9197</v>
      </c>
      <c r="H651" s="7" t="s">
        <v>10656</v>
      </c>
      <c r="I651" s="266" t="s">
        <v>10657</v>
      </c>
      <c r="J651" s="7" t="s">
        <v>10658</v>
      </c>
      <c r="K651" s="265" t="s">
        <v>10672</v>
      </c>
    </row>
    <row r="652" spans="1:11" ht="14.55" customHeight="1" x14ac:dyDescent="0.25">
      <c r="A652" s="272" t="s">
        <v>9358</v>
      </c>
      <c r="B652" s="272" t="s">
        <v>10591</v>
      </c>
      <c r="C652" s="265" t="s">
        <v>9680</v>
      </c>
      <c r="D652" s="266" t="s">
        <v>9681</v>
      </c>
      <c r="E652" s="278" t="s">
        <v>10672</v>
      </c>
      <c r="F652" s="272" t="s">
        <v>9198</v>
      </c>
      <c r="G652" s="272" t="s">
        <v>9197</v>
      </c>
      <c r="H652" s="7" t="s">
        <v>10593</v>
      </c>
      <c r="I652" s="266" t="s">
        <v>10594</v>
      </c>
      <c r="J652" s="7" t="s">
        <v>10592</v>
      </c>
      <c r="K652" s="278" t="s">
        <v>10672</v>
      </c>
    </row>
    <row r="653" spans="1:11" ht="14.55" customHeight="1" x14ac:dyDescent="0.25">
      <c r="A653" s="272" t="s">
        <v>9358</v>
      </c>
      <c r="B653" s="272" t="s">
        <v>10591</v>
      </c>
      <c r="C653" s="265" t="s">
        <v>9680</v>
      </c>
      <c r="D653" s="266" t="s">
        <v>9681</v>
      </c>
      <c r="E653" s="278" t="s">
        <v>10672</v>
      </c>
      <c r="F653" s="272" t="s">
        <v>9198</v>
      </c>
      <c r="G653" s="272" t="s">
        <v>9197</v>
      </c>
      <c r="H653" s="7" t="s">
        <v>10682</v>
      </c>
      <c r="I653" s="266" t="s">
        <v>10683</v>
      </c>
      <c r="J653" s="7" t="s">
        <v>10655</v>
      </c>
      <c r="K653" s="278" t="s">
        <v>11047</v>
      </c>
    </row>
    <row r="654" spans="1:11" ht="14.55" customHeight="1" x14ac:dyDescent="0.25">
      <c r="A654" s="272" t="s">
        <v>9358</v>
      </c>
      <c r="B654" s="272" t="s">
        <v>10591</v>
      </c>
      <c r="C654" s="265" t="s">
        <v>9680</v>
      </c>
      <c r="D654" s="266" t="s">
        <v>9681</v>
      </c>
      <c r="E654" s="278" t="s">
        <v>10672</v>
      </c>
      <c r="F654" s="272" t="s">
        <v>9198</v>
      </c>
      <c r="G654" s="272" t="s">
        <v>9197</v>
      </c>
      <c r="H654" s="7" t="s">
        <v>10694</v>
      </c>
      <c r="I654" s="266" t="s">
        <v>10695</v>
      </c>
      <c r="J654" s="7" t="s">
        <v>10655</v>
      </c>
      <c r="K654" s="278" t="s">
        <v>11047</v>
      </c>
    </row>
    <row r="655" spans="1:11" ht="14.55" customHeight="1" x14ac:dyDescent="0.25">
      <c r="A655" s="272" t="s">
        <v>9358</v>
      </c>
      <c r="B655" s="272" t="s">
        <v>10591</v>
      </c>
      <c r="C655" s="265" t="s">
        <v>9680</v>
      </c>
      <c r="D655" s="266" t="s">
        <v>9681</v>
      </c>
      <c r="E655" s="278" t="s">
        <v>10672</v>
      </c>
      <c r="F655" s="272" t="s">
        <v>9198</v>
      </c>
      <c r="G655" s="272" t="s">
        <v>9197</v>
      </c>
      <c r="H655" s="7" t="s">
        <v>10698</v>
      </c>
      <c r="I655" s="266" t="s">
        <v>10699</v>
      </c>
      <c r="J655" s="7" t="s">
        <v>10655</v>
      </c>
      <c r="K655" s="278" t="s">
        <v>11047</v>
      </c>
    </row>
    <row r="656" spans="1:11" ht="14.55" customHeight="1" x14ac:dyDescent="0.25">
      <c r="A656" s="272" t="s">
        <v>9358</v>
      </c>
      <c r="B656" s="272" t="s">
        <v>10591</v>
      </c>
      <c r="C656" s="265" t="s">
        <v>9680</v>
      </c>
      <c r="D656" s="266" t="s">
        <v>9681</v>
      </c>
      <c r="E656" s="278" t="s">
        <v>10672</v>
      </c>
      <c r="F656" s="272" t="s">
        <v>9198</v>
      </c>
      <c r="G656" s="272" t="s">
        <v>9197</v>
      </c>
      <c r="H656" s="7" t="s">
        <v>10700</v>
      </c>
      <c r="I656" s="266" t="s">
        <v>10701</v>
      </c>
      <c r="J656" s="7" t="s">
        <v>10655</v>
      </c>
      <c r="K656" s="278" t="s">
        <v>11047</v>
      </c>
    </row>
    <row r="657" spans="1:11" ht="14.55" customHeight="1" x14ac:dyDescent="0.25">
      <c r="A657" s="272" t="s">
        <v>9358</v>
      </c>
      <c r="B657" s="272" t="s">
        <v>10591</v>
      </c>
      <c r="C657" s="265" t="s">
        <v>9680</v>
      </c>
      <c r="D657" s="266" t="s">
        <v>9681</v>
      </c>
      <c r="E657" s="278" t="s">
        <v>10672</v>
      </c>
      <c r="F657" s="272" t="s">
        <v>9198</v>
      </c>
      <c r="G657" s="272" t="s">
        <v>9197</v>
      </c>
      <c r="H657" s="7" t="s">
        <v>10706</v>
      </c>
      <c r="I657" s="266" t="s">
        <v>10707</v>
      </c>
      <c r="J657" s="7" t="s">
        <v>10655</v>
      </c>
      <c r="K657" s="278" t="s">
        <v>11047</v>
      </c>
    </row>
    <row r="658" spans="1:11" ht="14.55" customHeight="1" x14ac:dyDescent="0.25">
      <c r="A658" s="272" t="s">
        <v>9358</v>
      </c>
      <c r="B658" s="272" t="s">
        <v>10591</v>
      </c>
      <c r="C658" s="265" t="s">
        <v>9680</v>
      </c>
      <c r="D658" s="266" t="s">
        <v>9681</v>
      </c>
      <c r="E658" s="278" t="s">
        <v>10672</v>
      </c>
      <c r="F658" s="272" t="s">
        <v>9198</v>
      </c>
      <c r="G658" s="272" t="s">
        <v>9197</v>
      </c>
      <c r="H658" s="7" t="s">
        <v>10684</v>
      </c>
      <c r="I658" s="266" t="s">
        <v>10685</v>
      </c>
      <c r="J658" s="7" t="s">
        <v>10655</v>
      </c>
      <c r="K658" s="278" t="s">
        <v>11047</v>
      </c>
    </row>
    <row r="659" spans="1:11" s="282" customFormat="1" ht="14.55" customHeight="1" x14ac:dyDescent="0.25">
      <c r="A659" s="272" t="s">
        <v>9358</v>
      </c>
      <c r="B659" s="272" t="s">
        <v>10591</v>
      </c>
      <c r="C659" s="265" t="s">
        <v>9680</v>
      </c>
      <c r="D659" s="266" t="s">
        <v>9681</v>
      </c>
      <c r="E659" s="278" t="s">
        <v>10672</v>
      </c>
      <c r="F659" s="272" t="s">
        <v>9198</v>
      </c>
      <c r="G659" s="272" t="s">
        <v>9197</v>
      </c>
      <c r="H659" s="7" t="s">
        <v>10686</v>
      </c>
      <c r="I659" s="266" t="s">
        <v>10687</v>
      </c>
      <c r="J659" s="7" t="s">
        <v>10655</v>
      </c>
      <c r="K659" s="278" t="s">
        <v>11047</v>
      </c>
    </row>
    <row r="660" spans="1:11" ht="14.55" customHeight="1" x14ac:dyDescent="0.25">
      <c r="A660" s="286" t="s">
        <v>9358</v>
      </c>
      <c r="B660" s="293" t="s">
        <v>10591</v>
      </c>
      <c r="C660" s="294" t="s">
        <v>9680</v>
      </c>
      <c r="D660" s="353" t="s">
        <v>9681</v>
      </c>
      <c r="E660" s="357" t="s">
        <v>10672</v>
      </c>
      <c r="F660" s="293" t="s">
        <v>9198</v>
      </c>
      <c r="G660" s="293" t="s">
        <v>9197</v>
      </c>
      <c r="H660" s="354" t="s">
        <v>13482</v>
      </c>
      <c r="I660" s="264" t="s">
        <v>13483</v>
      </c>
      <c r="J660" s="354" t="s">
        <v>10602</v>
      </c>
      <c r="K660" s="357" t="s">
        <v>10672</v>
      </c>
    </row>
    <row r="661" spans="1:11" ht="14.55" customHeight="1" x14ac:dyDescent="0.25">
      <c r="A661" s="272" t="s">
        <v>9358</v>
      </c>
      <c r="B661" s="272" t="s">
        <v>10591</v>
      </c>
      <c r="C661" s="265" t="s">
        <v>9680</v>
      </c>
      <c r="D661" s="266" t="s">
        <v>9681</v>
      </c>
      <c r="E661" s="278" t="s">
        <v>10672</v>
      </c>
      <c r="F661" s="272" t="s">
        <v>9198</v>
      </c>
      <c r="G661" s="272" t="s">
        <v>9197</v>
      </c>
      <c r="H661" s="7" t="s">
        <v>10696</v>
      </c>
      <c r="I661" s="266" t="s">
        <v>10697</v>
      </c>
      <c r="J661" s="7" t="s">
        <v>10658</v>
      </c>
      <c r="K661" s="278" t="s">
        <v>10672</v>
      </c>
    </row>
    <row r="662" spans="1:11" ht="14.55" customHeight="1" x14ac:dyDescent="0.25">
      <c r="A662" s="272" t="s">
        <v>9358</v>
      </c>
      <c r="B662" s="272" t="s">
        <v>10591</v>
      </c>
      <c r="C662" s="265" t="s">
        <v>9680</v>
      </c>
      <c r="D662" s="266" t="s">
        <v>9681</v>
      </c>
      <c r="E662" s="278" t="s">
        <v>10672</v>
      </c>
      <c r="F662" s="272" t="s">
        <v>9198</v>
      </c>
      <c r="G662" s="272" t="s">
        <v>9197</v>
      </c>
      <c r="H662" s="7" t="s">
        <v>10702</v>
      </c>
      <c r="I662" s="266" t="s">
        <v>10703</v>
      </c>
      <c r="J662" s="7" t="s">
        <v>10658</v>
      </c>
      <c r="K662" s="278" t="s">
        <v>10672</v>
      </c>
    </row>
    <row r="663" spans="1:11" ht="14.55" customHeight="1" x14ac:dyDescent="0.25">
      <c r="A663" s="272" t="s">
        <v>9358</v>
      </c>
      <c r="B663" s="272" t="s">
        <v>10591</v>
      </c>
      <c r="C663" s="265" t="s">
        <v>9680</v>
      </c>
      <c r="D663" s="266" t="s">
        <v>9681</v>
      </c>
      <c r="E663" s="278" t="s">
        <v>10672</v>
      </c>
      <c r="F663" s="272" t="s">
        <v>9198</v>
      </c>
      <c r="G663" s="272" t="s">
        <v>9197</v>
      </c>
      <c r="H663" s="7" t="s">
        <v>10704</v>
      </c>
      <c r="I663" s="266" t="s">
        <v>10705</v>
      </c>
      <c r="J663" s="7" t="s">
        <v>10658</v>
      </c>
      <c r="K663" s="278" t="s">
        <v>10672</v>
      </c>
    </row>
    <row r="664" spans="1:11" ht="14.55" customHeight="1" x14ac:dyDescent="0.25">
      <c r="A664" s="272" t="s">
        <v>9358</v>
      </c>
      <c r="B664" s="272" t="s">
        <v>10591</v>
      </c>
      <c r="C664" s="265" t="s">
        <v>9680</v>
      </c>
      <c r="D664" s="266" t="s">
        <v>9681</v>
      </c>
      <c r="E664" s="278" t="s">
        <v>10672</v>
      </c>
      <c r="F664" s="272" t="s">
        <v>9198</v>
      </c>
      <c r="G664" s="272" t="s">
        <v>9197</v>
      </c>
      <c r="H664" s="7" t="s">
        <v>10708</v>
      </c>
      <c r="I664" s="266" t="s">
        <v>10709</v>
      </c>
      <c r="J664" s="7" t="s">
        <v>10658</v>
      </c>
      <c r="K664" s="278" t="s">
        <v>10672</v>
      </c>
    </row>
    <row r="665" spans="1:11" ht="14.55" customHeight="1" x14ac:dyDescent="0.25">
      <c r="A665" s="272" t="s">
        <v>9358</v>
      </c>
      <c r="B665" s="272" t="s">
        <v>10591</v>
      </c>
      <c r="C665" s="265" t="s">
        <v>9680</v>
      </c>
      <c r="D665" s="266" t="s">
        <v>9681</v>
      </c>
      <c r="E665" s="278" t="s">
        <v>10672</v>
      </c>
      <c r="F665" s="272" t="s">
        <v>9198</v>
      </c>
      <c r="G665" s="272" t="s">
        <v>9197</v>
      </c>
      <c r="H665" s="7" t="s">
        <v>10688</v>
      </c>
      <c r="I665" s="266" t="s">
        <v>10689</v>
      </c>
      <c r="J665" s="7" t="s">
        <v>10658</v>
      </c>
      <c r="K665" s="278" t="s">
        <v>10672</v>
      </c>
    </row>
    <row r="666" spans="1:11" ht="14.55" customHeight="1" x14ac:dyDescent="0.25">
      <c r="A666" s="272" t="s">
        <v>9358</v>
      </c>
      <c r="B666" s="272" t="s">
        <v>10591</v>
      </c>
      <c r="C666" s="265" t="s">
        <v>9680</v>
      </c>
      <c r="D666" s="266" t="s">
        <v>9681</v>
      </c>
      <c r="E666" s="278" t="s">
        <v>10672</v>
      </c>
      <c r="F666" s="272" t="s">
        <v>9198</v>
      </c>
      <c r="G666" s="272" t="s">
        <v>9197</v>
      </c>
      <c r="H666" s="7" t="s">
        <v>10690</v>
      </c>
      <c r="I666" s="266" t="s">
        <v>10691</v>
      </c>
      <c r="J666" s="7" t="s">
        <v>10658</v>
      </c>
      <c r="K666" s="278" t="s">
        <v>10672</v>
      </c>
    </row>
    <row r="667" spans="1:11" ht="14.55" customHeight="1" x14ac:dyDescent="0.25">
      <c r="A667" s="272" t="s">
        <v>9358</v>
      </c>
      <c r="B667" s="272" t="s">
        <v>10591</v>
      </c>
      <c r="C667" s="265" t="s">
        <v>9680</v>
      </c>
      <c r="D667" s="266" t="s">
        <v>9681</v>
      </c>
      <c r="E667" s="278" t="s">
        <v>10672</v>
      </c>
      <c r="F667" s="272" t="s">
        <v>9198</v>
      </c>
      <c r="G667" s="272" t="s">
        <v>9197</v>
      </c>
      <c r="H667" s="7" t="s">
        <v>10692</v>
      </c>
      <c r="I667" s="266" t="s">
        <v>10693</v>
      </c>
      <c r="J667" s="7" t="s">
        <v>10658</v>
      </c>
      <c r="K667" s="278" t="s">
        <v>10672</v>
      </c>
    </row>
    <row r="668" spans="1:11" ht="14.55" customHeight="1" x14ac:dyDescent="0.25">
      <c r="A668" s="272" t="s">
        <v>9358</v>
      </c>
      <c r="B668" s="272" t="s">
        <v>10591</v>
      </c>
      <c r="C668" s="265" t="s">
        <v>9682</v>
      </c>
      <c r="D668" s="266" t="s">
        <v>9683</v>
      </c>
      <c r="E668" s="278" t="s">
        <v>10672</v>
      </c>
      <c r="F668" s="272" t="s">
        <v>9198</v>
      </c>
      <c r="G668" s="272" t="s">
        <v>9197</v>
      </c>
      <c r="H668" s="7" t="s">
        <v>10593</v>
      </c>
      <c r="I668" s="266" t="s">
        <v>10594</v>
      </c>
      <c r="J668" s="7" t="s">
        <v>10592</v>
      </c>
      <c r="K668" s="278" t="s">
        <v>10672</v>
      </c>
    </row>
    <row r="669" spans="1:11" ht="14.55" customHeight="1" x14ac:dyDescent="0.25">
      <c r="A669" s="272" t="s">
        <v>9358</v>
      </c>
      <c r="B669" s="272" t="s">
        <v>10591</v>
      </c>
      <c r="C669" s="265" t="s">
        <v>9682</v>
      </c>
      <c r="D669" s="266" t="s">
        <v>9683</v>
      </c>
      <c r="E669" s="278" t="s">
        <v>10672</v>
      </c>
      <c r="F669" s="272" t="s">
        <v>9198</v>
      </c>
      <c r="G669" s="272" t="s">
        <v>9197</v>
      </c>
      <c r="H669" s="7" t="s">
        <v>10710</v>
      </c>
      <c r="I669" s="266" t="s">
        <v>10711</v>
      </c>
      <c r="J669" s="7" t="s">
        <v>10655</v>
      </c>
      <c r="K669" s="278" t="s">
        <v>11047</v>
      </c>
    </row>
    <row r="670" spans="1:11" ht="14.55" customHeight="1" x14ac:dyDescent="0.25">
      <c r="A670" s="272" t="s">
        <v>9358</v>
      </c>
      <c r="B670" s="272" t="s">
        <v>10591</v>
      </c>
      <c r="C670" s="265" t="s">
        <v>9682</v>
      </c>
      <c r="D670" s="266" t="s">
        <v>9683</v>
      </c>
      <c r="E670" s="278" t="s">
        <v>10672</v>
      </c>
      <c r="F670" s="272" t="s">
        <v>9198</v>
      </c>
      <c r="G670" s="272" t="s">
        <v>9197</v>
      </c>
      <c r="H670" s="7" t="s">
        <v>10718</v>
      </c>
      <c r="I670" s="266" t="s">
        <v>10719</v>
      </c>
      <c r="J670" s="7" t="s">
        <v>10655</v>
      </c>
      <c r="K670" s="278" t="s">
        <v>11047</v>
      </c>
    </row>
    <row r="671" spans="1:11" ht="14.55" customHeight="1" x14ac:dyDescent="0.25">
      <c r="A671" s="272" t="s">
        <v>9358</v>
      </c>
      <c r="B671" s="272" t="s">
        <v>10591</v>
      </c>
      <c r="C671" s="265" t="s">
        <v>9682</v>
      </c>
      <c r="D671" s="266" t="s">
        <v>9683</v>
      </c>
      <c r="E671" s="278" t="s">
        <v>10672</v>
      </c>
      <c r="F671" s="272" t="s">
        <v>9198</v>
      </c>
      <c r="G671" s="272" t="s">
        <v>9197</v>
      </c>
      <c r="H671" s="7" t="s">
        <v>10722</v>
      </c>
      <c r="I671" s="266" t="s">
        <v>10723</v>
      </c>
      <c r="J671" s="7" t="s">
        <v>10655</v>
      </c>
      <c r="K671" s="278" t="s">
        <v>11047</v>
      </c>
    </row>
    <row r="672" spans="1:11" ht="14.55" customHeight="1" x14ac:dyDescent="0.25">
      <c r="A672" s="272" t="s">
        <v>9358</v>
      </c>
      <c r="B672" s="272" t="s">
        <v>10591</v>
      </c>
      <c r="C672" s="265" t="s">
        <v>9682</v>
      </c>
      <c r="D672" s="266" t="s">
        <v>9683</v>
      </c>
      <c r="E672" s="278" t="s">
        <v>10672</v>
      </c>
      <c r="F672" s="272" t="s">
        <v>9198</v>
      </c>
      <c r="G672" s="272" t="s">
        <v>9197</v>
      </c>
      <c r="H672" s="7" t="s">
        <v>10712</v>
      </c>
      <c r="I672" s="266" t="s">
        <v>10713</v>
      </c>
      <c r="J672" s="7" t="s">
        <v>10655</v>
      </c>
      <c r="K672" s="278" t="s">
        <v>11047</v>
      </c>
    </row>
    <row r="673" spans="1:11" ht="14.55" customHeight="1" x14ac:dyDescent="0.25">
      <c r="A673" s="272" t="s">
        <v>9358</v>
      </c>
      <c r="B673" s="272" t="s">
        <v>10591</v>
      </c>
      <c r="C673" s="265" t="s">
        <v>9682</v>
      </c>
      <c r="D673" s="266" t="s">
        <v>9683</v>
      </c>
      <c r="E673" s="278" t="s">
        <v>10672</v>
      </c>
      <c r="F673" s="272" t="s">
        <v>9198</v>
      </c>
      <c r="G673" s="272" t="s">
        <v>9197</v>
      </c>
      <c r="H673" s="7" t="s">
        <v>10726</v>
      </c>
      <c r="I673" s="266" t="s">
        <v>10727</v>
      </c>
      <c r="J673" s="7" t="s">
        <v>10655</v>
      </c>
      <c r="K673" s="278" t="s">
        <v>11047</v>
      </c>
    </row>
    <row r="674" spans="1:11" ht="14.55" customHeight="1" x14ac:dyDescent="0.25">
      <c r="A674" s="272" t="s">
        <v>9358</v>
      </c>
      <c r="B674" s="272" t="s">
        <v>10591</v>
      </c>
      <c r="C674" s="265" t="s">
        <v>9682</v>
      </c>
      <c r="D674" s="266" t="s">
        <v>9683</v>
      </c>
      <c r="E674" s="278" t="s">
        <v>10672</v>
      </c>
      <c r="F674" s="272" t="s">
        <v>9198</v>
      </c>
      <c r="G674" s="272" t="s">
        <v>9197</v>
      </c>
      <c r="H674" s="7" t="s">
        <v>10714</v>
      </c>
      <c r="I674" s="266" t="s">
        <v>10715</v>
      </c>
      <c r="J674" s="7" t="s">
        <v>10658</v>
      </c>
      <c r="K674" s="278" t="s">
        <v>10672</v>
      </c>
    </row>
    <row r="675" spans="1:11" ht="14.55" customHeight="1" x14ac:dyDescent="0.25">
      <c r="A675" s="272" t="s">
        <v>9358</v>
      </c>
      <c r="B675" s="272" t="s">
        <v>10591</v>
      </c>
      <c r="C675" s="265" t="s">
        <v>9682</v>
      </c>
      <c r="D675" s="266" t="s">
        <v>9683</v>
      </c>
      <c r="E675" s="278" t="s">
        <v>10672</v>
      </c>
      <c r="F675" s="272" t="s">
        <v>9198</v>
      </c>
      <c r="G675" s="272" t="s">
        <v>9197</v>
      </c>
      <c r="H675" s="7" t="s">
        <v>10720</v>
      </c>
      <c r="I675" s="266" t="s">
        <v>10721</v>
      </c>
      <c r="J675" s="7" t="s">
        <v>10658</v>
      </c>
      <c r="K675" s="278" t="s">
        <v>10672</v>
      </c>
    </row>
    <row r="676" spans="1:11" s="270" customFormat="1" ht="14.55" customHeight="1" x14ac:dyDescent="0.25">
      <c r="A676" s="272" t="s">
        <v>9358</v>
      </c>
      <c r="B676" s="272" t="s">
        <v>10591</v>
      </c>
      <c r="C676" s="265" t="s">
        <v>9682</v>
      </c>
      <c r="D676" s="266" t="s">
        <v>9683</v>
      </c>
      <c r="E676" s="278" t="s">
        <v>10672</v>
      </c>
      <c r="F676" s="272" t="s">
        <v>9198</v>
      </c>
      <c r="G676" s="272" t="s">
        <v>9197</v>
      </c>
      <c r="H676" s="7" t="s">
        <v>10724</v>
      </c>
      <c r="I676" s="266" t="s">
        <v>10725</v>
      </c>
      <c r="J676" s="7" t="s">
        <v>10658</v>
      </c>
      <c r="K676" s="278" t="s">
        <v>10672</v>
      </c>
    </row>
    <row r="677" spans="1:11" s="270" customFormat="1" ht="14.55" customHeight="1" x14ac:dyDescent="0.25">
      <c r="A677" s="272" t="s">
        <v>9358</v>
      </c>
      <c r="B677" s="272" t="s">
        <v>10591</v>
      </c>
      <c r="C677" s="265" t="s">
        <v>9682</v>
      </c>
      <c r="D677" s="266" t="s">
        <v>9683</v>
      </c>
      <c r="E677" s="278" t="s">
        <v>10672</v>
      </c>
      <c r="F677" s="272" t="s">
        <v>9198</v>
      </c>
      <c r="G677" s="272" t="s">
        <v>9197</v>
      </c>
      <c r="H677" s="7" t="s">
        <v>10716</v>
      </c>
      <c r="I677" s="266" t="s">
        <v>10717</v>
      </c>
      <c r="J677" s="7" t="s">
        <v>10658</v>
      </c>
      <c r="K677" s="278" t="s">
        <v>10672</v>
      </c>
    </row>
    <row r="678" spans="1:11" s="270" customFormat="1" ht="14.55" customHeight="1" x14ac:dyDescent="0.25">
      <c r="A678" s="272" t="s">
        <v>9358</v>
      </c>
      <c r="B678" s="272" t="s">
        <v>10591</v>
      </c>
      <c r="C678" s="265" t="s">
        <v>9682</v>
      </c>
      <c r="D678" s="266" t="s">
        <v>9683</v>
      </c>
      <c r="E678" s="278" t="s">
        <v>10672</v>
      </c>
      <c r="F678" s="272" t="s">
        <v>9198</v>
      </c>
      <c r="G678" s="272" t="s">
        <v>9197</v>
      </c>
      <c r="H678" s="7" t="s">
        <v>10728</v>
      </c>
      <c r="I678" s="266" t="s">
        <v>10729</v>
      </c>
      <c r="J678" s="7" t="s">
        <v>10658</v>
      </c>
      <c r="K678" s="278" t="s">
        <v>10672</v>
      </c>
    </row>
    <row r="679" spans="1:11" ht="14.55" customHeight="1" x14ac:dyDescent="0.25">
      <c r="A679" s="286" t="s">
        <v>9358</v>
      </c>
      <c r="B679" s="293" t="s">
        <v>10591</v>
      </c>
      <c r="C679" s="294" t="s">
        <v>9682</v>
      </c>
      <c r="D679" s="353" t="s">
        <v>9683</v>
      </c>
      <c r="E679" s="357" t="s">
        <v>10672</v>
      </c>
      <c r="F679" s="293" t="s">
        <v>9198</v>
      </c>
      <c r="G679" s="293" t="s">
        <v>9197</v>
      </c>
      <c r="H679" s="354" t="s">
        <v>13482</v>
      </c>
      <c r="I679" s="264" t="s">
        <v>13483</v>
      </c>
      <c r="J679" s="354" t="s">
        <v>10602</v>
      </c>
      <c r="K679" s="357" t="s">
        <v>10672</v>
      </c>
    </row>
    <row r="680" spans="1:11" s="270" customFormat="1" ht="14.55" customHeight="1" x14ac:dyDescent="0.25">
      <c r="A680" s="272" t="s">
        <v>9358</v>
      </c>
      <c r="B680" s="272" t="s">
        <v>10591</v>
      </c>
      <c r="C680" s="265" t="s">
        <v>9684</v>
      </c>
      <c r="D680" s="266" t="s">
        <v>9685</v>
      </c>
      <c r="E680" s="278" t="s">
        <v>10663</v>
      </c>
      <c r="F680" s="272" t="s">
        <v>9198</v>
      </c>
      <c r="G680" s="272" t="s">
        <v>9197</v>
      </c>
      <c r="H680" s="7" t="s">
        <v>10647</v>
      </c>
      <c r="I680" s="266" t="s">
        <v>10648</v>
      </c>
      <c r="J680" s="7" t="s">
        <v>10602</v>
      </c>
      <c r="K680" s="278" t="s">
        <v>10663</v>
      </c>
    </row>
    <row r="681" spans="1:11" s="270" customFormat="1" ht="14.55" customHeight="1" x14ac:dyDescent="0.25">
      <c r="A681" s="272" t="s">
        <v>9358</v>
      </c>
      <c r="B681" s="272" t="s">
        <v>10591</v>
      </c>
      <c r="C681" s="265" t="s">
        <v>9684</v>
      </c>
      <c r="D681" s="266" t="s">
        <v>9685</v>
      </c>
      <c r="E681" s="278" t="s">
        <v>10663</v>
      </c>
      <c r="F681" s="272" t="s">
        <v>9198</v>
      </c>
      <c r="G681" s="272" t="s">
        <v>9197</v>
      </c>
      <c r="H681" s="7" t="s">
        <v>10649</v>
      </c>
      <c r="I681" s="266" t="s">
        <v>10650</v>
      </c>
      <c r="J681" s="7" t="s">
        <v>10592</v>
      </c>
      <c r="K681" s="278" t="s">
        <v>10672</v>
      </c>
    </row>
    <row r="682" spans="1:11" s="270" customFormat="1" ht="14.55" customHeight="1" x14ac:dyDescent="0.25">
      <c r="A682" s="272" t="s">
        <v>9358</v>
      </c>
      <c r="B682" s="272" t="s">
        <v>10591</v>
      </c>
      <c r="C682" s="265" t="s">
        <v>9684</v>
      </c>
      <c r="D682" s="266" t="s">
        <v>9685</v>
      </c>
      <c r="E682" s="278" t="s">
        <v>10663</v>
      </c>
      <c r="F682" s="272" t="s">
        <v>9198</v>
      </c>
      <c r="G682" s="272" t="s">
        <v>9197</v>
      </c>
      <c r="H682" s="7" t="s">
        <v>10854</v>
      </c>
      <c r="I682" s="266" t="s">
        <v>10855</v>
      </c>
      <c r="J682" s="7" t="s">
        <v>10655</v>
      </c>
      <c r="K682" s="278" t="s">
        <v>10655</v>
      </c>
    </row>
    <row r="683" spans="1:11" s="270" customFormat="1" ht="14.55" customHeight="1" x14ac:dyDescent="0.25">
      <c r="A683" s="272" t="s">
        <v>9358</v>
      </c>
      <c r="B683" s="272" t="s">
        <v>10591</v>
      </c>
      <c r="C683" s="265" t="s">
        <v>9686</v>
      </c>
      <c r="D683" s="266" t="s">
        <v>9687</v>
      </c>
      <c r="E683" s="278" t="s">
        <v>10663</v>
      </c>
      <c r="F683" s="272" t="s">
        <v>9198</v>
      </c>
      <c r="G683" s="272" t="s">
        <v>9197</v>
      </c>
      <c r="H683" s="7" t="s">
        <v>10647</v>
      </c>
      <c r="I683" s="266" t="s">
        <v>10648</v>
      </c>
      <c r="J683" s="7" t="s">
        <v>10602</v>
      </c>
      <c r="K683" s="278" t="s">
        <v>10663</v>
      </c>
    </row>
    <row r="684" spans="1:11" s="270" customFormat="1" ht="14.55" customHeight="1" x14ac:dyDescent="0.25">
      <c r="A684" s="272" t="s">
        <v>9358</v>
      </c>
      <c r="B684" s="272" t="s">
        <v>10591</v>
      </c>
      <c r="C684" s="265" t="s">
        <v>9686</v>
      </c>
      <c r="D684" s="266" t="s">
        <v>9687</v>
      </c>
      <c r="E684" s="278" t="s">
        <v>10663</v>
      </c>
      <c r="F684" s="272" t="s">
        <v>9198</v>
      </c>
      <c r="G684" s="272" t="s">
        <v>9197</v>
      </c>
      <c r="H684" s="7" t="s">
        <v>10854</v>
      </c>
      <c r="I684" s="266" t="s">
        <v>10855</v>
      </c>
      <c r="J684" s="7" t="s">
        <v>10655</v>
      </c>
      <c r="K684" s="278" t="s">
        <v>10663</v>
      </c>
    </row>
    <row r="685" spans="1:11" s="270" customFormat="1" ht="14.55" customHeight="1" x14ac:dyDescent="0.25">
      <c r="A685" s="272" t="s">
        <v>9358</v>
      </c>
      <c r="B685" s="272" t="s">
        <v>10591</v>
      </c>
      <c r="C685" s="265" t="s">
        <v>9688</v>
      </c>
      <c r="D685" s="127" t="s">
        <v>10856</v>
      </c>
      <c r="E685" s="265" t="s">
        <v>10808</v>
      </c>
      <c r="F685" s="272" t="s">
        <v>9198</v>
      </c>
      <c r="G685" s="272" t="s">
        <v>9197</v>
      </c>
      <c r="H685" s="7" t="s">
        <v>10857</v>
      </c>
      <c r="I685" s="266" t="s">
        <v>10858</v>
      </c>
      <c r="J685" s="7" t="s">
        <v>10808</v>
      </c>
      <c r="K685" s="278" t="s">
        <v>10663</v>
      </c>
    </row>
    <row r="686" spans="1:11" s="270" customFormat="1" ht="14.55" customHeight="1" x14ac:dyDescent="0.25">
      <c r="A686" s="272" t="s">
        <v>9358</v>
      </c>
      <c r="B686" s="272" t="s">
        <v>10591</v>
      </c>
      <c r="C686" s="265" t="s">
        <v>9690</v>
      </c>
      <c r="D686" s="127" t="s">
        <v>10859</v>
      </c>
      <c r="E686" s="265" t="s">
        <v>10808</v>
      </c>
      <c r="F686" s="272" t="s">
        <v>9198</v>
      </c>
      <c r="G686" s="272" t="s">
        <v>9197</v>
      </c>
      <c r="H686" s="7" t="s">
        <v>10806</v>
      </c>
      <c r="I686" s="266" t="s">
        <v>10807</v>
      </c>
      <c r="J686" s="7" t="s">
        <v>10808</v>
      </c>
      <c r="K686" s="278" t="s">
        <v>10663</v>
      </c>
    </row>
    <row r="687" spans="1:11" s="270" customFormat="1" ht="14.55" customHeight="1" x14ac:dyDescent="0.25">
      <c r="A687" s="272" t="s">
        <v>9358</v>
      </c>
      <c r="B687" s="272" t="s">
        <v>10591</v>
      </c>
      <c r="C687" s="265" t="s">
        <v>9692</v>
      </c>
      <c r="D687" s="266" t="s">
        <v>9693</v>
      </c>
      <c r="E687" s="278" t="s">
        <v>140</v>
      </c>
      <c r="F687" s="272" t="s">
        <v>9198</v>
      </c>
      <c r="G687" s="272" t="s">
        <v>9197</v>
      </c>
      <c r="H687" s="7"/>
      <c r="I687" s="266" t="s">
        <v>10860</v>
      </c>
      <c r="J687" s="7"/>
      <c r="K687" s="271"/>
    </row>
    <row r="688" spans="1:11" s="270" customFormat="1" ht="14.55" customHeight="1" x14ac:dyDescent="0.25">
      <c r="A688" s="288" t="s">
        <v>9358</v>
      </c>
      <c r="B688" s="288" t="s">
        <v>10861</v>
      </c>
      <c r="C688" s="268" t="s">
        <v>9694</v>
      </c>
      <c r="D688" s="269" t="s">
        <v>9695</v>
      </c>
      <c r="E688" s="271" t="s">
        <v>10862</v>
      </c>
      <c r="F688" s="288" t="s">
        <v>9197</v>
      </c>
      <c r="G688" s="288" t="s">
        <v>9197</v>
      </c>
      <c r="H688" s="271"/>
      <c r="I688" s="289" t="s">
        <v>10862</v>
      </c>
      <c r="J688" s="271" t="s">
        <v>10862</v>
      </c>
      <c r="K688" s="271"/>
    </row>
    <row r="689" spans="1:11" s="270" customFormat="1" ht="14.55" customHeight="1" x14ac:dyDescent="0.25">
      <c r="A689" s="288" t="s">
        <v>9358</v>
      </c>
      <c r="B689" s="288" t="s">
        <v>10861</v>
      </c>
      <c r="C689" s="268" t="s">
        <v>9696</v>
      </c>
      <c r="D689" s="269" t="s">
        <v>9697</v>
      </c>
      <c r="E689" s="271" t="s">
        <v>10862</v>
      </c>
      <c r="F689" s="288" t="s">
        <v>9197</v>
      </c>
      <c r="G689" s="288" t="s">
        <v>9197</v>
      </c>
      <c r="H689" s="271"/>
      <c r="I689" s="289" t="s">
        <v>10862</v>
      </c>
      <c r="J689" s="271" t="s">
        <v>10862</v>
      </c>
      <c r="K689" s="271"/>
    </row>
    <row r="690" spans="1:11" s="270" customFormat="1" ht="14.55" customHeight="1" x14ac:dyDescent="0.25">
      <c r="A690" s="288" t="s">
        <v>9358</v>
      </c>
      <c r="B690" s="288" t="s">
        <v>10861</v>
      </c>
      <c r="C690" s="268" t="s">
        <v>9698</v>
      </c>
      <c r="D690" s="269" t="s">
        <v>9699</v>
      </c>
      <c r="E690" s="271" t="s">
        <v>10862</v>
      </c>
      <c r="F690" s="288" t="s">
        <v>9197</v>
      </c>
      <c r="G690" s="288" t="s">
        <v>9197</v>
      </c>
      <c r="H690" s="271"/>
      <c r="I690" s="289" t="s">
        <v>10862</v>
      </c>
      <c r="J690" s="271" t="s">
        <v>10862</v>
      </c>
      <c r="K690" s="271"/>
    </row>
    <row r="691" spans="1:11" s="270" customFormat="1" ht="14.55" customHeight="1" x14ac:dyDescent="0.25">
      <c r="A691" s="288" t="s">
        <v>9358</v>
      </c>
      <c r="B691" s="288" t="s">
        <v>10861</v>
      </c>
      <c r="C691" s="268" t="s">
        <v>9700</v>
      </c>
      <c r="D691" s="269" t="s">
        <v>9701</v>
      </c>
      <c r="E691" s="271" t="s">
        <v>10862</v>
      </c>
      <c r="F691" s="288" t="s">
        <v>9197</v>
      </c>
      <c r="G691" s="288" t="s">
        <v>9197</v>
      </c>
      <c r="H691" s="271"/>
      <c r="I691" s="289" t="s">
        <v>10862</v>
      </c>
      <c r="J691" s="271" t="s">
        <v>10862</v>
      </c>
      <c r="K691" s="271"/>
    </row>
    <row r="692" spans="1:11" s="270" customFormat="1" ht="14.55" customHeight="1" x14ac:dyDescent="0.25">
      <c r="A692" s="288" t="s">
        <v>9358</v>
      </c>
      <c r="B692" s="288" t="s">
        <v>10861</v>
      </c>
      <c r="C692" s="268" t="s">
        <v>9702</v>
      </c>
      <c r="D692" s="269" t="s">
        <v>9703</v>
      </c>
      <c r="E692" s="271" t="s">
        <v>10862</v>
      </c>
      <c r="F692" s="288" t="s">
        <v>9197</v>
      </c>
      <c r="G692" s="288" t="s">
        <v>9197</v>
      </c>
      <c r="H692" s="271"/>
      <c r="I692" s="289" t="s">
        <v>10862</v>
      </c>
      <c r="J692" s="271" t="s">
        <v>10862</v>
      </c>
      <c r="K692" s="271"/>
    </row>
    <row r="693" spans="1:11" s="270" customFormat="1" ht="14.55" customHeight="1" x14ac:dyDescent="0.25">
      <c r="A693" s="288" t="s">
        <v>9358</v>
      </c>
      <c r="B693" s="288" t="s">
        <v>10861</v>
      </c>
      <c r="C693" s="268" t="s">
        <v>9704</v>
      </c>
      <c r="D693" s="269" t="s">
        <v>9705</v>
      </c>
      <c r="E693" s="271" t="s">
        <v>10862</v>
      </c>
      <c r="F693" s="288" t="s">
        <v>9197</v>
      </c>
      <c r="G693" s="288" t="s">
        <v>9197</v>
      </c>
      <c r="H693" s="271"/>
      <c r="I693" s="289" t="s">
        <v>10862</v>
      </c>
      <c r="J693" s="271" t="s">
        <v>10862</v>
      </c>
      <c r="K693" s="271"/>
    </row>
    <row r="694" spans="1:11" s="270" customFormat="1" ht="14.55" customHeight="1" x14ac:dyDescent="0.25">
      <c r="A694" s="288" t="s">
        <v>9358</v>
      </c>
      <c r="B694" s="288" t="s">
        <v>10861</v>
      </c>
      <c r="C694" s="268" t="s">
        <v>9706</v>
      </c>
      <c r="D694" s="269" t="s">
        <v>9707</v>
      </c>
      <c r="E694" s="271" t="s">
        <v>10862</v>
      </c>
      <c r="F694" s="288" t="s">
        <v>9197</v>
      </c>
      <c r="G694" s="288" t="s">
        <v>9197</v>
      </c>
      <c r="H694" s="271"/>
      <c r="I694" s="289" t="s">
        <v>10862</v>
      </c>
      <c r="J694" s="271" t="s">
        <v>10862</v>
      </c>
      <c r="K694" s="271"/>
    </row>
    <row r="695" spans="1:11" s="270" customFormat="1" ht="14.55" customHeight="1" x14ac:dyDescent="0.25">
      <c r="A695" s="288" t="s">
        <v>9358</v>
      </c>
      <c r="B695" s="288" t="s">
        <v>10861</v>
      </c>
      <c r="C695" s="268" t="s">
        <v>9708</v>
      </c>
      <c r="D695" s="269" t="s">
        <v>9709</v>
      </c>
      <c r="E695" s="271" t="s">
        <v>10862</v>
      </c>
      <c r="F695" s="288" t="s">
        <v>9197</v>
      </c>
      <c r="G695" s="288" t="s">
        <v>9197</v>
      </c>
      <c r="H695" s="271"/>
      <c r="I695" s="289" t="s">
        <v>10862</v>
      </c>
      <c r="J695" s="271" t="s">
        <v>10862</v>
      </c>
      <c r="K695" s="271"/>
    </row>
    <row r="696" spans="1:11" s="270" customFormat="1" ht="14.55" customHeight="1" x14ac:dyDescent="0.25">
      <c r="A696" s="288" t="s">
        <v>9358</v>
      </c>
      <c r="B696" s="288" t="s">
        <v>10861</v>
      </c>
      <c r="C696" s="268" t="s">
        <v>9710</v>
      </c>
      <c r="D696" s="269" t="s">
        <v>9711</v>
      </c>
      <c r="E696" s="271" t="s">
        <v>10862</v>
      </c>
      <c r="F696" s="288" t="s">
        <v>9197</v>
      </c>
      <c r="G696" s="288" t="s">
        <v>9197</v>
      </c>
      <c r="H696" s="271"/>
      <c r="I696" s="289" t="s">
        <v>10862</v>
      </c>
      <c r="J696" s="271" t="s">
        <v>10862</v>
      </c>
      <c r="K696" s="271"/>
    </row>
    <row r="697" spans="1:11" s="270" customFormat="1" ht="14.55" customHeight="1" x14ac:dyDescent="0.25">
      <c r="A697" s="288" t="s">
        <v>9358</v>
      </c>
      <c r="B697" s="288" t="s">
        <v>10861</v>
      </c>
      <c r="C697" s="268" t="s">
        <v>9712</v>
      </c>
      <c r="D697" s="269" t="s">
        <v>9713</v>
      </c>
      <c r="E697" s="271" t="s">
        <v>10862</v>
      </c>
      <c r="F697" s="288" t="s">
        <v>9197</v>
      </c>
      <c r="G697" s="288" t="s">
        <v>9197</v>
      </c>
      <c r="H697" s="271"/>
      <c r="I697" s="289" t="s">
        <v>10862</v>
      </c>
      <c r="J697" s="271" t="s">
        <v>10862</v>
      </c>
      <c r="K697" s="271"/>
    </row>
    <row r="698" spans="1:11" s="270" customFormat="1" ht="14.55" customHeight="1" x14ac:dyDescent="0.25">
      <c r="A698" s="288" t="s">
        <v>9358</v>
      </c>
      <c r="B698" s="288" t="s">
        <v>10861</v>
      </c>
      <c r="C698" s="268" t="s">
        <v>9714</v>
      </c>
      <c r="D698" s="269" t="s">
        <v>9715</v>
      </c>
      <c r="E698" s="271" t="s">
        <v>10862</v>
      </c>
      <c r="F698" s="288" t="s">
        <v>9197</v>
      </c>
      <c r="G698" s="288" t="s">
        <v>9197</v>
      </c>
      <c r="H698" s="271"/>
      <c r="I698" s="289" t="s">
        <v>10862</v>
      </c>
      <c r="J698" s="271" t="s">
        <v>10862</v>
      </c>
      <c r="K698" s="271"/>
    </row>
    <row r="699" spans="1:11" s="270" customFormat="1" ht="14.55" customHeight="1" x14ac:dyDescent="0.25">
      <c r="A699" s="288" t="s">
        <v>9358</v>
      </c>
      <c r="B699" s="288" t="s">
        <v>10861</v>
      </c>
      <c r="C699" s="268" t="s">
        <v>9716</v>
      </c>
      <c r="D699" s="269" t="s">
        <v>9717</v>
      </c>
      <c r="E699" s="271" t="s">
        <v>10862</v>
      </c>
      <c r="F699" s="288" t="s">
        <v>9197</v>
      </c>
      <c r="G699" s="288" t="s">
        <v>9197</v>
      </c>
      <c r="H699" s="271"/>
      <c r="I699" s="289" t="s">
        <v>10862</v>
      </c>
      <c r="J699" s="271" t="s">
        <v>10862</v>
      </c>
      <c r="K699" s="271"/>
    </row>
    <row r="700" spans="1:11" s="270" customFormat="1" ht="14.55" customHeight="1" x14ac:dyDescent="0.25">
      <c r="A700" s="288" t="s">
        <v>9358</v>
      </c>
      <c r="B700" s="288" t="s">
        <v>10861</v>
      </c>
      <c r="C700" s="268" t="s">
        <v>9718</v>
      </c>
      <c r="D700" s="269" t="s">
        <v>9719</v>
      </c>
      <c r="E700" s="271" t="s">
        <v>10862</v>
      </c>
      <c r="F700" s="288" t="s">
        <v>9197</v>
      </c>
      <c r="G700" s="288" t="s">
        <v>9197</v>
      </c>
      <c r="H700" s="271"/>
      <c r="I700" s="289" t="s">
        <v>10862</v>
      </c>
      <c r="J700" s="271" t="s">
        <v>10862</v>
      </c>
      <c r="K700" s="271"/>
    </row>
    <row r="701" spans="1:11" s="270" customFormat="1" ht="14.55" customHeight="1" x14ac:dyDescent="0.25">
      <c r="A701" s="288" t="s">
        <v>9358</v>
      </c>
      <c r="B701" s="288" t="s">
        <v>10861</v>
      </c>
      <c r="C701" s="268" t="s">
        <v>9720</v>
      </c>
      <c r="D701" s="269" t="s">
        <v>9721</v>
      </c>
      <c r="E701" s="271" t="s">
        <v>10862</v>
      </c>
      <c r="F701" s="288" t="s">
        <v>9197</v>
      </c>
      <c r="G701" s="288" t="s">
        <v>9197</v>
      </c>
      <c r="H701" s="271"/>
      <c r="I701" s="289" t="s">
        <v>10862</v>
      </c>
      <c r="J701" s="271" t="s">
        <v>10862</v>
      </c>
      <c r="K701" s="271"/>
    </row>
    <row r="702" spans="1:11" s="270" customFormat="1" ht="14.55" customHeight="1" x14ac:dyDescent="0.25">
      <c r="A702" s="288" t="s">
        <v>9358</v>
      </c>
      <c r="B702" s="288" t="s">
        <v>10861</v>
      </c>
      <c r="C702" s="268" t="s">
        <v>9722</v>
      </c>
      <c r="D702" s="269" t="s">
        <v>9723</v>
      </c>
      <c r="E702" s="271" t="s">
        <v>10862</v>
      </c>
      <c r="F702" s="288" t="s">
        <v>9197</v>
      </c>
      <c r="G702" s="288" t="s">
        <v>9197</v>
      </c>
      <c r="H702" s="271"/>
      <c r="I702" s="289" t="s">
        <v>10862</v>
      </c>
      <c r="J702" s="271" t="s">
        <v>10862</v>
      </c>
      <c r="K702" s="271"/>
    </row>
    <row r="703" spans="1:11" s="270" customFormat="1" ht="14.55" customHeight="1" x14ac:dyDescent="0.25">
      <c r="A703" s="288" t="s">
        <v>9358</v>
      </c>
      <c r="B703" s="288" t="s">
        <v>10861</v>
      </c>
      <c r="C703" s="268" t="s">
        <v>9724</v>
      </c>
      <c r="D703" s="270" t="s">
        <v>9725</v>
      </c>
      <c r="E703" s="271" t="s">
        <v>10862</v>
      </c>
      <c r="F703" s="288" t="s">
        <v>9197</v>
      </c>
      <c r="G703" s="288" t="s">
        <v>9197</v>
      </c>
      <c r="H703" s="271"/>
      <c r="I703" s="289" t="s">
        <v>10862</v>
      </c>
      <c r="J703" s="271" t="s">
        <v>10862</v>
      </c>
      <c r="K703" s="271"/>
    </row>
    <row r="704" spans="1:11" s="270" customFormat="1" ht="14.55" customHeight="1" x14ac:dyDescent="0.25">
      <c r="A704" s="288" t="s">
        <v>9358</v>
      </c>
      <c r="B704" s="288" t="s">
        <v>10861</v>
      </c>
      <c r="C704" s="268" t="s">
        <v>9726</v>
      </c>
      <c r="D704" s="269" t="s">
        <v>9727</v>
      </c>
      <c r="E704" s="271" t="s">
        <v>10862</v>
      </c>
      <c r="F704" s="288" t="s">
        <v>9197</v>
      </c>
      <c r="G704" s="288" t="s">
        <v>9197</v>
      </c>
      <c r="H704" s="271"/>
      <c r="I704" s="192" t="s">
        <v>10863</v>
      </c>
      <c r="J704" s="271" t="s">
        <v>10862</v>
      </c>
      <c r="K704" s="271"/>
    </row>
    <row r="705" spans="1:11" s="270" customFormat="1" ht="14.55" customHeight="1" x14ac:dyDescent="0.25">
      <c r="A705" s="288" t="s">
        <v>9358</v>
      </c>
      <c r="B705" s="288" t="s">
        <v>10861</v>
      </c>
      <c r="C705" s="268" t="s">
        <v>9728</v>
      </c>
      <c r="D705" s="269" t="s">
        <v>9729</v>
      </c>
      <c r="E705" s="271" t="s">
        <v>10862</v>
      </c>
      <c r="F705" s="288" t="s">
        <v>9197</v>
      </c>
      <c r="G705" s="288" t="s">
        <v>9197</v>
      </c>
      <c r="H705" s="271"/>
      <c r="I705" s="192" t="s">
        <v>10863</v>
      </c>
      <c r="J705" s="271" t="s">
        <v>10862</v>
      </c>
      <c r="K705" s="271"/>
    </row>
    <row r="706" spans="1:11" s="270" customFormat="1" ht="14.55" customHeight="1" x14ac:dyDescent="0.25">
      <c r="A706" s="288" t="s">
        <v>9358</v>
      </c>
      <c r="B706" s="288" t="s">
        <v>10861</v>
      </c>
      <c r="C706" s="268" t="s">
        <v>9730</v>
      </c>
      <c r="D706" s="269" t="s">
        <v>9731</v>
      </c>
      <c r="E706" s="271" t="s">
        <v>10862</v>
      </c>
      <c r="F706" s="288" t="s">
        <v>9197</v>
      </c>
      <c r="G706" s="288" t="s">
        <v>9197</v>
      </c>
      <c r="H706" s="271"/>
      <c r="I706" s="192" t="s">
        <v>10863</v>
      </c>
      <c r="J706" s="271" t="s">
        <v>10862</v>
      </c>
      <c r="K706" s="271"/>
    </row>
    <row r="707" spans="1:11" s="270" customFormat="1" ht="14.55" customHeight="1" x14ac:dyDescent="0.25">
      <c r="A707" s="288" t="s">
        <v>9358</v>
      </c>
      <c r="B707" s="288" t="s">
        <v>10861</v>
      </c>
      <c r="C707" s="268" t="s">
        <v>9732</v>
      </c>
      <c r="D707" s="269" t="s">
        <v>9733</v>
      </c>
      <c r="E707" s="271" t="s">
        <v>10862</v>
      </c>
      <c r="F707" s="288" t="s">
        <v>9197</v>
      </c>
      <c r="G707" s="288" t="s">
        <v>9197</v>
      </c>
      <c r="H707" s="271"/>
      <c r="I707" s="192" t="s">
        <v>10863</v>
      </c>
      <c r="J707" s="271" t="s">
        <v>10862</v>
      </c>
      <c r="K707" s="271"/>
    </row>
    <row r="708" spans="1:11" s="270" customFormat="1" ht="14.55" customHeight="1" x14ac:dyDescent="0.25">
      <c r="A708" s="288" t="s">
        <v>9358</v>
      </c>
      <c r="B708" s="288" t="s">
        <v>10861</v>
      </c>
      <c r="C708" s="268" t="s">
        <v>9734</v>
      </c>
      <c r="D708" s="269" t="s">
        <v>9735</v>
      </c>
      <c r="E708" s="271" t="s">
        <v>10862</v>
      </c>
      <c r="F708" s="288" t="s">
        <v>9197</v>
      </c>
      <c r="G708" s="288" t="s">
        <v>9197</v>
      </c>
      <c r="H708" s="271"/>
      <c r="I708" s="192" t="s">
        <v>10863</v>
      </c>
      <c r="J708" s="271" t="s">
        <v>10862</v>
      </c>
      <c r="K708" s="271"/>
    </row>
    <row r="709" spans="1:11" s="270" customFormat="1" ht="14.55" customHeight="1" x14ac:dyDescent="0.25">
      <c r="A709" s="288" t="s">
        <v>9358</v>
      </c>
      <c r="B709" s="288" t="s">
        <v>10861</v>
      </c>
      <c r="C709" s="268" t="s">
        <v>9736</v>
      </c>
      <c r="D709" s="269" t="s">
        <v>9737</v>
      </c>
      <c r="E709" s="271" t="s">
        <v>10862</v>
      </c>
      <c r="F709" s="288" t="s">
        <v>9197</v>
      </c>
      <c r="G709" s="288" t="s">
        <v>9197</v>
      </c>
      <c r="H709" s="271"/>
      <c r="I709" s="192" t="s">
        <v>10863</v>
      </c>
      <c r="J709" s="271" t="s">
        <v>10862</v>
      </c>
      <c r="K709" s="271"/>
    </row>
    <row r="710" spans="1:11" s="270" customFormat="1" ht="14.55" customHeight="1" x14ac:dyDescent="0.25">
      <c r="A710" s="288" t="s">
        <v>9358</v>
      </c>
      <c r="B710" s="288" t="s">
        <v>10861</v>
      </c>
      <c r="C710" s="268" t="s">
        <v>9738</v>
      </c>
      <c r="D710" s="269" t="s">
        <v>9739</v>
      </c>
      <c r="E710" s="271" t="s">
        <v>10862</v>
      </c>
      <c r="F710" s="288" t="s">
        <v>9197</v>
      </c>
      <c r="G710" s="288" t="s">
        <v>9197</v>
      </c>
      <c r="H710" s="271"/>
      <c r="I710" s="192" t="s">
        <v>10863</v>
      </c>
      <c r="J710" s="271" t="s">
        <v>10862</v>
      </c>
      <c r="K710" s="271"/>
    </row>
    <row r="711" spans="1:11" s="270" customFormat="1" ht="14.55" customHeight="1" x14ac:dyDescent="0.25">
      <c r="A711" s="288" t="s">
        <v>9358</v>
      </c>
      <c r="B711" s="288" t="s">
        <v>10861</v>
      </c>
      <c r="C711" s="268" t="s">
        <v>9740</v>
      </c>
      <c r="D711" s="269" t="s">
        <v>9741</v>
      </c>
      <c r="E711" s="271" t="s">
        <v>10862</v>
      </c>
      <c r="F711" s="288" t="s">
        <v>9197</v>
      </c>
      <c r="G711" s="288" t="s">
        <v>9197</v>
      </c>
      <c r="H711" s="271"/>
      <c r="I711" s="192" t="s">
        <v>10863</v>
      </c>
      <c r="J711" s="271" t="s">
        <v>10862</v>
      </c>
      <c r="K711" s="271"/>
    </row>
    <row r="712" spans="1:11" s="270" customFormat="1" ht="14.55" customHeight="1" x14ac:dyDescent="0.25">
      <c r="A712" s="288" t="s">
        <v>9358</v>
      </c>
      <c r="B712" s="288" t="s">
        <v>10861</v>
      </c>
      <c r="C712" s="268" t="s">
        <v>9742</v>
      </c>
      <c r="D712" s="269" t="s">
        <v>9743</v>
      </c>
      <c r="E712" s="271" t="s">
        <v>10862</v>
      </c>
      <c r="F712" s="288" t="s">
        <v>9197</v>
      </c>
      <c r="G712" s="288" t="s">
        <v>9197</v>
      </c>
      <c r="H712" s="271"/>
      <c r="I712" s="289" t="s">
        <v>10862</v>
      </c>
      <c r="J712" s="271" t="s">
        <v>10862</v>
      </c>
      <c r="K712" s="271"/>
    </row>
    <row r="713" spans="1:11" s="270" customFormat="1" ht="14.55" customHeight="1" x14ac:dyDescent="0.25">
      <c r="A713" s="288" t="s">
        <v>9358</v>
      </c>
      <c r="B713" s="288" t="s">
        <v>10861</v>
      </c>
      <c r="C713" s="268" t="s">
        <v>9744</v>
      </c>
      <c r="D713" s="269" t="s">
        <v>9745</v>
      </c>
      <c r="E713" s="271" t="s">
        <v>10862</v>
      </c>
      <c r="F713" s="288" t="s">
        <v>9197</v>
      </c>
      <c r="G713" s="288" t="s">
        <v>9197</v>
      </c>
      <c r="H713" s="271"/>
      <c r="I713" s="289" t="s">
        <v>10862</v>
      </c>
      <c r="J713" s="271" t="s">
        <v>10862</v>
      </c>
      <c r="K713" s="271"/>
    </row>
    <row r="714" spans="1:11" s="270" customFormat="1" ht="14.55" customHeight="1" x14ac:dyDescent="0.25">
      <c r="A714" s="288" t="s">
        <v>9358</v>
      </c>
      <c r="B714" s="288" t="s">
        <v>10861</v>
      </c>
      <c r="C714" s="268" t="s">
        <v>9746</v>
      </c>
      <c r="D714" s="269" t="s">
        <v>9747</v>
      </c>
      <c r="E714" s="271" t="s">
        <v>10862</v>
      </c>
      <c r="F714" s="288" t="s">
        <v>9197</v>
      </c>
      <c r="G714" s="288" t="s">
        <v>9197</v>
      </c>
      <c r="H714" s="271"/>
      <c r="I714" s="289" t="s">
        <v>10862</v>
      </c>
      <c r="J714" s="271" t="s">
        <v>10862</v>
      </c>
      <c r="K714" s="271"/>
    </row>
    <row r="715" spans="1:11" s="270" customFormat="1" ht="14.55" customHeight="1" x14ac:dyDescent="0.25">
      <c r="A715" s="288" t="s">
        <v>9358</v>
      </c>
      <c r="B715" s="288" t="s">
        <v>10861</v>
      </c>
      <c r="C715" s="268" t="s">
        <v>9748</v>
      </c>
      <c r="D715" s="269" t="s">
        <v>9749</v>
      </c>
      <c r="E715" s="271" t="s">
        <v>10862</v>
      </c>
      <c r="F715" s="288" t="s">
        <v>9197</v>
      </c>
      <c r="G715" s="288" t="s">
        <v>9197</v>
      </c>
      <c r="H715" s="271"/>
      <c r="I715" s="289" t="s">
        <v>10862</v>
      </c>
      <c r="J715" s="271" t="s">
        <v>10862</v>
      </c>
      <c r="K715" s="271"/>
    </row>
    <row r="716" spans="1:11" s="270" customFormat="1" ht="14.55" customHeight="1" x14ac:dyDescent="0.25">
      <c r="A716" s="288" t="s">
        <v>9358</v>
      </c>
      <c r="B716" s="288" t="s">
        <v>10861</v>
      </c>
      <c r="C716" s="268" t="s">
        <v>9750</v>
      </c>
      <c r="D716" s="269" t="s">
        <v>9751</v>
      </c>
      <c r="E716" s="271" t="s">
        <v>10862</v>
      </c>
      <c r="F716" s="288" t="s">
        <v>9197</v>
      </c>
      <c r="G716" s="288" t="s">
        <v>9197</v>
      </c>
      <c r="H716" s="271"/>
      <c r="I716" s="289" t="s">
        <v>10862</v>
      </c>
      <c r="J716" s="271" t="s">
        <v>10862</v>
      </c>
      <c r="K716" s="271"/>
    </row>
    <row r="717" spans="1:11" s="270" customFormat="1" ht="14.55" customHeight="1" x14ac:dyDescent="0.25">
      <c r="A717" s="288" t="s">
        <v>9358</v>
      </c>
      <c r="B717" s="288" t="s">
        <v>10861</v>
      </c>
      <c r="C717" s="268" t="s">
        <v>9752</v>
      </c>
      <c r="D717" s="269" t="s">
        <v>9753</v>
      </c>
      <c r="E717" s="271" t="s">
        <v>10862</v>
      </c>
      <c r="F717" s="288" t="s">
        <v>9197</v>
      </c>
      <c r="G717" s="288" t="s">
        <v>9197</v>
      </c>
      <c r="H717" s="271"/>
      <c r="I717" s="289" t="s">
        <v>10862</v>
      </c>
      <c r="J717" s="271" t="s">
        <v>10862</v>
      </c>
      <c r="K717" s="271"/>
    </row>
    <row r="718" spans="1:11" s="270" customFormat="1" ht="14.55" customHeight="1" x14ac:dyDescent="0.25">
      <c r="A718" s="288" t="s">
        <v>9358</v>
      </c>
      <c r="B718" s="288" t="s">
        <v>10861</v>
      </c>
      <c r="C718" s="268" t="s">
        <v>9754</v>
      </c>
      <c r="D718" s="269" t="s">
        <v>9755</v>
      </c>
      <c r="E718" s="271" t="s">
        <v>10862</v>
      </c>
      <c r="F718" s="288" t="s">
        <v>9197</v>
      </c>
      <c r="G718" s="288" t="s">
        <v>9197</v>
      </c>
      <c r="H718" s="271"/>
      <c r="I718" s="289" t="s">
        <v>10862</v>
      </c>
      <c r="J718" s="271" t="s">
        <v>10862</v>
      </c>
      <c r="K718" s="271"/>
    </row>
    <row r="719" spans="1:11" s="270" customFormat="1" ht="14.55" customHeight="1" x14ac:dyDescent="0.25">
      <c r="A719" s="288" t="s">
        <v>9358</v>
      </c>
      <c r="B719" s="288" t="s">
        <v>10861</v>
      </c>
      <c r="C719" s="268" t="s">
        <v>9756</v>
      </c>
      <c r="D719" s="269" t="s">
        <v>9757</v>
      </c>
      <c r="E719" s="271" t="s">
        <v>10862</v>
      </c>
      <c r="F719" s="288" t="s">
        <v>9197</v>
      </c>
      <c r="G719" s="288" t="s">
        <v>9197</v>
      </c>
      <c r="H719" s="271"/>
      <c r="I719" s="289" t="s">
        <v>10862</v>
      </c>
      <c r="J719" s="271" t="s">
        <v>10862</v>
      </c>
      <c r="K719" s="271"/>
    </row>
    <row r="720" spans="1:11" s="270" customFormat="1" ht="14.55" customHeight="1" x14ac:dyDescent="0.25">
      <c r="A720" s="288" t="s">
        <v>9358</v>
      </c>
      <c r="B720" s="288" t="s">
        <v>10861</v>
      </c>
      <c r="C720" s="268" t="s">
        <v>9758</v>
      </c>
      <c r="D720" s="269" t="s">
        <v>9759</v>
      </c>
      <c r="E720" s="271" t="s">
        <v>10862</v>
      </c>
      <c r="F720" s="288" t="s">
        <v>9197</v>
      </c>
      <c r="G720" s="288" t="s">
        <v>9197</v>
      </c>
      <c r="H720" s="271"/>
      <c r="I720" s="289" t="s">
        <v>10862</v>
      </c>
      <c r="J720" s="271" t="s">
        <v>10862</v>
      </c>
      <c r="K720" s="271"/>
    </row>
    <row r="721" spans="1:11" s="270" customFormat="1" ht="14.55" customHeight="1" x14ac:dyDescent="0.25">
      <c r="A721" s="288" t="s">
        <v>9358</v>
      </c>
      <c r="B721" s="288" t="s">
        <v>10861</v>
      </c>
      <c r="C721" s="268" t="s">
        <v>9760</v>
      </c>
      <c r="D721" s="269" t="s">
        <v>9761</v>
      </c>
      <c r="E721" s="271" t="s">
        <v>10862</v>
      </c>
      <c r="F721" s="288" t="s">
        <v>9197</v>
      </c>
      <c r="G721" s="288" t="s">
        <v>9197</v>
      </c>
      <c r="H721" s="271"/>
      <c r="I721" s="289" t="s">
        <v>10862</v>
      </c>
      <c r="J721" s="271" t="s">
        <v>10862</v>
      </c>
      <c r="K721" s="271"/>
    </row>
    <row r="722" spans="1:11" s="270" customFormat="1" ht="14.55" customHeight="1" x14ac:dyDescent="0.25">
      <c r="A722" s="288" t="s">
        <v>9358</v>
      </c>
      <c r="B722" s="288" t="s">
        <v>10861</v>
      </c>
      <c r="C722" s="268" t="s">
        <v>9762</v>
      </c>
      <c r="D722" s="269" t="s">
        <v>9763</v>
      </c>
      <c r="E722" s="271" t="s">
        <v>10862</v>
      </c>
      <c r="F722" s="288" t="s">
        <v>9197</v>
      </c>
      <c r="G722" s="288" t="s">
        <v>9197</v>
      </c>
      <c r="H722" s="271"/>
      <c r="I722" s="289" t="s">
        <v>10862</v>
      </c>
      <c r="J722" s="271" t="s">
        <v>10862</v>
      </c>
      <c r="K722" s="271"/>
    </row>
    <row r="723" spans="1:11" s="270" customFormat="1" ht="14.55" customHeight="1" x14ac:dyDescent="0.25">
      <c r="A723" s="288" t="s">
        <v>9358</v>
      </c>
      <c r="B723" s="288" t="s">
        <v>10861</v>
      </c>
      <c r="C723" s="268" t="s">
        <v>9764</v>
      </c>
      <c r="D723" s="269" t="s">
        <v>9765</v>
      </c>
      <c r="E723" s="271" t="s">
        <v>10862</v>
      </c>
      <c r="F723" s="288" t="s">
        <v>9197</v>
      </c>
      <c r="G723" s="288" t="s">
        <v>9197</v>
      </c>
      <c r="H723" s="271"/>
      <c r="I723" s="289" t="s">
        <v>10862</v>
      </c>
      <c r="J723" s="271" t="s">
        <v>10862</v>
      </c>
      <c r="K723" s="271"/>
    </row>
    <row r="724" spans="1:11" s="270" customFormat="1" ht="14.55" customHeight="1" x14ac:dyDescent="0.25">
      <c r="A724" s="288" t="s">
        <v>9358</v>
      </c>
      <c r="B724" s="288" t="s">
        <v>10861</v>
      </c>
      <c r="C724" s="268" t="s">
        <v>9766</v>
      </c>
      <c r="D724" s="269" t="s">
        <v>9767</v>
      </c>
      <c r="E724" s="271" t="s">
        <v>10862</v>
      </c>
      <c r="F724" s="288" t="s">
        <v>9197</v>
      </c>
      <c r="G724" s="288" t="s">
        <v>9197</v>
      </c>
      <c r="H724" s="271"/>
      <c r="I724" s="289" t="s">
        <v>10862</v>
      </c>
      <c r="J724" s="271" t="s">
        <v>10862</v>
      </c>
      <c r="K724" s="271"/>
    </row>
    <row r="725" spans="1:11" s="270" customFormat="1" ht="14.55" customHeight="1" x14ac:dyDescent="0.25">
      <c r="A725" s="288" t="s">
        <v>9358</v>
      </c>
      <c r="B725" s="288" t="s">
        <v>10861</v>
      </c>
      <c r="C725" s="268" t="s">
        <v>9768</v>
      </c>
      <c r="D725" s="269" t="s">
        <v>9769</v>
      </c>
      <c r="E725" s="271" t="s">
        <v>10862</v>
      </c>
      <c r="F725" s="288" t="s">
        <v>9197</v>
      </c>
      <c r="G725" s="288" t="s">
        <v>9197</v>
      </c>
      <c r="H725" s="271"/>
      <c r="I725" s="289" t="s">
        <v>10862</v>
      </c>
      <c r="J725" s="271" t="s">
        <v>10862</v>
      </c>
      <c r="K725" s="271"/>
    </row>
    <row r="726" spans="1:11" s="270" customFormat="1" ht="14.55" customHeight="1" x14ac:dyDescent="0.25">
      <c r="A726" s="288" t="s">
        <v>9358</v>
      </c>
      <c r="B726" s="288" t="s">
        <v>10861</v>
      </c>
      <c r="C726" s="268" t="s">
        <v>9770</v>
      </c>
      <c r="D726" s="269" t="s">
        <v>9771</v>
      </c>
      <c r="E726" s="271" t="s">
        <v>10862</v>
      </c>
      <c r="F726" s="288" t="s">
        <v>9197</v>
      </c>
      <c r="G726" s="288" t="s">
        <v>9197</v>
      </c>
      <c r="H726" s="271"/>
      <c r="I726" s="289" t="s">
        <v>10862</v>
      </c>
      <c r="J726" s="271" t="s">
        <v>10862</v>
      </c>
      <c r="K726" s="271"/>
    </row>
    <row r="727" spans="1:11" s="270" customFormat="1" ht="14.55" customHeight="1" x14ac:dyDescent="0.25">
      <c r="A727" s="288" t="s">
        <v>9358</v>
      </c>
      <c r="B727" s="288" t="s">
        <v>10861</v>
      </c>
      <c r="C727" s="268" t="s">
        <v>9772</v>
      </c>
      <c r="D727" s="269" t="s">
        <v>9773</v>
      </c>
      <c r="E727" s="271" t="s">
        <v>10862</v>
      </c>
      <c r="F727" s="288" t="s">
        <v>9197</v>
      </c>
      <c r="G727" s="288" t="s">
        <v>9197</v>
      </c>
      <c r="H727" s="271"/>
      <c r="I727" s="289" t="s">
        <v>10862</v>
      </c>
      <c r="J727" s="271" t="s">
        <v>10862</v>
      </c>
      <c r="K727" s="271"/>
    </row>
    <row r="728" spans="1:11" s="270" customFormat="1" ht="14.55" customHeight="1" x14ac:dyDescent="0.25">
      <c r="A728" s="288" t="s">
        <v>9358</v>
      </c>
      <c r="B728" s="288" t="s">
        <v>10861</v>
      </c>
      <c r="C728" s="268" t="s">
        <v>9774</v>
      </c>
      <c r="D728" s="269" t="s">
        <v>9775</v>
      </c>
      <c r="E728" s="271" t="s">
        <v>10862</v>
      </c>
      <c r="F728" s="288" t="s">
        <v>9197</v>
      </c>
      <c r="G728" s="288" t="s">
        <v>9197</v>
      </c>
      <c r="H728" s="271"/>
      <c r="I728" s="289" t="s">
        <v>10862</v>
      </c>
      <c r="J728" s="271" t="s">
        <v>10862</v>
      </c>
      <c r="K728" s="271"/>
    </row>
    <row r="729" spans="1:11" s="270" customFormat="1" ht="14.55" customHeight="1" x14ac:dyDescent="0.25">
      <c r="A729" s="288" t="s">
        <v>9358</v>
      </c>
      <c r="B729" s="288" t="s">
        <v>10861</v>
      </c>
      <c r="C729" s="268" t="s">
        <v>9776</v>
      </c>
      <c r="D729" s="269" t="s">
        <v>9777</v>
      </c>
      <c r="E729" s="271" t="s">
        <v>10862</v>
      </c>
      <c r="F729" s="288" t="s">
        <v>9197</v>
      </c>
      <c r="G729" s="288" t="s">
        <v>9197</v>
      </c>
      <c r="H729" s="271"/>
      <c r="I729" s="289" t="s">
        <v>10862</v>
      </c>
      <c r="J729" s="271" t="s">
        <v>10862</v>
      </c>
      <c r="K729" s="271"/>
    </row>
    <row r="730" spans="1:11" s="270" customFormat="1" ht="14.55" customHeight="1" x14ac:dyDescent="0.25">
      <c r="A730" s="288" t="s">
        <v>9358</v>
      </c>
      <c r="B730" s="288" t="s">
        <v>10861</v>
      </c>
      <c r="C730" s="268" t="s">
        <v>9778</v>
      </c>
      <c r="D730" s="269" t="s">
        <v>9779</v>
      </c>
      <c r="E730" s="271" t="s">
        <v>10862</v>
      </c>
      <c r="F730" s="288" t="s">
        <v>9197</v>
      </c>
      <c r="G730" s="288" t="s">
        <v>9197</v>
      </c>
      <c r="H730" s="271"/>
      <c r="I730" s="289" t="s">
        <v>10862</v>
      </c>
      <c r="J730" s="271" t="s">
        <v>10862</v>
      </c>
      <c r="K730" s="271"/>
    </row>
    <row r="731" spans="1:11" s="270" customFormat="1" ht="14.55" customHeight="1" x14ac:dyDescent="0.25">
      <c r="A731" s="288" t="s">
        <v>9358</v>
      </c>
      <c r="B731" s="288" t="s">
        <v>10861</v>
      </c>
      <c r="C731" s="268" t="s">
        <v>9780</v>
      </c>
      <c r="D731" s="269" t="s">
        <v>9661</v>
      </c>
      <c r="E731" s="271" t="s">
        <v>10862</v>
      </c>
      <c r="F731" s="288" t="s">
        <v>9197</v>
      </c>
      <c r="G731" s="288" t="s">
        <v>9197</v>
      </c>
      <c r="H731" s="271"/>
      <c r="I731" s="192" t="s">
        <v>10864</v>
      </c>
      <c r="J731" s="271" t="s">
        <v>10862</v>
      </c>
      <c r="K731" s="271"/>
    </row>
    <row r="732" spans="1:11" s="75" customFormat="1" ht="14.55" customHeight="1" x14ac:dyDescent="0.25">
      <c r="A732" s="288" t="s">
        <v>9358</v>
      </c>
      <c r="B732" s="288" t="s">
        <v>10861</v>
      </c>
      <c r="C732" s="268" t="s">
        <v>9781</v>
      </c>
      <c r="D732" s="269" t="s">
        <v>10865</v>
      </c>
      <c r="E732" s="271" t="s">
        <v>10862</v>
      </c>
      <c r="F732" s="288" t="s">
        <v>9197</v>
      </c>
      <c r="G732" s="288" t="s">
        <v>9197</v>
      </c>
      <c r="H732" s="271"/>
      <c r="I732" s="192" t="s">
        <v>10866</v>
      </c>
      <c r="J732" s="271" t="s">
        <v>10862</v>
      </c>
      <c r="K732" s="228"/>
    </row>
    <row r="733" spans="1:11" s="75" customFormat="1" ht="14.55" customHeight="1" x14ac:dyDescent="0.25">
      <c r="A733" s="288" t="s">
        <v>9358</v>
      </c>
      <c r="B733" s="288" t="s">
        <v>10861</v>
      </c>
      <c r="C733" s="268" t="s">
        <v>9782</v>
      </c>
      <c r="D733" s="269" t="s">
        <v>9783</v>
      </c>
      <c r="E733" s="271" t="s">
        <v>10862</v>
      </c>
      <c r="F733" s="288" t="s">
        <v>9197</v>
      </c>
      <c r="G733" s="288" t="s">
        <v>9197</v>
      </c>
      <c r="H733" s="271"/>
      <c r="I733" s="289" t="s">
        <v>10862</v>
      </c>
      <c r="J733" s="271" t="s">
        <v>10862</v>
      </c>
      <c r="K733" s="228"/>
    </row>
    <row r="734" spans="1:11" s="75" customFormat="1" ht="14.55" customHeight="1" x14ac:dyDescent="0.25">
      <c r="A734" s="288" t="s">
        <v>9358</v>
      </c>
      <c r="B734" s="288" t="s">
        <v>10861</v>
      </c>
      <c r="C734" s="268" t="s">
        <v>9784</v>
      </c>
      <c r="D734" s="269" t="s">
        <v>13434</v>
      </c>
      <c r="E734" s="271" t="s">
        <v>10862</v>
      </c>
      <c r="F734" s="288" t="s">
        <v>9197</v>
      </c>
      <c r="G734" s="288" t="s">
        <v>9197</v>
      </c>
      <c r="H734" s="271"/>
      <c r="I734" s="289" t="s">
        <v>10862</v>
      </c>
      <c r="J734" s="271" t="s">
        <v>10862</v>
      </c>
      <c r="K734" s="228"/>
    </row>
    <row r="735" spans="1:11" s="75" customFormat="1" ht="14.55" customHeight="1" x14ac:dyDescent="0.25">
      <c r="A735" s="288" t="s">
        <v>9358</v>
      </c>
      <c r="B735" s="288" t="s">
        <v>10861</v>
      </c>
      <c r="C735" s="268" t="s">
        <v>9785</v>
      </c>
      <c r="D735" s="269" t="s">
        <v>9786</v>
      </c>
      <c r="E735" s="271" t="s">
        <v>10862</v>
      </c>
      <c r="F735" s="288" t="s">
        <v>9197</v>
      </c>
      <c r="G735" s="288" t="s">
        <v>9197</v>
      </c>
      <c r="H735" s="271"/>
      <c r="I735" s="289" t="s">
        <v>10862</v>
      </c>
      <c r="J735" s="271" t="s">
        <v>10862</v>
      </c>
      <c r="K735" s="228"/>
    </row>
    <row r="736" spans="1:11" s="75" customFormat="1" ht="14.55" customHeight="1" x14ac:dyDescent="0.25">
      <c r="A736" s="288" t="s">
        <v>9358</v>
      </c>
      <c r="B736" s="288" t="s">
        <v>10861</v>
      </c>
      <c r="C736" s="268" t="s">
        <v>9787</v>
      </c>
      <c r="D736" s="269" t="s">
        <v>9788</v>
      </c>
      <c r="E736" s="271" t="s">
        <v>10862</v>
      </c>
      <c r="F736" s="288" t="s">
        <v>9197</v>
      </c>
      <c r="G736" s="288" t="s">
        <v>9197</v>
      </c>
      <c r="H736" s="271"/>
      <c r="I736" s="192" t="s">
        <v>10867</v>
      </c>
      <c r="J736" s="271" t="s">
        <v>10862</v>
      </c>
      <c r="K736" s="228"/>
    </row>
    <row r="737" spans="1:11" s="75" customFormat="1" ht="14.55" customHeight="1" x14ac:dyDescent="0.25">
      <c r="A737" s="288" t="s">
        <v>9358</v>
      </c>
      <c r="B737" s="288" t="s">
        <v>10861</v>
      </c>
      <c r="C737" s="268" t="s">
        <v>9789</v>
      </c>
      <c r="D737" s="269" t="s">
        <v>13435</v>
      </c>
      <c r="E737" s="271" t="s">
        <v>10862</v>
      </c>
      <c r="F737" s="288" t="s">
        <v>9197</v>
      </c>
      <c r="G737" s="288" t="s">
        <v>9197</v>
      </c>
      <c r="H737" s="271"/>
      <c r="I737" s="289" t="s">
        <v>10862</v>
      </c>
      <c r="J737" s="271" t="s">
        <v>10862</v>
      </c>
      <c r="K737" s="228"/>
    </row>
    <row r="738" spans="1:11" s="75" customFormat="1" ht="14.55" customHeight="1" x14ac:dyDescent="0.25">
      <c r="A738" s="288" t="s">
        <v>9358</v>
      </c>
      <c r="B738" s="288" t="s">
        <v>10861</v>
      </c>
      <c r="C738" s="268" t="s">
        <v>9790</v>
      </c>
      <c r="D738" s="269" t="s">
        <v>9791</v>
      </c>
      <c r="E738" s="271" t="s">
        <v>10862</v>
      </c>
      <c r="F738" s="288" t="s">
        <v>9197</v>
      </c>
      <c r="G738" s="288" t="s">
        <v>9197</v>
      </c>
      <c r="H738" s="271"/>
      <c r="I738" s="289" t="s">
        <v>10862</v>
      </c>
      <c r="J738" s="271" t="s">
        <v>10862</v>
      </c>
      <c r="K738" s="228"/>
    </row>
    <row r="739" spans="1:11" s="75" customFormat="1" ht="14.55" customHeight="1" x14ac:dyDescent="0.25">
      <c r="A739" s="288" t="s">
        <v>9358</v>
      </c>
      <c r="B739" s="288" t="s">
        <v>10861</v>
      </c>
      <c r="C739" s="268" t="s">
        <v>9792</v>
      </c>
      <c r="D739" s="269" t="s">
        <v>9793</v>
      </c>
      <c r="E739" s="271" t="s">
        <v>10862</v>
      </c>
      <c r="F739" s="288" t="s">
        <v>9197</v>
      </c>
      <c r="G739" s="288" t="s">
        <v>9197</v>
      </c>
      <c r="H739" s="271"/>
      <c r="I739" s="289" t="s">
        <v>10862</v>
      </c>
      <c r="J739" s="271" t="s">
        <v>10862</v>
      </c>
      <c r="K739" s="228"/>
    </row>
    <row r="740" spans="1:11" s="75" customFormat="1" ht="14.55" customHeight="1" x14ac:dyDescent="0.25">
      <c r="A740" s="288" t="s">
        <v>9358</v>
      </c>
      <c r="B740" s="288" t="s">
        <v>10861</v>
      </c>
      <c r="C740" s="268" t="s">
        <v>9794</v>
      </c>
      <c r="D740" s="269" t="s">
        <v>9629</v>
      </c>
      <c r="E740" s="271" t="s">
        <v>10862</v>
      </c>
      <c r="F740" s="288" t="s">
        <v>9197</v>
      </c>
      <c r="G740" s="288" t="s">
        <v>9197</v>
      </c>
      <c r="H740" s="271"/>
      <c r="I740" s="289" t="s">
        <v>10862</v>
      </c>
      <c r="J740" s="271" t="s">
        <v>10862</v>
      </c>
      <c r="K740" s="228"/>
    </row>
    <row r="741" spans="1:11" s="75" customFormat="1" ht="14.55" customHeight="1" x14ac:dyDescent="0.25">
      <c r="A741" s="288" t="s">
        <v>9358</v>
      </c>
      <c r="B741" s="288" t="s">
        <v>10861</v>
      </c>
      <c r="C741" s="271" t="s">
        <v>9795</v>
      </c>
      <c r="D741" s="269" t="s">
        <v>9796</v>
      </c>
      <c r="E741" s="271" t="s">
        <v>10862</v>
      </c>
      <c r="F741" s="288" t="s">
        <v>9197</v>
      </c>
      <c r="G741" s="288" t="s">
        <v>9197</v>
      </c>
      <c r="H741" s="271"/>
      <c r="I741" s="192" t="s">
        <v>10868</v>
      </c>
      <c r="J741" s="271" t="s">
        <v>10862</v>
      </c>
      <c r="K741" s="228"/>
    </row>
    <row r="742" spans="1:11" s="75" customFormat="1" ht="14.55" customHeight="1" x14ac:dyDescent="0.25">
      <c r="A742" s="288" t="s">
        <v>9358</v>
      </c>
      <c r="B742" s="288" t="s">
        <v>10861</v>
      </c>
      <c r="C742" s="271" t="s">
        <v>9797</v>
      </c>
      <c r="D742" s="269" t="s">
        <v>9798</v>
      </c>
      <c r="E742" s="271" t="s">
        <v>10862</v>
      </c>
      <c r="F742" s="288" t="s">
        <v>9197</v>
      </c>
      <c r="G742" s="288" t="s">
        <v>9197</v>
      </c>
      <c r="H742" s="271"/>
      <c r="I742" s="192" t="s">
        <v>10868</v>
      </c>
      <c r="J742" s="271" t="s">
        <v>10862</v>
      </c>
      <c r="K742" s="228"/>
    </row>
    <row r="743" spans="1:11" s="75" customFormat="1" ht="14.55" customHeight="1" x14ac:dyDescent="0.25">
      <c r="A743" s="297" t="s">
        <v>9358</v>
      </c>
      <c r="B743" s="296" t="s">
        <v>10861</v>
      </c>
      <c r="C743" s="275" t="s">
        <v>13477</v>
      </c>
      <c r="D743" s="350" t="s">
        <v>9650</v>
      </c>
      <c r="E743" s="275" t="s">
        <v>10862</v>
      </c>
      <c r="F743" s="296" t="s">
        <v>9197</v>
      </c>
      <c r="G743" s="296" t="s">
        <v>9197</v>
      </c>
      <c r="H743" s="275"/>
      <c r="I743" s="351" t="s">
        <v>13479</v>
      </c>
      <c r="J743" s="275" t="s">
        <v>10862</v>
      </c>
      <c r="K743" s="352"/>
    </row>
    <row r="744" spans="1:11" s="75" customFormat="1" ht="14.55" customHeight="1" x14ac:dyDescent="0.25">
      <c r="A744" s="297" t="s">
        <v>9358</v>
      </c>
      <c r="B744" s="296" t="s">
        <v>10861</v>
      </c>
      <c r="C744" s="275" t="s">
        <v>13478</v>
      </c>
      <c r="D744" s="350" t="s">
        <v>9652</v>
      </c>
      <c r="E744" s="275" t="s">
        <v>10862</v>
      </c>
      <c r="F744" s="296" t="s">
        <v>9197</v>
      </c>
      <c r="G744" s="296" t="s">
        <v>9197</v>
      </c>
      <c r="H744" s="275"/>
      <c r="I744" s="351" t="s">
        <v>13480</v>
      </c>
      <c r="J744" s="275" t="s">
        <v>10862</v>
      </c>
      <c r="K744" s="352"/>
    </row>
    <row r="745" spans="1:11" s="75" customFormat="1" ht="14.55" customHeight="1" x14ac:dyDescent="0.25">
      <c r="A745" s="272" t="s">
        <v>8816</v>
      </c>
      <c r="B745" s="272" t="s">
        <v>10591</v>
      </c>
      <c r="C745" s="272" t="s">
        <v>9799</v>
      </c>
      <c r="D745" s="259" t="s">
        <v>9800</v>
      </c>
      <c r="E745" s="265" t="s">
        <v>10655</v>
      </c>
      <c r="F745" s="272" t="s">
        <v>9198</v>
      </c>
      <c r="G745" s="272" t="s">
        <v>9197</v>
      </c>
      <c r="H745" s="265" t="s">
        <v>10869</v>
      </c>
      <c r="I745" s="290" t="s">
        <v>10870</v>
      </c>
      <c r="J745" s="265" t="s">
        <v>10655</v>
      </c>
      <c r="K745" s="265" t="s">
        <v>10655</v>
      </c>
    </row>
    <row r="746" spans="1:11" s="75" customFormat="1" ht="14.55" customHeight="1" x14ac:dyDescent="0.25">
      <c r="A746" s="272" t="s">
        <v>8816</v>
      </c>
      <c r="B746" s="272" t="s">
        <v>10591</v>
      </c>
      <c r="C746" s="272" t="s">
        <v>9799</v>
      </c>
      <c r="D746" s="259" t="s">
        <v>9800</v>
      </c>
      <c r="E746" s="265" t="s">
        <v>10655</v>
      </c>
      <c r="F746" s="272" t="s">
        <v>9198</v>
      </c>
      <c r="G746" s="272" t="s">
        <v>9197</v>
      </c>
      <c r="H746" s="265" t="s">
        <v>10871</v>
      </c>
      <c r="I746" s="290" t="s">
        <v>10872</v>
      </c>
      <c r="J746" s="265" t="s">
        <v>10655</v>
      </c>
      <c r="K746" s="265" t="s">
        <v>10655</v>
      </c>
    </row>
    <row r="747" spans="1:11" s="75" customFormat="1" ht="14.55" customHeight="1" x14ac:dyDescent="0.25">
      <c r="A747" s="272" t="s">
        <v>8816</v>
      </c>
      <c r="B747" s="272" t="s">
        <v>10591</v>
      </c>
      <c r="C747" s="272" t="s">
        <v>9799</v>
      </c>
      <c r="D747" s="259" t="s">
        <v>9800</v>
      </c>
      <c r="E747" s="265" t="s">
        <v>10655</v>
      </c>
      <c r="F747" s="272" t="s">
        <v>9198</v>
      </c>
      <c r="G747" s="272" t="s">
        <v>9197</v>
      </c>
      <c r="H747" s="265" t="s">
        <v>10873</v>
      </c>
      <c r="I747" s="290" t="s">
        <v>10874</v>
      </c>
      <c r="J747" s="265" t="s">
        <v>10655</v>
      </c>
      <c r="K747" s="265" t="s">
        <v>10655</v>
      </c>
    </row>
    <row r="748" spans="1:11" s="75" customFormat="1" ht="14.55" customHeight="1" x14ac:dyDescent="0.25">
      <c r="A748" s="272" t="s">
        <v>8816</v>
      </c>
      <c r="B748" s="272" t="s">
        <v>10591</v>
      </c>
      <c r="C748" s="272" t="s">
        <v>9801</v>
      </c>
      <c r="D748" s="259" t="s">
        <v>9802</v>
      </c>
      <c r="E748" s="265" t="s">
        <v>10655</v>
      </c>
      <c r="F748" s="272" t="s">
        <v>9198</v>
      </c>
      <c r="G748" s="272" t="s">
        <v>9197</v>
      </c>
      <c r="H748" s="265" t="s">
        <v>10871</v>
      </c>
      <c r="I748" s="290" t="s">
        <v>10872</v>
      </c>
      <c r="J748" s="265" t="s">
        <v>10655</v>
      </c>
      <c r="K748" s="265" t="s">
        <v>10655</v>
      </c>
    </row>
    <row r="749" spans="1:11" s="75" customFormat="1" ht="14.55" customHeight="1" x14ac:dyDescent="0.25">
      <c r="A749" s="272" t="s">
        <v>8816</v>
      </c>
      <c r="B749" s="272" t="s">
        <v>10591</v>
      </c>
      <c r="C749" s="272" t="s">
        <v>9801</v>
      </c>
      <c r="D749" s="259" t="s">
        <v>9802</v>
      </c>
      <c r="E749" s="265" t="s">
        <v>10655</v>
      </c>
      <c r="F749" s="272" t="s">
        <v>9198</v>
      </c>
      <c r="G749" s="272" t="s">
        <v>9197</v>
      </c>
      <c r="H749" s="265" t="s">
        <v>10873</v>
      </c>
      <c r="I749" s="290" t="s">
        <v>10874</v>
      </c>
      <c r="J749" s="265" t="s">
        <v>10655</v>
      </c>
      <c r="K749" s="265" t="s">
        <v>10655</v>
      </c>
    </row>
    <row r="750" spans="1:11" s="75" customFormat="1" ht="14.55" customHeight="1" x14ac:dyDescent="0.25">
      <c r="A750" s="272" t="s">
        <v>8816</v>
      </c>
      <c r="B750" s="272" t="s">
        <v>10591</v>
      </c>
      <c r="C750" s="272" t="s">
        <v>9803</v>
      </c>
      <c r="D750" s="259" t="s">
        <v>9804</v>
      </c>
      <c r="E750" s="265" t="s">
        <v>10655</v>
      </c>
      <c r="F750" s="272" t="s">
        <v>9198</v>
      </c>
      <c r="G750" s="272" t="s">
        <v>9197</v>
      </c>
      <c r="H750" s="265" t="s">
        <v>10875</v>
      </c>
      <c r="I750" s="290" t="s">
        <v>10876</v>
      </c>
      <c r="J750" s="265" t="s">
        <v>10655</v>
      </c>
      <c r="K750" s="265" t="s">
        <v>10655</v>
      </c>
    </row>
    <row r="751" spans="1:11" s="75" customFormat="1" ht="14.55" customHeight="1" x14ac:dyDescent="0.25">
      <c r="A751" s="272" t="s">
        <v>8816</v>
      </c>
      <c r="B751" s="272" t="s">
        <v>10591</v>
      </c>
      <c r="C751" s="272" t="s">
        <v>9803</v>
      </c>
      <c r="D751" s="259" t="s">
        <v>9804</v>
      </c>
      <c r="E751" s="265" t="s">
        <v>10655</v>
      </c>
      <c r="F751" s="272" t="s">
        <v>9198</v>
      </c>
      <c r="G751" s="272" t="s">
        <v>9197</v>
      </c>
      <c r="H751" s="265" t="s">
        <v>10871</v>
      </c>
      <c r="I751" s="290" t="s">
        <v>10872</v>
      </c>
      <c r="J751" s="265" t="s">
        <v>10655</v>
      </c>
      <c r="K751" s="265" t="s">
        <v>10655</v>
      </c>
    </row>
    <row r="752" spans="1:11" s="75" customFormat="1" ht="14.55" customHeight="1" x14ac:dyDescent="0.25">
      <c r="A752" s="272" t="s">
        <v>8816</v>
      </c>
      <c r="B752" s="272" t="s">
        <v>10591</v>
      </c>
      <c r="C752" s="272" t="s">
        <v>9803</v>
      </c>
      <c r="D752" s="259" t="s">
        <v>9804</v>
      </c>
      <c r="E752" s="265" t="s">
        <v>10655</v>
      </c>
      <c r="F752" s="272" t="s">
        <v>9198</v>
      </c>
      <c r="G752" s="272" t="s">
        <v>9197</v>
      </c>
      <c r="H752" s="265" t="s">
        <v>10877</v>
      </c>
      <c r="I752" s="290" t="s">
        <v>10878</v>
      </c>
      <c r="J752" s="265" t="s">
        <v>10655</v>
      </c>
      <c r="K752" s="265" t="s">
        <v>10655</v>
      </c>
    </row>
    <row r="753" spans="1:11" s="75" customFormat="1" ht="14.55" customHeight="1" x14ac:dyDescent="0.25">
      <c r="A753" s="272" t="s">
        <v>8816</v>
      </c>
      <c r="B753" s="272" t="s">
        <v>10591</v>
      </c>
      <c r="C753" s="272" t="s">
        <v>9803</v>
      </c>
      <c r="D753" s="259" t="s">
        <v>9804</v>
      </c>
      <c r="E753" s="265" t="s">
        <v>10655</v>
      </c>
      <c r="F753" s="272" t="s">
        <v>9198</v>
      </c>
      <c r="G753" s="272" t="s">
        <v>9197</v>
      </c>
      <c r="H753" s="265" t="s">
        <v>10879</v>
      </c>
      <c r="I753" s="290" t="s">
        <v>10880</v>
      </c>
      <c r="J753" s="265" t="s">
        <v>10655</v>
      </c>
      <c r="K753" s="265" t="s">
        <v>10655</v>
      </c>
    </row>
    <row r="754" spans="1:11" s="75" customFormat="1" ht="14.55" customHeight="1" x14ac:dyDescent="0.25">
      <c r="A754" s="286" t="s">
        <v>8816</v>
      </c>
      <c r="B754" s="272" t="s">
        <v>10591</v>
      </c>
      <c r="C754" s="272" t="s">
        <v>9803</v>
      </c>
      <c r="D754" s="259" t="s">
        <v>9804</v>
      </c>
      <c r="E754" s="265" t="s">
        <v>10655</v>
      </c>
      <c r="F754" s="272" t="s">
        <v>9198</v>
      </c>
      <c r="G754" s="272" t="s">
        <v>9197</v>
      </c>
      <c r="H754" s="265" t="s">
        <v>10881</v>
      </c>
      <c r="I754" s="291" t="s">
        <v>10882</v>
      </c>
      <c r="J754" s="265" t="s">
        <v>10655</v>
      </c>
      <c r="K754" s="265" t="s">
        <v>10655</v>
      </c>
    </row>
    <row r="755" spans="1:11" s="75" customFormat="1" ht="14.55" customHeight="1" x14ac:dyDescent="0.25">
      <c r="A755" s="286" t="s">
        <v>8816</v>
      </c>
      <c r="B755" s="272" t="s">
        <v>10591</v>
      </c>
      <c r="C755" s="272" t="s">
        <v>9803</v>
      </c>
      <c r="D755" s="259" t="s">
        <v>9804</v>
      </c>
      <c r="E755" s="265" t="s">
        <v>10655</v>
      </c>
      <c r="F755" s="272" t="s">
        <v>9198</v>
      </c>
      <c r="G755" s="272" t="s">
        <v>9197</v>
      </c>
      <c r="H755" s="265" t="s">
        <v>10883</v>
      </c>
      <c r="I755" s="292" t="s">
        <v>10884</v>
      </c>
      <c r="J755" s="265" t="s">
        <v>10655</v>
      </c>
      <c r="K755" s="265" t="s">
        <v>10655</v>
      </c>
    </row>
    <row r="756" spans="1:11" s="75" customFormat="1" ht="14.55" customHeight="1" x14ac:dyDescent="0.25">
      <c r="A756" s="286" t="s">
        <v>8816</v>
      </c>
      <c r="B756" s="293" t="s">
        <v>10591</v>
      </c>
      <c r="C756" s="294" t="s">
        <v>9803</v>
      </c>
      <c r="D756" s="295" t="s">
        <v>9804</v>
      </c>
      <c r="E756" s="294" t="s">
        <v>10655</v>
      </c>
      <c r="F756" s="293" t="s">
        <v>9198</v>
      </c>
      <c r="G756" s="293" t="s">
        <v>9197</v>
      </c>
      <c r="H756" s="296" t="s">
        <v>10903</v>
      </c>
      <c r="I756" s="276" t="s">
        <v>13571</v>
      </c>
      <c r="J756" s="275" t="s">
        <v>10655</v>
      </c>
      <c r="K756" s="275" t="s">
        <v>10655</v>
      </c>
    </row>
    <row r="757" spans="1:11" s="75" customFormat="1" ht="14.55" customHeight="1" x14ac:dyDescent="0.25">
      <c r="A757" s="286" t="s">
        <v>8816</v>
      </c>
      <c r="B757" s="293" t="s">
        <v>10591</v>
      </c>
      <c r="C757" s="294" t="s">
        <v>9803</v>
      </c>
      <c r="D757" s="295" t="s">
        <v>9804</v>
      </c>
      <c r="E757" s="294" t="s">
        <v>10655</v>
      </c>
      <c r="F757" s="293" t="s">
        <v>9198</v>
      </c>
      <c r="G757" s="293" t="s">
        <v>9197</v>
      </c>
      <c r="H757" s="296" t="s">
        <v>10905</v>
      </c>
      <c r="I757" s="276" t="s">
        <v>13572</v>
      </c>
      <c r="J757" s="275" t="s">
        <v>10655</v>
      </c>
      <c r="K757" s="275" t="s">
        <v>10655</v>
      </c>
    </row>
    <row r="758" spans="1:11" s="75" customFormat="1" ht="14.55" customHeight="1" x14ac:dyDescent="0.25">
      <c r="A758" s="272" t="s">
        <v>8816</v>
      </c>
      <c r="B758" s="272" t="s">
        <v>10591</v>
      </c>
      <c r="C758" s="272" t="s">
        <v>9803</v>
      </c>
      <c r="D758" s="259" t="s">
        <v>9804</v>
      </c>
      <c r="E758" s="265" t="s">
        <v>10655</v>
      </c>
      <c r="F758" s="272" t="s">
        <v>9198</v>
      </c>
      <c r="G758" s="272" t="s">
        <v>9197</v>
      </c>
      <c r="H758" s="265" t="s">
        <v>10873</v>
      </c>
      <c r="I758" s="290" t="s">
        <v>10874</v>
      </c>
      <c r="J758" s="265" t="s">
        <v>10655</v>
      </c>
      <c r="K758" s="265" t="s">
        <v>10655</v>
      </c>
    </row>
    <row r="759" spans="1:11" s="75" customFormat="1" ht="14.55" customHeight="1" x14ac:dyDescent="0.25">
      <c r="A759" s="272" t="s">
        <v>8816</v>
      </c>
      <c r="B759" s="272" t="s">
        <v>10591</v>
      </c>
      <c r="C759" s="272" t="s">
        <v>9805</v>
      </c>
      <c r="D759" s="259" t="s">
        <v>9806</v>
      </c>
      <c r="E759" s="265" t="s">
        <v>10655</v>
      </c>
      <c r="F759" s="272" t="s">
        <v>9198</v>
      </c>
      <c r="G759" s="272" t="s">
        <v>9197</v>
      </c>
      <c r="H759" s="265" t="s">
        <v>10885</v>
      </c>
      <c r="I759" s="290" t="s">
        <v>10886</v>
      </c>
      <c r="J759" s="265" t="s">
        <v>10655</v>
      </c>
      <c r="K759" s="265" t="s">
        <v>10655</v>
      </c>
    </row>
    <row r="760" spans="1:11" s="75" customFormat="1" ht="14.55" customHeight="1" x14ac:dyDescent="0.25">
      <c r="A760" s="272" t="s">
        <v>8816</v>
      </c>
      <c r="B760" s="272" t="s">
        <v>10591</v>
      </c>
      <c r="C760" s="272" t="s">
        <v>9805</v>
      </c>
      <c r="D760" s="259" t="s">
        <v>9806</v>
      </c>
      <c r="E760" s="265" t="s">
        <v>10655</v>
      </c>
      <c r="F760" s="272" t="s">
        <v>9198</v>
      </c>
      <c r="G760" s="272" t="s">
        <v>9197</v>
      </c>
      <c r="H760" s="265" t="s">
        <v>10887</v>
      </c>
      <c r="I760" s="290" t="s">
        <v>10888</v>
      </c>
      <c r="J760" s="265" t="s">
        <v>10655</v>
      </c>
      <c r="K760" s="265" t="s">
        <v>10655</v>
      </c>
    </row>
    <row r="761" spans="1:11" s="75" customFormat="1" ht="14.55" customHeight="1" x14ac:dyDescent="0.25">
      <c r="A761" s="272" t="s">
        <v>8816</v>
      </c>
      <c r="B761" s="272" t="s">
        <v>10591</v>
      </c>
      <c r="C761" s="272" t="s">
        <v>9805</v>
      </c>
      <c r="D761" s="259" t="s">
        <v>9806</v>
      </c>
      <c r="E761" s="265" t="s">
        <v>10655</v>
      </c>
      <c r="F761" s="272" t="s">
        <v>9198</v>
      </c>
      <c r="G761" s="272" t="s">
        <v>9197</v>
      </c>
      <c r="H761" s="265" t="s">
        <v>10869</v>
      </c>
      <c r="I761" s="290" t="s">
        <v>10870</v>
      </c>
      <c r="J761" s="265" t="s">
        <v>10655</v>
      </c>
      <c r="K761" s="265" t="s">
        <v>10655</v>
      </c>
    </row>
    <row r="762" spans="1:11" s="75" customFormat="1" ht="14.55" customHeight="1" x14ac:dyDescent="0.25">
      <c r="A762" s="272" t="s">
        <v>8816</v>
      </c>
      <c r="B762" s="272" t="s">
        <v>10591</v>
      </c>
      <c r="C762" s="272" t="s">
        <v>9805</v>
      </c>
      <c r="D762" s="259" t="s">
        <v>9806</v>
      </c>
      <c r="E762" s="265" t="s">
        <v>10655</v>
      </c>
      <c r="F762" s="272" t="s">
        <v>9198</v>
      </c>
      <c r="G762" s="272" t="s">
        <v>9197</v>
      </c>
      <c r="H762" s="265" t="s">
        <v>10889</v>
      </c>
      <c r="I762" s="290" t="s">
        <v>10890</v>
      </c>
      <c r="J762" s="265" t="s">
        <v>10655</v>
      </c>
      <c r="K762" s="265" t="s">
        <v>10655</v>
      </c>
    </row>
    <row r="763" spans="1:11" s="75" customFormat="1" ht="14.55" customHeight="1" x14ac:dyDescent="0.25">
      <c r="A763" s="272" t="s">
        <v>8816</v>
      </c>
      <c r="B763" s="272" t="s">
        <v>10591</v>
      </c>
      <c r="C763" s="272" t="s">
        <v>9805</v>
      </c>
      <c r="D763" s="259" t="s">
        <v>9806</v>
      </c>
      <c r="E763" s="265" t="s">
        <v>10655</v>
      </c>
      <c r="F763" s="272" t="s">
        <v>9198</v>
      </c>
      <c r="G763" s="272" t="s">
        <v>9197</v>
      </c>
      <c r="H763" s="265" t="s">
        <v>10891</v>
      </c>
      <c r="I763" s="290" t="s">
        <v>10892</v>
      </c>
      <c r="J763" s="265" t="s">
        <v>10655</v>
      </c>
      <c r="K763" s="265" t="s">
        <v>10655</v>
      </c>
    </row>
    <row r="764" spans="1:11" s="75" customFormat="1" ht="14.55" customHeight="1" x14ac:dyDescent="0.25">
      <c r="A764" s="272" t="s">
        <v>8816</v>
      </c>
      <c r="B764" s="272" t="s">
        <v>10591</v>
      </c>
      <c r="C764" s="272" t="s">
        <v>9805</v>
      </c>
      <c r="D764" s="259" t="s">
        <v>9806</v>
      </c>
      <c r="E764" s="265" t="s">
        <v>10655</v>
      </c>
      <c r="F764" s="272" t="s">
        <v>9198</v>
      </c>
      <c r="G764" s="272" t="s">
        <v>9197</v>
      </c>
      <c r="H764" s="265" t="s">
        <v>10893</v>
      </c>
      <c r="I764" s="290" t="s">
        <v>10894</v>
      </c>
      <c r="J764" s="265" t="s">
        <v>10655</v>
      </c>
      <c r="K764" s="265" t="s">
        <v>10655</v>
      </c>
    </row>
    <row r="765" spans="1:11" s="75" customFormat="1" ht="14.55" customHeight="1" x14ac:dyDescent="0.25">
      <c r="A765" s="272" t="s">
        <v>8816</v>
      </c>
      <c r="B765" s="272" t="s">
        <v>10591</v>
      </c>
      <c r="C765" s="272" t="s">
        <v>9805</v>
      </c>
      <c r="D765" s="259" t="s">
        <v>9806</v>
      </c>
      <c r="E765" s="265" t="s">
        <v>10655</v>
      </c>
      <c r="F765" s="272" t="s">
        <v>9198</v>
      </c>
      <c r="G765" s="272" t="s">
        <v>9197</v>
      </c>
      <c r="H765" s="265" t="s">
        <v>10871</v>
      </c>
      <c r="I765" s="290" t="s">
        <v>10872</v>
      </c>
      <c r="J765" s="265" t="s">
        <v>10655</v>
      </c>
      <c r="K765" s="265" t="s">
        <v>10655</v>
      </c>
    </row>
    <row r="766" spans="1:11" s="75" customFormat="1" ht="14.55" customHeight="1" x14ac:dyDescent="0.25">
      <c r="A766" s="272" t="s">
        <v>8816</v>
      </c>
      <c r="B766" s="272" t="s">
        <v>10591</v>
      </c>
      <c r="C766" s="272" t="s">
        <v>9805</v>
      </c>
      <c r="D766" s="259" t="s">
        <v>9806</v>
      </c>
      <c r="E766" s="265" t="s">
        <v>10655</v>
      </c>
      <c r="F766" s="272" t="s">
        <v>9198</v>
      </c>
      <c r="G766" s="272" t="s">
        <v>9197</v>
      </c>
      <c r="H766" s="265" t="s">
        <v>10895</v>
      </c>
      <c r="I766" s="290" t="s">
        <v>10896</v>
      </c>
      <c r="J766" s="265" t="s">
        <v>10655</v>
      </c>
      <c r="K766" s="265" t="s">
        <v>10655</v>
      </c>
    </row>
    <row r="767" spans="1:11" s="75" customFormat="1" ht="14.55" customHeight="1" x14ac:dyDescent="0.25">
      <c r="A767" s="286" t="s">
        <v>8816</v>
      </c>
      <c r="B767" s="293" t="s">
        <v>10591</v>
      </c>
      <c r="C767" s="294" t="s">
        <v>9805</v>
      </c>
      <c r="D767" s="295" t="s">
        <v>9806</v>
      </c>
      <c r="E767" s="294" t="s">
        <v>10655</v>
      </c>
      <c r="F767" s="293" t="s">
        <v>9198</v>
      </c>
      <c r="G767" s="293" t="s">
        <v>9197</v>
      </c>
      <c r="H767" s="296" t="s">
        <v>10881</v>
      </c>
      <c r="I767" s="276" t="s">
        <v>10882</v>
      </c>
      <c r="J767" s="275" t="s">
        <v>10655</v>
      </c>
      <c r="K767" s="275" t="s">
        <v>10655</v>
      </c>
    </row>
    <row r="768" spans="1:11" s="75" customFormat="1" ht="14.55" customHeight="1" x14ac:dyDescent="0.25">
      <c r="A768" s="286" t="s">
        <v>8816</v>
      </c>
      <c r="B768" s="293" t="s">
        <v>10591</v>
      </c>
      <c r="C768" s="294" t="s">
        <v>9805</v>
      </c>
      <c r="D768" s="295" t="s">
        <v>9806</v>
      </c>
      <c r="E768" s="294" t="s">
        <v>10655</v>
      </c>
      <c r="F768" s="293" t="s">
        <v>9198</v>
      </c>
      <c r="G768" s="293" t="s">
        <v>9197</v>
      </c>
      <c r="H768" s="296" t="s">
        <v>10897</v>
      </c>
      <c r="I768" s="276" t="s">
        <v>10898</v>
      </c>
      <c r="J768" s="275" t="s">
        <v>10655</v>
      </c>
      <c r="K768" s="275" t="s">
        <v>10655</v>
      </c>
    </row>
    <row r="769" spans="1:11" s="75" customFormat="1" ht="14.55" customHeight="1" x14ac:dyDescent="0.25">
      <c r="A769" s="272" t="s">
        <v>8816</v>
      </c>
      <c r="B769" s="272" t="s">
        <v>10591</v>
      </c>
      <c r="C769" s="272" t="s">
        <v>9805</v>
      </c>
      <c r="D769" s="259" t="s">
        <v>9806</v>
      </c>
      <c r="E769" s="265" t="s">
        <v>10655</v>
      </c>
      <c r="F769" s="272" t="s">
        <v>9198</v>
      </c>
      <c r="G769" s="272" t="s">
        <v>9197</v>
      </c>
      <c r="H769" s="265" t="s">
        <v>10873</v>
      </c>
      <c r="I769" s="290" t="s">
        <v>10874</v>
      </c>
      <c r="J769" s="265" t="s">
        <v>10655</v>
      </c>
      <c r="K769" s="265" t="s">
        <v>10655</v>
      </c>
    </row>
    <row r="770" spans="1:11" s="75" customFormat="1" ht="14.55" customHeight="1" x14ac:dyDescent="0.25">
      <c r="A770" s="272" t="s">
        <v>8816</v>
      </c>
      <c r="B770" s="272" t="s">
        <v>10591</v>
      </c>
      <c r="C770" s="272" t="s">
        <v>9807</v>
      </c>
      <c r="D770" s="259" t="s">
        <v>9808</v>
      </c>
      <c r="E770" s="265" t="s">
        <v>10655</v>
      </c>
      <c r="F770" s="272" t="s">
        <v>9198</v>
      </c>
      <c r="G770" s="272" t="s">
        <v>9197</v>
      </c>
      <c r="H770" s="265" t="s">
        <v>10887</v>
      </c>
      <c r="I770" s="290" t="s">
        <v>10888</v>
      </c>
      <c r="J770" s="265" t="s">
        <v>10655</v>
      </c>
      <c r="K770" s="265" t="s">
        <v>10655</v>
      </c>
    </row>
    <row r="771" spans="1:11" s="75" customFormat="1" ht="14.55" customHeight="1" x14ac:dyDescent="0.25">
      <c r="A771" s="272" t="s">
        <v>8816</v>
      </c>
      <c r="B771" s="272" t="s">
        <v>10591</v>
      </c>
      <c r="C771" s="272" t="s">
        <v>9807</v>
      </c>
      <c r="D771" s="259" t="s">
        <v>9808</v>
      </c>
      <c r="E771" s="265" t="s">
        <v>10655</v>
      </c>
      <c r="F771" s="272" t="s">
        <v>9198</v>
      </c>
      <c r="G771" s="272" t="s">
        <v>9197</v>
      </c>
      <c r="H771" s="265" t="s">
        <v>10869</v>
      </c>
      <c r="I771" s="290" t="s">
        <v>10870</v>
      </c>
      <c r="J771" s="265" t="s">
        <v>10655</v>
      </c>
      <c r="K771" s="265" t="s">
        <v>10655</v>
      </c>
    </row>
    <row r="772" spans="1:11" s="75" customFormat="1" ht="14.55" customHeight="1" x14ac:dyDescent="0.25">
      <c r="A772" s="272" t="s">
        <v>8816</v>
      </c>
      <c r="B772" s="272" t="s">
        <v>10591</v>
      </c>
      <c r="C772" s="272" t="s">
        <v>9807</v>
      </c>
      <c r="D772" s="259" t="s">
        <v>9808</v>
      </c>
      <c r="E772" s="265" t="s">
        <v>10655</v>
      </c>
      <c r="F772" s="272" t="s">
        <v>9198</v>
      </c>
      <c r="G772" s="272" t="s">
        <v>9197</v>
      </c>
      <c r="H772" s="265" t="s">
        <v>10889</v>
      </c>
      <c r="I772" s="290" t="s">
        <v>10890</v>
      </c>
      <c r="J772" s="265" t="s">
        <v>10655</v>
      </c>
      <c r="K772" s="265" t="s">
        <v>10655</v>
      </c>
    </row>
    <row r="773" spans="1:11" s="75" customFormat="1" ht="14.55" customHeight="1" x14ac:dyDescent="0.25">
      <c r="A773" s="272" t="s">
        <v>8816</v>
      </c>
      <c r="B773" s="272" t="s">
        <v>10591</v>
      </c>
      <c r="C773" s="272" t="s">
        <v>9807</v>
      </c>
      <c r="D773" s="259" t="s">
        <v>9808</v>
      </c>
      <c r="E773" s="265" t="s">
        <v>10655</v>
      </c>
      <c r="F773" s="272" t="s">
        <v>9198</v>
      </c>
      <c r="G773" s="272" t="s">
        <v>9197</v>
      </c>
      <c r="H773" s="265" t="s">
        <v>10891</v>
      </c>
      <c r="I773" s="290" t="s">
        <v>10892</v>
      </c>
      <c r="J773" s="265" t="s">
        <v>10655</v>
      </c>
      <c r="K773" s="265" t="s">
        <v>10655</v>
      </c>
    </row>
    <row r="774" spans="1:11" s="75" customFormat="1" ht="14.55" customHeight="1" x14ac:dyDescent="0.25">
      <c r="A774" s="272" t="s">
        <v>8816</v>
      </c>
      <c r="B774" s="272" t="s">
        <v>10591</v>
      </c>
      <c r="C774" s="272" t="s">
        <v>9807</v>
      </c>
      <c r="D774" s="259" t="s">
        <v>9808</v>
      </c>
      <c r="E774" s="265" t="s">
        <v>10655</v>
      </c>
      <c r="F774" s="272" t="s">
        <v>9198</v>
      </c>
      <c r="G774" s="272" t="s">
        <v>9197</v>
      </c>
      <c r="H774" s="265" t="s">
        <v>10871</v>
      </c>
      <c r="I774" s="290" t="s">
        <v>10872</v>
      </c>
      <c r="J774" s="265" t="s">
        <v>10655</v>
      </c>
      <c r="K774" s="265" t="s">
        <v>10655</v>
      </c>
    </row>
    <row r="775" spans="1:11" s="75" customFormat="1" ht="14.55" customHeight="1" x14ac:dyDescent="0.25">
      <c r="A775" s="272" t="s">
        <v>8816</v>
      </c>
      <c r="B775" s="272" t="s">
        <v>10591</v>
      </c>
      <c r="C775" s="272" t="s">
        <v>9807</v>
      </c>
      <c r="D775" s="259" t="s">
        <v>9808</v>
      </c>
      <c r="E775" s="265" t="s">
        <v>10655</v>
      </c>
      <c r="F775" s="272" t="s">
        <v>9198</v>
      </c>
      <c r="G775" s="272" t="s">
        <v>9197</v>
      </c>
      <c r="H775" s="265" t="s">
        <v>10895</v>
      </c>
      <c r="I775" s="290" t="s">
        <v>10896</v>
      </c>
      <c r="J775" s="265" t="s">
        <v>10655</v>
      </c>
      <c r="K775" s="265" t="s">
        <v>10655</v>
      </c>
    </row>
    <row r="776" spans="1:11" s="75" customFormat="1" ht="14.55" customHeight="1" x14ac:dyDescent="0.25">
      <c r="A776" s="272" t="s">
        <v>8816</v>
      </c>
      <c r="B776" s="272" t="s">
        <v>10591</v>
      </c>
      <c r="C776" s="272" t="s">
        <v>9807</v>
      </c>
      <c r="D776" s="259" t="s">
        <v>9808</v>
      </c>
      <c r="E776" s="265" t="s">
        <v>10655</v>
      </c>
      <c r="F776" s="272" t="s">
        <v>9198</v>
      </c>
      <c r="G776" s="272" t="s">
        <v>9197</v>
      </c>
      <c r="H776" s="265" t="s">
        <v>10873</v>
      </c>
      <c r="I776" s="290" t="s">
        <v>10874</v>
      </c>
      <c r="J776" s="265" t="s">
        <v>10655</v>
      </c>
      <c r="K776" s="265" t="s">
        <v>10655</v>
      </c>
    </row>
    <row r="777" spans="1:11" s="75" customFormat="1" ht="14.55" customHeight="1" x14ac:dyDescent="0.25">
      <c r="A777" s="272" t="s">
        <v>8816</v>
      </c>
      <c r="B777" s="272" t="s">
        <v>10591</v>
      </c>
      <c r="C777" s="272" t="s">
        <v>9809</v>
      </c>
      <c r="D777" s="259" t="s">
        <v>9810</v>
      </c>
      <c r="E777" s="265" t="s">
        <v>10655</v>
      </c>
      <c r="F777" s="272" t="s">
        <v>9198</v>
      </c>
      <c r="G777" s="272" t="s">
        <v>9197</v>
      </c>
      <c r="H777" s="265" t="s">
        <v>10871</v>
      </c>
      <c r="I777" s="290" t="s">
        <v>10872</v>
      </c>
      <c r="J777" s="265" t="s">
        <v>10655</v>
      </c>
      <c r="K777" s="265" t="s">
        <v>10655</v>
      </c>
    </row>
    <row r="778" spans="1:11" s="75" customFormat="1" ht="14.55" customHeight="1" x14ac:dyDescent="0.25">
      <c r="A778" s="272" t="s">
        <v>8816</v>
      </c>
      <c r="B778" s="272" t="s">
        <v>10591</v>
      </c>
      <c r="C778" s="272" t="s">
        <v>9809</v>
      </c>
      <c r="D778" s="259" t="s">
        <v>9810</v>
      </c>
      <c r="E778" s="265" t="s">
        <v>10655</v>
      </c>
      <c r="F778" s="272" t="s">
        <v>9198</v>
      </c>
      <c r="G778" s="272" t="s">
        <v>9197</v>
      </c>
      <c r="H778" s="265" t="s">
        <v>10873</v>
      </c>
      <c r="I778" s="290" t="s">
        <v>10874</v>
      </c>
      <c r="J778" s="265" t="s">
        <v>10655</v>
      </c>
      <c r="K778" s="265" t="s">
        <v>10655</v>
      </c>
    </row>
    <row r="779" spans="1:11" s="75" customFormat="1" ht="14.55" customHeight="1" x14ac:dyDescent="0.25">
      <c r="A779" s="272" t="s">
        <v>8816</v>
      </c>
      <c r="B779" s="272" t="s">
        <v>10591</v>
      </c>
      <c r="C779" s="272" t="s">
        <v>9811</v>
      </c>
      <c r="D779" s="259" t="s">
        <v>9812</v>
      </c>
      <c r="E779" s="265" t="s">
        <v>10655</v>
      </c>
      <c r="F779" s="272" t="s">
        <v>9198</v>
      </c>
      <c r="G779" s="272" t="s">
        <v>9197</v>
      </c>
      <c r="H779" s="265" t="s">
        <v>10875</v>
      </c>
      <c r="I779" s="290" t="s">
        <v>10876</v>
      </c>
      <c r="J779" s="265" t="s">
        <v>10655</v>
      </c>
      <c r="K779" s="265" t="s">
        <v>10655</v>
      </c>
    </row>
    <row r="780" spans="1:11" s="75" customFormat="1" ht="14.55" customHeight="1" x14ac:dyDescent="0.25">
      <c r="A780" s="272" t="s">
        <v>8816</v>
      </c>
      <c r="B780" s="272" t="s">
        <v>10591</v>
      </c>
      <c r="C780" s="272" t="s">
        <v>9811</v>
      </c>
      <c r="D780" s="259" t="s">
        <v>9812</v>
      </c>
      <c r="E780" s="265" t="s">
        <v>10655</v>
      </c>
      <c r="F780" s="272" t="s">
        <v>9198</v>
      </c>
      <c r="G780" s="272" t="s">
        <v>9197</v>
      </c>
      <c r="H780" s="265" t="s">
        <v>10899</v>
      </c>
      <c r="I780" s="290" t="s">
        <v>10900</v>
      </c>
      <c r="J780" s="265" t="s">
        <v>10655</v>
      </c>
      <c r="K780" s="265" t="s">
        <v>10655</v>
      </c>
    </row>
    <row r="781" spans="1:11" s="75" customFormat="1" ht="14.55" customHeight="1" x14ac:dyDescent="0.25">
      <c r="A781" s="272" t="s">
        <v>8816</v>
      </c>
      <c r="B781" s="272" t="s">
        <v>10591</v>
      </c>
      <c r="C781" s="272" t="s">
        <v>9813</v>
      </c>
      <c r="D781" s="259" t="s">
        <v>9814</v>
      </c>
      <c r="E781" s="265" t="s">
        <v>10655</v>
      </c>
      <c r="F781" s="272" t="s">
        <v>9198</v>
      </c>
      <c r="G781" s="272" t="s">
        <v>9197</v>
      </c>
      <c r="H781" s="265" t="s">
        <v>10875</v>
      </c>
      <c r="I781" s="290" t="s">
        <v>10876</v>
      </c>
      <c r="J781" s="265" t="s">
        <v>10655</v>
      </c>
      <c r="K781" s="265" t="s">
        <v>10655</v>
      </c>
    </row>
    <row r="782" spans="1:11" s="75" customFormat="1" ht="14.55" customHeight="1" x14ac:dyDescent="0.25">
      <c r="A782" s="272" t="s">
        <v>8816</v>
      </c>
      <c r="B782" s="272" t="s">
        <v>10591</v>
      </c>
      <c r="C782" s="272" t="s">
        <v>9813</v>
      </c>
      <c r="D782" s="259" t="s">
        <v>9814</v>
      </c>
      <c r="E782" s="265" t="s">
        <v>10655</v>
      </c>
      <c r="F782" s="272" t="s">
        <v>9198</v>
      </c>
      <c r="G782" s="272" t="s">
        <v>9197</v>
      </c>
      <c r="H782" s="265" t="s">
        <v>10899</v>
      </c>
      <c r="I782" s="290" t="s">
        <v>10900</v>
      </c>
      <c r="J782" s="265" t="s">
        <v>10655</v>
      </c>
      <c r="K782" s="265" t="s">
        <v>10655</v>
      </c>
    </row>
    <row r="783" spans="1:11" s="75" customFormat="1" ht="14.55" customHeight="1" x14ac:dyDescent="0.25">
      <c r="A783" s="272" t="s">
        <v>8816</v>
      </c>
      <c r="B783" s="272" t="s">
        <v>10591</v>
      </c>
      <c r="C783" s="272" t="s">
        <v>9815</v>
      </c>
      <c r="D783" s="259" t="s">
        <v>9816</v>
      </c>
      <c r="E783" s="265" t="s">
        <v>10655</v>
      </c>
      <c r="F783" s="272" t="s">
        <v>9198</v>
      </c>
      <c r="G783" s="272" t="s">
        <v>9197</v>
      </c>
      <c r="H783" s="265" t="s">
        <v>10875</v>
      </c>
      <c r="I783" s="290" t="s">
        <v>10876</v>
      </c>
      <c r="J783" s="265" t="s">
        <v>10655</v>
      </c>
      <c r="K783" s="265" t="s">
        <v>10655</v>
      </c>
    </row>
    <row r="784" spans="1:11" s="75" customFormat="1" ht="14.55" customHeight="1" x14ac:dyDescent="0.25">
      <c r="A784" s="272" t="s">
        <v>8816</v>
      </c>
      <c r="B784" s="272" t="s">
        <v>10591</v>
      </c>
      <c r="C784" s="272" t="s">
        <v>9815</v>
      </c>
      <c r="D784" s="259" t="s">
        <v>9816</v>
      </c>
      <c r="E784" s="265" t="s">
        <v>10655</v>
      </c>
      <c r="F784" s="272" t="s">
        <v>9198</v>
      </c>
      <c r="G784" s="272" t="s">
        <v>9197</v>
      </c>
      <c r="H784" s="265" t="s">
        <v>10899</v>
      </c>
      <c r="I784" s="290" t="s">
        <v>10900</v>
      </c>
      <c r="J784" s="265" t="s">
        <v>10655</v>
      </c>
      <c r="K784" s="265" t="s">
        <v>10655</v>
      </c>
    </row>
    <row r="785" spans="1:11" s="75" customFormat="1" ht="14.55" customHeight="1" x14ac:dyDescent="0.25">
      <c r="A785" s="272" t="s">
        <v>8816</v>
      </c>
      <c r="B785" s="272" t="s">
        <v>10591</v>
      </c>
      <c r="C785" s="272" t="s">
        <v>9817</v>
      </c>
      <c r="D785" s="259" t="s">
        <v>9818</v>
      </c>
      <c r="E785" s="265" t="s">
        <v>10655</v>
      </c>
      <c r="F785" s="272" t="s">
        <v>9198</v>
      </c>
      <c r="G785" s="272" t="s">
        <v>9197</v>
      </c>
      <c r="H785" s="265" t="s">
        <v>10875</v>
      </c>
      <c r="I785" s="290" t="s">
        <v>10876</v>
      </c>
      <c r="J785" s="265" t="s">
        <v>10655</v>
      </c>
      <c r="K785" s="265" t="s">
        <v>10655</v>
      </c>
    </row>
    <row r="786" spans="1:11" s="75" customFormat="1" ht="14.55" customHeight="1" x14ac:dyDescent="0.25">
      <c r="A786" s="272" t="s">
        <v>8816</v>
      </c>
      <c r="B786" s="272" t="s">
        <v>10591</v>
      </c>
      <c r="C786" s="272" t="s">
        <v>9817</v>
      </c>
      <c r="D786" s="259" t="s">
        <v>9818</v>
      </c>
      <c r="E786" s="265" t="s">
        <v>10655</v>
      </c>
      <c r="F786" s="272" t="s">
        <v>9198</v>
      </c>
      <c r="G786" s="272" t="s">
        <v>9197</v>
      </c>
      <c r="H786" s="272" t="s">
        <v>10899</v>
      </c>
      <c r="I786" s="259" t="s">
        <v>10900</v>
      </c>
      <c r="J786" s="265" t="s">
        <v>10655</v>
      </c>
      <c r="K786" s="265" t="s">
        <v>10655</v>
      </c>
    </row>
    <row r="787" spans="1:11" s="75" customFormat="1" ht="14.55" customHeight="1" x14ac:dyDescent="0.25">
      <c r="A787" s="272" t="s">
        <v>8816</v>
      </c>
      <c r="B787" s="272" t="s">
        <v>10591</v>
      </c>
      <c r="C787" s="272" t="s">
        <v>9819</v>
      </c>
      <c r="D787" s="259" t="s">
        <v>9820</v>
      </c>
      <c r="E787" s="265" t="s">
        <v>10655</v>
      </c>
      <c r="F787" s="272" t="s">
        <v>9198</v>
      </c>
      <c r="G787" s="272" t="s">
        <v>9197</v>
      </c>
      <c r="H787" s="265" t="s">
        <v>10875</v>
      </c>
      <c r="I787" s="290" t="s">
        <v>10876</v>
      </c>
      <c r="J787" s="265" t="s">
        <v>10655</v>
      </c>
      <c r="K787" s="265" t="s">
        <v>10655</v>
      </c>
    </row>
    <row r="788" spans="1:11" s="75" customFormat="1" ht="14.55" customHeight="1" x14ac:dyDescent="0.25">
      <c r="A788" s="272" t="s">
        <v>8816</v>
      </c>
      <c r="B788" s="272" t="s">
        <v>10591</v>
      </c>
      <c r="C788" s="272" t="s">
        <v>9819</v>
      </c>
      <c r="D788" s="259" t="s">
        <v>9820</v>
      </c>
      <c r="E788" s="265" t="s">
        <v>10655</v>
      </c>
      <c r="F788" s="272" t="s">
        <v>9198</v>
      </c>
      <c r="G788" s="272" t="s">
        <v>9197</v>
      </c>
      <c r="H788" s="265" t="s">
        <v>10871</v>
      </c>
      <c r="I788" s="290" t="s">
        <v>10872</v>
      </c>
      <c r="J788" s="265" t="s">
        <v>10655</v>
      </c>
      <c r="K788" s="265" t="s">
        <v>10655</v>
      </c>
    </row>
    <row r="789" spans="1:11" s="75" customFormat="1" ht="14.55" customHeight="1" x14ac:dyDescent="0.25">
      <c r="A789" s="272" t="s">
        <v>8816</v>
      </c>
      <c r="B789" s="272" t="s">
        <v>10591</v>
      </c>
      <c r="C789" s="272" t="s">
        <v>9819</v>
      </c>
      <c r="D789" s="259" t="s">
        <v>9820</v>
      </c>
      <c r="E789" s="265" t="s">
        <v>10655</v>
      </c>
      <c r="F789" s="272" t="s">
        <v>9198</v>
      </c>
      <c r="G789" s="272" t="s">
        <v>9197</v>
      </c>
      <c r="H789" s="265" t="s">
        <v>10877</v>
      </c>
      <c r="I789" s="290" t="s">
        <v>10878</v>
      </c>
      <c r="J789" s="265" t="s">
        <v>10655</v>
      </c>
      <c r="K789" s="265" t="s">
        <v>10655</v>
      </c>
    </row>
    <row r="790" spans="1:11" s="75" customFormat="1" ht="14.55" customHeight="1" x14ac:dyDescent="0.25">
      <c r="A790" s="272" t="s">
        <v>8816</v>
      </c>
      <c r="B790" s="272" t="s">
        <v>10591</v>
      </c>
      <c r="C790" s="272" t="s">
        <v>9819</v>
      </c>
      <c r="D790" s="259" t="s">
        <v>9820</v>
      </c>
      <c r="E790" s="265" t="s">
        <v>10655</v>
      </c>
      <c r="F790" s="272" t="s">
        <v>9198</v>
      </c>
      <c r="G790" s="272" t="s">
        <v>9197</v>
      </c>
      <c r="H790" s="265" t="s">
        <v>10879</v>
      </c>
      <c r="I790" s="290" t="s">
        <v>10880</v>
      </c>
      <c r="J790" s="265" t="s">
        <v>10655</v>
      </c>
      <c r="K790" s="265" t="s">
        <v>10655</v>
      </c>
    </row>
    <row r="791" spans="1:11" s="75" customFormat="1" ht="14.55" customHeight="1" x14ac:dyDescent="0.25">
      <c r="A791" s="272" t="s">
        <v>8816</v>
      </c>
      <c r="B791" s="272" t="s">
        <v>10591</v>
      </c>
      <c r="C791" s="272" t="s">
        <v>9819</v>
      </c>
      <c r="D791" s="259" t="s">
        <v>9820</v>
      </c>
      <c r="E791" s="265" t="s">
        <v>10655</v>
      </c>
      <c r="F791" s="272" t="s">
        <v>9198</v>
      </c>
      <c r="G791" s="272" t="s">
        <v>9197</v>
      </c>
      <c r="H791" s="265" t="s">
        <v>10901</v>
      </c>
      <c r="I791" s="290" t="s">
        <v>10902</v>
      </c>
      <c r="J791" s="265" t="s">
        <v>10655</v>
      </c>
      <c r="K791" s="265" t="s">
        <v>10655</v>
      </c>
    </row>
    <row r="792" spans="1:11" s="75" customFormat="1" ht="14.55" customHeight="1" x14ac:dyDescent="0.25">
      <c r="A792" s="272" t="s">
        <v>8816</v>
      </c>
      <c r="B792" s="272" t="s">
        <v>10591</v>
      </c>
      <c r="C792" s="272" t="s">
        <v>9821</v>
      </c>
      <c r="D792" s="259" t="s">
        <v>9822</v>
      </c>
      <c r="E792" s="265" t="s">
        <v>10655</v>
      </c>
      <c r="F792" s="272" t="s">
        <v>9198</v>
      </c>
      <c r="G792" s="272" t="s">
        <v>9197</v>
      </c>
      <c r="H792" s="265" t="s">
        <v>10875</v>
      </c>
      <c r="I792" s="290" t="s">
        <v>10876</v>
      </c>
      <c r="J792" s="265" t="s">
        <v>10655</v>
      </c>
      <c r="K792" s="265" t="s">
        <v>10655</v>
      </c>
    </row>
    <row r="793" spans="1:11" s="75" customFormat="1" ht="14.55" customHeight="1" x14ac:dyDescent="0.25">
      <c r="A793" s="272" t="s">
        <v>8816</v>
      </c>
      <c r="B793" s="272" t="s">
        <v>10591</v>
      </c>
      <c r="C793" s="272" t="s">
        <v>9821</v>
      </c>
      <c r="D793" s="259" t="s">
        <v>9822</v>
      </c>
      <c r="E793" s="265" t="s">
        <v>10655</v>
      </c>
      <c r="F793" s="272" t="s">
        <v>9198</v>
      </c>
      <c r="G793" s="272" t="s">
        <v>9197</v>
      </c>
      <c r="H793" s="265" t="s">
        <v>10871</v>
      </c>
      <c r="I793" s="290" t="s">
        <v>10872</v>
      </c>
      <c r="J793" s="265" t="s">
        <v>10655</v>
      </c>
      <c r="K793" s="265" t="s">
        <v>10655</v>
      </c>
    </row>
    <row r="794" spans="1:11" s="75" customFormat="1" ht="14.55" customHeight="1" x14ac:dyDescent="0.25">
      <c r="A794" s="272" t="s">
        <v>8816</v>
      </c>
      <c r="B794" s="272" t="s">
        <v>10591</v>
      </c>
      <c r="C794" s="272" t="s">
        <v>9821</v>
      </c>
      <c r="D794" s="259" t="s">
        <v>9822</v>
      </c>
      <c r="E794" s="265" t="s">
        <v>10655</v>
      </c>
      <c r="F794" s="272" t="s">
        <v>9198</v>
      </c>
      <c r="G794" s="272" t="s">
        <v>9197</v>
      </c>
      <c r="H794" s="265" t="s">
        <v>10877</v>
      </c>
      <c r="I794" s="290" t="s">
        <v>10878</v>
      </c>
      <c r="J794" s="265" t="s">
        <v>10655</v>
      </c>
      <c r="K794" s="265" t="s">
        <v>10655</v>
      </c>
    </row>
    <row r="795" spans="1:11" s="75" customFormat="1" ht="14.55" customHeight="1" x14ac:dyDescent="0.25">
      <c r="A795" s="272" t="s">
        <v>8816</v>
      </c>
      <c r="B795" s="272" t="s">
        <v>10591</v>
      </c>
      <c r="C795" s="272" t="s">
        <v>9821</v>
      </c>
      <c r="D795" s="259" t="s">
        <v>9822</v>
      </c>
      <c r="E795" s="265" t="s">
        <v>10655</v>
      </c>
      <c r="F795" s="272" t="s">
        <v>9198</v>
      </c>
      <c r="G795" s="272" t="s">
        <v>9197</v>
      </c>
      <c r="H795" s="265" t="s">
        <v>10879</v>
      </c>
      <c r="I795" s="290" t="s">
        <v>10880</v>
      </c>
      <c r="J795" s="265" t="s">
        <v>10655</v>
      </c>
      <c r="K795" s="265" t="s">
        <v>10655</v>
      </c>
    </row>
    <row r="796" spans="1:11" s="75" customFormat="1" ht="14.55" customHeight="1" x14ac:dyDescent="0.25">
      <c r="A796" s="272" t="s">
        <v>8816</v>
      </c>
      <c r="B796" s="272" t="s">
        <v>10591</v>
      </c>
      <c r="C796" s="272" t="s">
        <v>9821</v>
      </c>
      <c r="D796" s="259" t="s">
        <v>9822</v>
      </c>
      <c r="E796" s="265" t="s">
        <v>10655</v>
      </c>
      <c r="F796" s="272" t="s">
        <v>9198</v>
      </c>
      <c r="G796" s="272" t="s">
        <v>9197</v>
      </c>
      <c r="H796" s="265" t="s">
        <v>10901</v>
      </c>
      <c r="I796" s="290" t="s">
        <v>10902</v>
      </c>
      <c r="J796" s="265" t="s">
        <v>10655</v>
      </c>
      <c r="K796" s="265" t="s">
        <v>10655</v>
      </c>
    </row>
    <row r="797" spans="1:11" s="75" customFormat="1" ht="14.55" customHeight="1" x14ac:dyDescent="0.25">
      <c r="A797" s="272" t="s">
        <v>8816</v>
      </c>
      <c r="B797" s="272" t="s">
        <v>10591</v>
      </c>
      <c r="C797" s="272" t="s">
        <v>9823</v>
      </c>
      <c r="D797" s="259" t="s">
        <v>9824</v>
      </c>
      <c r="E797" s="265" t="s">
        <v>10655</v>
      </c>
      <c r="F797" s="272" t="s">
        <v>9198</v>
      </c>
      <c r="G797" s="272" t="s">
        <v>9197</v>
      </c>
      <c r="H797" s="265" t="s">
        <v>10875</v>
      </c>
      <c r="I797" s="290" t="s">
        <v>10876</v>
      </c>
      <c r="J797" s="265" t="s">
        <v>10655</v>
      </c>
      <c r="K797" s="265" t="s">
        <v>10655</v>
      </c>
    </row>
    <row r="798" spans="1:11" s="75" customFormat="1" ht="14.55" customHeight="1" x14ac:dyDescent="0.25">
      <c r="A798" s="272" t="s">
        <v>8816</v>
      </c>
      <c r="B798" s="272" t="s">
        <v>10591</v>
      </c>
      <c r="C798" s="272" t="s">
        <v>9823</v>
      </c>
      <c r="D798" s="259" t="s">
        <v>9824</v>
      </c>
      <c r="E798" s="265" t="s">
        <v>10655</v>
      </c>
      <c r="F798" s="272" t="s">
        <v>9198</v>
      </c>
      <c r="G798" s="272" t="s">
        <v>9197</v>
      </c>
      <c r="H798" s="265" t="s">
        <v>10871</v>
      </c>
      <c r="I798" s="290" t="s">
        <v>10872</v>
      </c>
      <c r="J798" s="265" t="s">
        <v>10655</v>
      </c>
      <c r="K798" s="265" t="s">
        <v>10655</v>
      </c>
    </row>
    <row r="799" spans="1:11" s="75" customFormat="1" ht="14.55" customHeight="1" x14ac:dyDescent="0.25">
      <c r="A799" s="272" t="s">
        <v>8816</v>
      </c>
      <c r="B799" s="272" t="s">
        <v>10591</v>
      </c>
      <c r="C799" s="272" t="s">
        <v>9823</v>
      </c>
      <c r="D799" s="259" t="s">
        <v>9824</v>
      </c>
      <c r="E799" s="265" t="s">
        <v>10655</v>
      </c>
      <c r="F799" s="272" t="s">
        <v>9198</v>
      </c>
      <c r="G799" s="272" t="s">
        <v>9197</v>
      </c>
      <c r="H799" s="265" t="s">
        <v>10877</v>
      </c>
      <c r="I799" s="290" t="s">
        <v>10878</v>
      </c>
      <c r="J799" s="265" t="s">
        <v>10655</v>
      </c>
      <c r="K799" s="265" t="s">
        <v>10655</v>
      </c>
    </row>
    <row r="800" spans="1:11" s="75" customFormat="1" ht="14.55" customHeight="1" x14ac:dyDescent="0.25">
      <c r="A800" s="272" t="s">
        <v>8816</v>
      </c>
      <c r="B800" s="272" t="s">
        <v>10591</v>
      </c>
      <c r="C800" s="272" t="s">
        <v>9823</v>
      </c>
      <c r="D800" s="259" t="s">
        <v>9824</v>
      </c>
      <c r="E800" s="265" t="s">
        <v>10655</v>
      </c>
      <c r="F800" s="272" t="s">
        <v>9198</v>
      </c>
      <c r="G800" s="272" t="s">
        <v>9197</v>
      </c>
      <c r="H800" s="265" t="s">
        <v>10879</v>
      </c>
      <c r="I800" s="290" t="s">
        <v>10880</v>
      </c>
      <c r="J800" s="265" t="s">
        <v>10655</v>
      </c>
      <c r="K800" s="265" t="s">
        <v>10655</v>
      </c>
    </row>
    <row r="801" spans="1:11" s="75" customFormat="1" ht="14.55" customHeight="1" x14ac:dyDescent="0.25">
      <c r="A801" s="272" t="s">
        <v>8816</v>
      </c>
      <c r="B801" s="272" t="s">
        <v>10591</v>
      </c>
      <c r="C801" s="272" t="s">
        <v>9823</v>
      </c>
      <c r="D801" s="259" t="s">
        <v>9824</v>
      </c>
      <c r="E801" s="265" t="s">
        <v>10655</v>
      </c>
      <c r="F801" s="272" t="s">
        <v>9198</v>
      </c>
      <c r="G801" s="272" t="s">
        <v>9197</v>
      </c>
      <c r="H801" s="265" t="s">
        <v>10901</v>
      </c>
      <c r="I801" s="290" t="s">
        <v>10902</v>
      </c>
      <c r="J801" s="265" t="s">
        <v>10655</v>
      </c>
      <c r="K801" s="265" t="s">
        <v>10655</v>
      </c>
    </row>
    <row r="802" spans="1:11" s="75" customFormat="1" ht="14.55" customHeight="1" x14ac:dyDescent="0.25">
      <c r="A802" s="272" t="s">
        <v>8816</v>
      </c>
      <c r="B802" s="272" t="s">
        <v>10591</v>
      </c>
      <c r="C802" s="272" t="s">
        <v>9825</v>
      </c>
      <c r="D802" s="259" t="s">
        <v>9826</v>
      </c>
      <c r="E802" s="265" t="s">
        <v>10655</v>
      </c>
      <c r="F802" s="272" t="s">
        <v>9198</v>
      </c>
      <c r="G802" s="272" t="s">
        <v>9197</v>
      </c>
      <c r="H802" s="265" t="s">
        <v>10877</v>
      </c>
      <c r="I802" s="290" t="s">
        <v>10878</v>
      </c>
      <c r="J802" s="265" t="s">
        <v>10655</v>
      </c>
      <c r="K802" s="265" t="s">
        <v>10655</v>
      </c>
    </row>
    <row r="803" spans="1:11" s="75" customFormat="1" ht="14.55" customHeight="1" x14ac:dyDescent="0.25">
      <c r="A803" s="272" t="s">
        <v>8816</v>
      </c>
      <c r="B803" s="272" t="s">
        <v>10591</v>
      </c>
      <c r="C803" s="272" t="s">
        <v>9825</v>
      </c>
      <c r="D803" s="259" t="s">
        <v>9826</v>
      </c>
      <c r="E803" s="265" t="s">
        <v>10655</v>
      </c>
      <c r="F803" s="272" t="s">
        <v>9198</v>
      </c>
      <c r="G803" s="272" t="s">
        <v>9197</v>
      </c>
      <c r="H803" s="265" t="s">
        <v>10903</v>
      </c>
      <c r="I803" s="290" t="s">
        <v>10904</v>
      </c>
      <c r="J803" s="265" t="s">
        <v>10655</v>
      </c>
      <c r="K803" s="265" t="s">
        <v>10655</v>
      </c>
    </row>
    <row r="804" spans="1:11" s="75" customFormat="1" ht="14.55" customHeight="1" x14ac:dyDescent="0.25">
      <c r="A804" s="272" t="s">
        <v>8816</v>
      </c>
      <c r="B804" s="272" t="s">
        <v>10591</v>
      </c>
      <c r="C804" s="272" t="s">
        <v>9825</v>
      </c>
      <c r="D804" s="259" t="s">
        <v>9826</v>
      </c>
      <c r="E804" s="265" t="s">
        <v>10655</v>
      </c>
      <c r="F804" s="272" t="s">
        <v>9198</v>
      </c>
      <c r="G804" s="272" t="s">
        <v>9197</v>
      </c>
      <c r="H804" s="265" t="s">
        <v>10905</v>
      </c>
      <c r="I804" s="290" t="s">
        <v>10910</v>
      </c>
      <c r="J804" s="265" t="s">
        <v>10655</v>
      </c>
      <c r="K804" s="265" t="s">
        <v>10655</v>
      </c>
    </row>
    <row r="805" spans="1:11" s="75" customFormat="1" ht="14.55" customHeight="1" x14ac:dyDescent="0.25">
      <c r="A805" s="272" t="s">
        <v>8816</v>
      </c>
      <c r="B805" s="272" t="s">
        <v>10591</v>
      </c>
      <c r="C805" s="272" t="s">
        <v>9825</v>
      </c>
      <c r="D805" s="259" t="s">
        <v>9826</v>
      </c>
      <c r="E805" s="265" t="s">
        <v>10655</v>
      </c>
      <c r="F805" s="272" t="s">
        <v>9198</v>
      </c>
      <c r="G805" s="272" t="s">
        <v>9197</v>
      </c>
      <c r="H805" s="265" t="s">
        <v>10875</v>
      </c>
      <c r="I805" s="290" t="s">
        <v>10876</v>
      </c>
      <c r="J805" s="265" t="s">
        <v>10655</v>
      </c>
      <c r="K805" s="265" t="s">
        <v>10655</v>
      </c>
    </row>
    <row r="806" spans="1:11" s="75" customFormat="1" ht="14.55" customHeight="1" x14ac:dyDescent="0.25">
      <c r="A806" s="272" t="s">
        <v>8816</v>
      </c>
      <c r="B806" s="272" t="s">
        <v>10591</v>
      </c>
      <c r="C806" s="272" t="s">
        <v>9827</v>
      </c>
      <c r="D806" s="259" t="s">
        <v>9828</v>
      </c>
      <c r="E806" s="265" t="s">
        <v>10655</v>
      </c>
      <c r="F806" s="272" t="s">
        <v>9198</v>
      </c>
      <c r="G806" s="272" t="s">
        <v>9197</v>
      </c>
      <c r="H806" s="265" t="s">
        <v>10877</v>
      </c>
      <c r="I806" s="290" t="s">
        <v>10878</v>
      </c>
      <c r="J806" s="265" t="s">
        <v>10655</v>
      </c>
      <c r="K806" s="265" t="s">
        <v>10655</v>
      </c>
    </row>
    <row r="807" spans="1:11" s="75" customFormat="1" ht="14.55" customHeight="1" x14ac:dyDescent="0.25">
      <c r="A807" s="272" t="s">
        <v>8816</v>
      </c>
      <c r="B807" s="272" t="s">
        <v>10591</v>
      </c>
      <c r="C807" s="272" t="s">
        <v>9827</v>
      </c>
      <c r="D807" s="259" t="s">
        <v>9828</v>
      </c>
      <c r="E807" s="265" t="s">
        <v>10655</v>
      </c>
      <c r="F807" s="272" t="s">
        <v>9198</v>
      </c>
      <c r="G807" s="272" t="s">
        <v>9197</v>
      </c>
      <c r="H807" s="265" t="s">
        <v>10903</v>
      </c>
      <c r="I807" s="290" t="s">
        <v>10904</v>
      </c>
      <c r="J807" s="265" t="s">
        <v>10655</v>
      </c>
      <c r="K807" s="265" t="s">
        <v>10655</v>
      </c>
    </row>
    <row r="808" spans="1:11" s="75" customFormat="1" ht="14.55" customHeight="1" x14ac:dyDescent="0.25">
      <c r="A808" s="272" t="s">
        <v>8816</v>
      </c>
      <c r="B808" s="272" t="s">
        <v>10591</v>
      </c>
      <c r="C808" s="272" t="s">
        <v>9827</v>
      </c>
      <c r="D808" s="259" t="s">
        <v>9828</v>
      </c>
      <c r="E808" s="265" t="s">
        <v>10655</v>
      </c>
      <c r="F808" s="272" t="s">
        <v>9198</v>
      </c>
      <c r="G808" s="272" t="s">
        <v>9197</v>
      </c>
      <c r="H808" s="265" t="s">
        <v>10905</v>
      </c>
      <c r="I808" s="290" t="s">
        <v>10910</v>
      </c>
      <c r="J808" s="265" t="s">
        <v>10655</v>
      </c>
      <c r="K808" s="265" t="s">
        <v>10655</v>
      </c>
    </row>
    <row r="809" spans="1:11" s="75" customFormat="1" ht="14.55" customHeight="1" x14ac:dyDescent="0.25">
      <c r="A809" s="272" t="s">
        <v>8816</v>
      </c>
      <c r="B809" s="272" t="s">
        <v>10591</v>
      </c>
      <c r="C809" s="272" t="s">
        <v>9827</v>
      </c>
      <c r="D809" s="259" t="s">
        <v>9828</v>
      </c>
      <c r="E809" s="265" t="s">
        <v>10655</v>
      </c>
      <c r="F809" s="272" t="s">
        <v>9198</v>
      </c>
      <c r="G809" s="272" t="s">
        <v>9197</v>
      </c>
      <c r="H809" s="265" t="s">
        <v>10875</v>
      </c>
      <c r="I809" s="290" t="s">
        <v>10876</v>
      </c>
      <c r="J809" s="265" t="s">
        <v>10655</v>
      </c>
      <c r="K809" s="265" t="s">
        <v>10655</v>
      </c>
    </row>
    <row r="810" spans="1:11" s="75" customFormat="1" ht="14.55" customHeight="1" x14ac:dyDescent="0.25">
      <c r="A810" s="272" t="s">
        <v>8816</v>
      </c>
      <c r="B810" s="272" t="s">
        <v>10591</v>
      </c>
      <c r="C810" s="272" t="s">
        <v>9829</v>
      </c>
      <c r="D810" s="259" t="s">
        <v>9830</v>
      </c>
      <c r="E810" s="265" t="s">
        <v>10655</v>
      </c>
      <c r="F810" s="272" t="s">
        <v>9198</v>
      </c>
      <c r="G810" s="272" t="s">
        <v>9197</v>
      </c>
      <c r="H810" s="265" t="s">
        <v>10875</v>
      </c>
      <c r="I810" s="290" t="s">
        <v>10876</v>
      </c>
      <c r="J810" s="265" t="s">
        <v>10655</v>
      </c>
      <c r="K810" s="265" t="s">
        <v>10655</v>
      </c>
    </row>
    <row r="811" spans="1:11" s="75" customFormat="1" ht="14.55" customHeight="1" x14ac:dyDescent="0.25">
      <c r="A811" s="272" t="s">
        <v>8816</v>
      </c>
      <c r="B811" s="272" t="s">
        <v>10591</v>
      </c>
      <c r="C811" s="272" t="s">
        <v>9829</v>
      </c>
      <c r="D811" s="259" t="s">
        <v>9830</v>
      </c>
      <c r="E811" s="265" t="s">
        <v>10655</v>
      </c>
      <c r="F811" s="272" t="s">
        <v>9198</v>
      </c>
      <c r="G811" s="272" t="s">
        <v>9197</v>
      </c>
      <c r="H811" s="265" t="s">
        <v>10871</v>
      </c>
      <c r="I811" s="290" t="s">
        <v>10872</v>
      </c>
      <c r="J811" s="265" t="s">
        <v>10655</v>
      </c>
      <c r="K811" s="265" t="s">
        <v>10655</v>
      </c>
    </row>
    <row r="812" spans="1:11" s="75" customFormat="1" ht="14.55" customHeight="1" x14ac:dyDescent="0.25">
      <c r="A812" s="272" t="s">
        <v>8816</v>
      </c>
      <c r="B812" s="272" t="s">
        <v>10591</v>
      </c>
      <c r="C812" s="272" t="s">
        <v>9829</v>
      </c>
      <c r="D812" s="259" t="s">
        <v>9830</v>
      </c>
      <c r="E812" s="265" t="s">
        <v>10655</v>
      </c>
      <c r="F812" s="272" t="s">
        <v>9198</v>
      </c>
      <c r="G812" s="272" t="s">
        <v>9197</v>
      </c>
      <c r="H812" s="265" t="s">
        <v>10879</v>
      </c>
      <c r="I812" s="290" t="s">
        <v>10880</v>
      </c>
      <c r="J812" s="265" t="s">
        <v>10655</v>
      </c>
      <c r="K812" s="265" t="s">
        <v>10655</v>
      </c>
    </row>
    <row r="813" spans="1:11" s="75" customFormat="1" ht="14.55" customHeight="1" x14ac:dyDescent="0.25">
      <c r="A813" s="286" t="s">
        <v>8816</v>
      </c>
      <c r="B813" s="272" t="s">
        <v>10591</v>
      </c>
      <c r="C813" s="272" t="s">
        <v>9829</v>
      </c>
      <c r="D813" s="259" t="s">
        <v>9830</v>
      </c>
      <c r="E813" s="265" t="s">
        <v>10655</v>
      </c>
      <c r="F813" s="272" t="s">
        <v>9198</v>
      </c>
      <c r="G813" s="272" t="s">
        <v>9197</v>
      </c>
      <c r="H813" s="265" t="s">
        <v>10881</v>
      </c>
      <c r="I813" s="291" t="s">
        <v>10882</v>
      </c>
      <c r="J813" s="265" t="s">
        <v>10655</v>
      </c>
      <c r="K813" s="265" t="s">
        <v>10655</v>
      </c>
    </row>
    <row r="814" spans="1:11" s="75" customFormat="1" ht="14.55" customHeight="1" x14ac:dyDescent="0.25">
      <c r="A814" s="286" t="s">
        <v>8816</v>
      </c>
      <c r="B814" s="272" t="s">
        <v>10591</v>
      </c>
      <c r="C814" s="272" t="s">
        <v>9829</v>
      </c>
      <c r="D814" s="259" t="s">
        <v>9830</v>
      </c>
      <c r="E814" s="265" t="s">
        <v>10655</v>
      </c>
      <c r="F814" s="272" t="s">
        <v>9198</v>
      </c>
      <c r="G814" s="272" t="s">
        <v>9197</v>
      </c>
      <c r="H814" s="265" t="s">
        <v>10883</v>
      </c>
      <c r="I814" s="292" t="s">
        <v>10884</v>
      </c>
      <c r="J814" s="265" t="s">
        <v>10655</v>
      </c>
      <c r="K814" s="265" t="s">
        <v>10655</v>
      </c>
    </row>
    <row r="815" spans="1:11" s="75" customFormat="1" ht="14.55" customHeight="1" x14ac:dyDescent="0.25">
      <c r="A815" s="272" t="s">
        <v>8816</v>
      </c>
      <c r="B815" s="272" t="s">
        <v>10591</v>
      </c>
      <c r="C815" s="272" t="s">
        <v>9829</v>
      </c>
      <c r="D815" s="259" t="s">
        <v>9830</v>
      </c>
      <c r="E815" s="265" t="s">
        <v>10655</v>
      </c>
      <c r="F815" s="272" t="s">
        <v>9198</v>
      </c>
      <c r="G815" s="272" t="s">
        <v>9197</v>
      </c>
      <c r="H815" s="265" t="s">
        <v>10903</v>
      </c>
      <c r="I815" s="290" t="s">
        <v>10904</v>
      </c>
      <c r="J815" s="265" t="s">
        <v>10655</v>
      </c>
      <c r="K815" s="265" t="s">
        <v>10655</v>
      </c>
    </row>
    <row r="816" spans="1:11" s="75" customFormat="1" ht="14.55" customHeight="1" x14ac:dyDescent="0.25">
      <c r="A816" s="272" t="s">
        <v>8816</v>
      </c>
      <c r="B816" s="272" t="s">
        <v>10591</v>
      </c>
      <c r="C816" s="272" t="s">
        <v>9831</v>
      </c>
      <c r="D816" s="259" t="s">
        <v>9832</v>
      </c>
      <c r="E816" s="265" t="s">
        <v>10655</v>
      </c>
      <c r="F816" s="272" t="s">
        <v>9198</v>
      </c>
      <c r="G816" s="272" t="s">
        <v>9197</v>
      </c>
      <c r="H816" s="265" t="s">
        <v>10906</v>
      </c>
      <c r="I816" s="290" t="s">
        <v>10907</v>
      </c>
      <c r="J816" s="265" t="s">
        <v>10655</v>
      </c>
      <c r="K816" s="265" t="s">
        <v>10655</v>
      </c>
    </row>
    <row r="817" spans="1:11" s="75" customFormat="1" ht="14.55" customHeight="1" x14ac:dyDescent="0.25">
      <c r="A817" s="272" t="s">
        <v>8816</v>
      </c>
      <c r="B817" s="272" t="s">
        <v>10591</v>
      </c>
      <c r="C817" s="272" t="s">
        <v>9831</v>
      </c>
      <c r="D817" s="259" t="s">
        <v>9832</v>
      </c>
      <c r="E817" s="265" t="s">
        <v>10655</v>
      </c>
      <c r="F817" s="272" t="s">
        <v>9198</v>
      </c>
      <c r="G817" s="272" t="s">
        <v>9197</v>
      </c>
      <c r="H817" s="265" t="s">
        <v>10879</v>
      </c>
      <c r="I817" s="290" t="s">
        <v>10880</v>
      </c>
      <c r="J817" s="265" t="s">
        <v>10655</v>
      </c>
      <c r="K817" s="265" t="s">
        <v>10655</v>
      </c>
    </row>
    <row r="818" spans="1:11" s="75" customFormat="1" ht="14.55" customHeight="1" x14ac:dyDescent="0.25">
      <c r="A818" s="286" t="s">
        <v>8816</v>
      </c>
      <c r="B818" s="272" t="s">
        <v>10591</v>
      </c>
      <c r="C818" s="272" t="s">
        <v>9831</v>
      </c>
      <c r="D818" s="259" t="s">
        <v>9832</v>
      </c>
      <c r="E818" s="265" t="s">
        <v>10655</v>
      </c>
      <c r="F818" s="272" t="s">
        <v>9198</v>
      </c>
      <c r="G818" s="272" t="s">
        <v>9197</v>
      </c>
      <c r="H818" s="265" t="s">
        <v>10883</v>
      </c>
      <c r="I818" s="292" t="s">
        <v>10884</v>
      </c>
      <c r="J818" s="265" t="s">
        <v>10655</v>
      </c>
      <c r="K818" s="265" t="s">
        <v>10655</v>
      </c>
    </row>
    <row r="819" spans="1:11" s="75" customFormat="1" ht="14.55" customHeight="1" x14ac:dyDescent="0.25">
      <c r="A819" s="272" t="s">
        <v>8816</v>
      </c>
      <c r="B819" s="272" t="s">
        <v>10591</v>
      </c>
      <c r="C819" s="272" t="s">
        <v>9831</v>
      </c>
      <c r="D819" s="259" t="s">
        <v>9832</v>
      </c>
      <c r="E819" s="265" t="s">
        <v>10655</v>
      </c>
      <c r="F819" s="272" t="s">
        <v>9198</v>
      </c>
      <c r="G819" s="272" t="s">
        <v>9197</v>
      </c>
      <c r="H819" s="265" t="s">
        <v>10908</v>
      </c>
      <c r="I819" s="290" t="s">
        <v>10909</v>
      </c>
      <c r="J819" s="265" t="s">
        <v>10655</v>
      </c>
      <c r="K819" s="265" t="s">
        <v>10655</v>
      </c>
    </row>
    <row r="820" spans="1:11" s="75" customFormat="1" ht="14.55" customHeight="1" x14ac:dyDescent="0.25">
      <c r="A820" s="272" t="s">
        <v>8816</v>
      </c>
      <c r="B820" s="272" t="s">
        <v>10591</v>
      </c>
      <c r="C820" s="272" t="s">
        <v>9833</v>
      </c>
      <c r="D820" s="259" t="s">
        <v>9834</v>
      </c>
      <c r="E820" s="265" t="s">
        <v>10655</v>
      </c>
      <c r="F820" s="272" t="s">
        <v>9198</v>
      </c>
      <c r="G820" s="272" t="s">
        <v>9197</v>
      </c>
      <c r="H820" s="265" t="s">
        <v>10891</v>
      </c>
      <c r="I820" s="290" t="s">
        <v>10892</v>
      </c>
      <c r="J820" s="265" t="s">
        <v>10655</v>
      </c>
      <c r="K820" s="265" t="s">
        <v>10655</v>
      </c>
    </row>
    <row r="821" spans="1:11" s="75" customFormat="1" ht="14.55" customHeight="1" x14ac:dyDescent="0.25">
      <c r="A821" s="272" t="s">
        <v>8816</v>
      </c>
      <c r="B821" s="272" t="s">
        <v>10591</v>
      </c>
      <c r="C821" s="272" t="s">
        <v>9833</v>
      </c>
      <c r="D821" s="259" t="s">
        <v>9834</v>
      </c>
      <c r="E821" s="265" t="s">
        <v>10655</v>
      </c>
      <c r="F821" s="272" t="s">
        <v>9198</v>
      </c>
      <c r="G821" s="272" t="s">
        <v>9197</v>
      </c>
      <c r="H821" s="265" t="s">
        <v>10871</v>
      </c>
      <c r="I821" s="290" t="s">
        <v>10872</v>
      </c>
      <c r="J821" s="265" t="s">
        <v>10655</v>
      </c>
      <c r="K821" s="265" t="s">
        <v>10655</v>
      </c>
    </row>
    <row r="822" spans="1:11" s="75" customFormat="1" ht="14.55" customHeight="1" x14ac:dyDescent="0.25">
      <c r="A822" s="272" t="s">
        <v>8816</v>
      </c>
      <c r="B822" s="272" t="s">
        <v>10591</v>
      </c>
      <c r="C822" s="272" t="s">
        <v>9833</v>
      </c>
      <c r="D822" s="259" t="s">
        <v>9834</v>
      </c>
      <c r="E822" s="265" t="s">
        <v>10655</v>
      </c>
      <c r="F822" s="272" t="s">
        <v>9198</v>
      </c>
      <c r="G822" s="272" t="s">
        <v>9197</v>
      </c>
      <c r="H822" s="265" t="s">
        <v>10873</v>
      </c>
      <c r="I822" s="290" t="s">
        <v>10874</v>
      </c>
      <c r="J822" s="265" t="s">
        <v>10655</v>
      </c>
      <c r="K822" s="265" t="s">
        <v>10655</v>
      </c>
    </row>
    <row r="823" spans="1:11" s="75" customFormat="1" ht="14.55" customHeight="1" x14ac:dyDescent="0.25">
      <c r="A823" s="272" t="s">
        <v>8816</v>
      </c>
      <c r="B823" s="272" t="s">
        <v>10591</v>
      </c>
      <c r="C823" s="272" t="s">
        <v>9835</v>
      </c>
      <c r="D823" s="259" t="s">
        <v>9836</v>
      </c>
      <c r="E823" s="265" t="s">
        <v>10655</v>
      </c>
      <c r="F823" s="272" t="s">
        <v>9198</v>
      </c>
      <c r="G823" s="272" t="s">
        <v>9197</v>
      </c>
      <c r="H823" s="265" t="s">
        <v>10871</v>
      </c>
      <c r="I823" s="290" t="s">
        <v>10872</v>
      </c>
      <c r="J823" s="265" t="s">
        <v>10655</v>
      </c>
      <c r="K823" s="265" t="s">
        <v>10655</v>
      </c>
    </row>
    <row r="824" spans="1:11" s="75" customFormat="1" ht="14.55" customHeight="1" x14ac:dyDescent="0.25">
      <c r="A824" s="272" t="s">
        <v>8816</v>
      </c>
      <c r="B824" s="272" t="s">
        <v>10591</v>
      </c>
      <c r="C824" s="272" t="s">
        <v>9835</v>
      </c>
      <c r="D824" s="259" t="s">
        <v>9836</v>
      </c>
      <c r="E824" s="265" t="s">
        <v>10655</v>
      </c>
      <c r="F824" s="272" t="s">
        <v>9198</v>
      </c>
      <c r="G824" s="272" t="s">
        <v>9197</v>
      </c>
      <c r="H824" s="265" t="s">
        <v>10873</v>
      </c>
      <c r="I824" s="290" t="s">
        <v>10874</v>
      </c>
      <c r="J824" s="265" t="s">
        <v>10655</v>
      </c>
      <c r="K824" s="265" t="s">
        <v>10655</v>
      </c>
    </row>
    <row r="825" spans="1:11" s="75" customFormat="1" ht="14.55" customHeight="1" x14ac:dyDescent="0.25">
      <c r="A825" s="272" t="s">
        <v>8816</v>
      </c>
      <c r="B825" s="272" t="s">
        <v>10591</v>
      </c>
      <c r="C825" s="272" t="s">
        <v>9837</v>
      </c>
      <c r="D825" s="259" t="s">
        <v>9838</v>
      </c>
      <c r="E825" s="265" t="s">
        <v>10655</v>
      </c>
      <c r="F825" s="272" t="s">
        <v>9198</v>
      </c>
      <c r="G825" s="272" t="s">
        <v>9197</v>
      </c>
      <c r="H825" s="265" t="s">
        <v>10879</v>
      </c>
      <c r="I825" s="290" t="s">
        <v>10880</v>
      </c>
      <c r="J825" s="265" t="s">
        <v>10655</v>
      </c>
      <c r="K825" s="265" t="s">
        <v>10655</v>
      </c>
    </row>
    <row r="826" spans="1:11" s="75" customFormat="1" ht="14.55" customHeight="1" x14ac:dyDescent="0.25">
      <c r="A826" s="286" t="s">
        <v>8816</v>
      </c>
      <c r="B826" s="272" t="s">
        <v>10591</v>
      </c>
      <c r="C826" s="272" t="s">
        <v>9837</v>
      </c>
      <c r="D826" s="259" t="s">
        <v>9838</v>
      </c>
      <c r="E826" s="265" t="s">
        <v>10655</v>
      </c>
      <c r="F826" s="272" t="s">
        <v>9198</v>
      </c>
      <c r="G826" s="272" t="s">
        <v>9197</v>
      </c>
      <c r="H826" s="265" t="s">
        <v>10881</v>
      </c>
      <c r="I826" s="291" t="s">
        <v>10882</v>
      </c>
      <c r="J826" s="265" t="s">
        <v>10655</v>
      </c>
      <c r="K826" s="265" t="s">
        <v>10655</v>
      </c>
    </row>
    <row r="827" spans="1:11" s="75" customFormat="1" ht="14.55" customHeight="1" x14ac:dyDescent="0.25">
      <c r="A827" s="272" t="s">
        <v>8816</v>
      </c>
      <c r="B827" s="272" t="s">
        <v>10591</v>
      </c>
      <c r="C827" s="272" t="s">
        <v>9839</v>
      </c>
      <c r="D827" s="259" t="s">
        <v>9840</v>
      </c>
      <c r="E827" s="265" t="s">
        <v>10655</v>
      </c>
      <c r="F827" s="272" t="s">
        <v>9198</v>
      </c>
      <c r="G827" s="272" t="s">
        <v>9198</v>
      </c>
      <c r="H827" s="265" t="s">
        <v>10879</v>
      </c>
      <c r="I827" s="290" t="s">
        <v>10880</v>
      </c>
      <c r="J827" s="265" t="s">
        <v>10655</v>
      </c>
      <c r="K827" s="265" t="s">
        <v>10655</v>
      </c>
    </row>
    <row r="828" spans="1:11" s="75" customFormat="1" ht="14.55" customHeight="1" x14ac:dyDescent="0.25">
      <c r="A828" s="286" t="s">
        <v>8816</v>
      </c>
      <c r="B828" s="272" t="s">
        <v>10591</v>
      </c>
      <c r="C828" s="272" t="s">
        <v>9839</v>
      </c>
      <c r="D828" s="259" t="s">
        <v>9840</v>
      </c>
      <c r="E828" s="265" t="s">
        <v>10655</v>
      </c>
      <c r="F828" s="272" t="s">
        <v>9198</v>
      </c>
      <c r="G828" s="272" t="s">
        <v>9198</v>
      </c>
      <c r="H828" s="265" t="s">
        <v>10881</v>
      </c>
      <c r="I828" s="291" t="s">
        <v>10882</v>
      </c>
      <c r="J828" s="265" t="s">
        <v>10655</v>
      </c>
      <c r="K828" s="265" t="s">
        <v>10655</v>
      </c>
    </row>
    <row r="829" spans="1:11" s="75" customFormat="1" ht="14.55" customHeight="1" x14ac:dyDescent="0.25">
      <c r="A829" s="272" t="s">
        <v>8816</v>
      </c>
      <c r="B829" s="272" t="s">
        <v>10591</v>
      </c>
      <c r="C829" s="272" t="s">
        <v>9841</v>
      </c>
      <c r="D829" s="259" t="s">
        <v>9842</v>
      </c>
      <c r="E829" s="265" t="s">
        <v>10655</v>
      </c>
      <c r="F829" s="272" t="s">
        <v>9198</v>
      </c>
      <c r="G829" s="272" t="s">
        <v>9197</v>
      </c>
      <c r="H829" s="265" t="s">
        <v>10871</v>
      </c>
      <c r="I829" s="290" t="s">
        <v>10872</v>
      </c>
      <c r="J829" s="265" t="s">
        <v>10655</v>
      </c>
      <c r="K829" s="265" t="s">
        <v>10655</v>
      </c>
    </row>
    <row r="830" spans="1:11" s="75" customFormat="1" ht="14.55" customHeight="1" x14ac:dyDescent="0.25">
      <c r="A830" s="272" t="s">
        <v>8816</v>
      </c>
      <c r="B830" s="272" t="s">
        <v>10591</v>
      </c>
      <c r="C830" s="272" t="s">
        <v>9841</v>
      </c>
      <c r="D830" s="259" t="s">
        <v>9842</v>
      </c>
      <c r="E830" s="265" t="s">
        <v>10655</v>
      </c>
      <c r="F830" s="272" t="s">
        <v>9198</v>
      </c>
      <c r="G830" s="272" t="s">
        <v>9197</v>
      </c>
      <c r="H830" s="265" t="s">
        <v>10873</v>
      </c>
      <c r="I830" s="290" t="s">
        <v>10874</v>
      </c>
      <c r="J830" s="265" t="s">
        <v>10655</v>
      </c>
      <c r="K830" s="265" t="s">
        <v>10655</v>
      </c>
    </row>
    <row r="831" spans="1:11" s="75" customFormat="1" ht="14.55" customHeight="1" x14ac:dyDescent="0.25">
      <c r="A831" s="272" t="s">
        <v>8816</v>
      </c>
      <c r="B831" s="272" t="s">
        <v>10591</v>
      </c>
      <c r="C831" s="272" t="s">
        <v>9843</v>
      </c>
      <c r="D831" s="259" t="s">
        <v>9844</v>
      </c>
      <c r="E831" s="265" t="s">
        <v>10655</v>
      </c>
      <c r="F831" s="272" t="s">
        <v>9198</v>
      </c>
      <c r="G831" s="272" t="s">
        <v>9197</v>
      </c>
      <c r="H831" s="265" t="s">
        <v>10906</v>
      </c>
      <c r="I831" s="290" t="s">
        <v>10907</v>
      </c>
      <c r="J831" s="265" t="s">
        <v>10655</v>
      </c>
      <c r="K831" s="265" t="s">
        <v>10655</v>
      </c>
    </row>
    <row r="832" spans="1:11" s="75" customFormat="1" ht="14.55" customHeight="1" x14ac:dyDescent="0.25">
      <c r="A832" s="272" t="s">
        <v>8816</v>
      </c>
      <c r="B832" s="272" t="s">
        <v>10591</v>
      </c>
      <c r="C832" s="272" t="s">
        <v>9843</v>
      </c>
      <c r="D832" s="259" t="s">
        <v>9844</v>
      </c>
      <c r="E832" s="265" t="s">
        <v>10655</v>
      </c>
      <c r="F832" s="272" t="s">
        <v>9198</v>
      </c>
      <c r="G832" s="272" t="s">
        <v>9197</v>
      </c>
      <c r="H832" s="265" t="s">
        <v>10879</v>
      </c>
      <c r="I832" s="290" t="s">
        <v>10880</v>
      </c>
      <c r="J832" s="265" t="s">
        <v>10655</v>
      </c>
      <c r="K832" s="265" t="s">
        <v>10655</v>
      </c>
    </row>
    <row r="833" spans="1:11" s="75" customFormat="1" ht="14.55" customHeight="1" x14ac:dyDescent="0.25">
      <c r="A833" s="286" t="s">
        <v>8816</v>
      </c>
      <c r="B833" s="272" t="s">
        <v>10591</v>
      </c>
      <c r="C833" s="272" t="s">
        <v>9843</v>
      </c>
      <c r="D833" s="259" t="s">
        <v>9844</v>
      </c>
      <c r="E833" s="265" t="s">
        <v>10655</v>
      </c>
      <c r="F833" s="272" t="s">
        <v>9198</v>
      </c>
      <c r="G833" s="272" t="s">
        <v>9197</v>
      </c>
      <c r="H833" s="265" t="s">
        <v>10881</v>
      </c>
      <c r="I833" s="291" t="s">
        <v>10882</v>
      </c>
      <c r="J833" s="265" t="s">
        <v>10655</v>
      </c>
      <c r="K833" s="265" t="s">
        <v>10655</v>
      </c>
    </row>
    <row r="834" spans="1:11" s="75" customFormat="1" ht="14.55" customHeight="1" x14ac:dyDescent="0.25">
      <c r="A834" s="272" t="s">
        <v>8816</v>
      </c>
      <c r="B834" s="272" t="s">
        <v>10591</v>
      </c>
      <c r="C834" s="272" t="s">
        <v>9843</v>
      </c>
      <c r="D834" s="259" t="s">
        <v>9844</v>
      </c>
      <c r="E834" s="265" t="s">
        <v>10655</v>
      </c>
      <c r="F834" s="272" t="s">
        <v>9198</v>
      </c>
      <c r="G834" s="272" t="s">
        <v>9197</v>
      </c>
      <c r="H834" s="265" t="s">
        <v>10908</v>
      </c>
      <c r="I834" s="290" t="s">
        <v>10909</v>
      </c>
      <c r="J834" s="265" t="s">
        <v>10655</v>
      </c>
      <c r="K834" s="265" t="s">
        <v>10655</v>
      </c>
    </row>
    <row r="835" spans="1:11" s="75" customFormat="1" ht="14.55" customHeight="1" x14ac:dyDescent="0.25">
      <c r="A835" s="272" t="s">
        <v>8816</v>
      </c>
      <c r="B835" s="272" t="s">
        <v>10591</v>
      </c>
      <c r="C835" s="272" t="s">
        <v>9845</v>
      </c>
      <c r="D835" s="259" t="s">
        <v>9846</v>
      </c>
      <c r="E835" s="265" t="s">
        <v>10655</v>
      </c>
      <c r="F835" s="272" t="s">
        <v>9198</v>
      </c>
      <c r="G835" s="272" t="s">
        <v>9197</v>
      </c>
      <c r="H835" s="265" t="s">
        <v>10873</v>
      </c>
      <c r="I835" s="290" t="s">
        <v>10874</v>
      </c>
      <c r="J835" s="265" t="s">
        <v>10655</v>
      </c>
      <c r="K835" s="265" t="s">
        <v>10655</v>
      </c>
    </row>
    <row r="836" spans="1:11" s="75" customFormat="1" ht="14.55" customHeight="1" x14ac:dyDescent="0.25">
      <c r="A836" s="272" t="s">
        <v>8816</v>
      </c>
      <c r="B836" s="272" t="s">
        <v>10591</v>
      </c>
      <c r="C836" s="272" t="s">
        <v>9847</v>
      </c>
      <c r="D836" s="259" t="s">
        <v>9848</v>
      </c>
      <c r="E836" s="265" t="s">
        <v>10655</v>
      </c>
      <c r="F836" s="272" t="s">
        <v>9198</v>
      </c>
      <c r="G836" s="272" t="s">
        <v>9197</v>
      </c>
      <c r="H836" s="265" t="s">
        <v>10873</v>
      </c>
      <c r="I836" s="290" t="s">
        <v>10874</v>
      </c>
      <c r="J836" s="265" t="s">
        <v>10655</v>
      </c>
      <c r="K836" s="265" t="s">
        <v>10655</v>
      </c>
    </row>
    <row r="837" spans="1:11" s="75" customFormat="1" ht="14.55" customHeight="1" x14ac:dyDescent="0.25">
      <c r="A837" s="272" t="s">
        <v>8816</v>
      </c>
      <c r="B837" s="272" t="s">
        <v>10591</v>
      </c>
      <c r="C837" s="272" t="s">
        <v>9849</v>
      </c>
      <c r="D837" s="259" t="s">
        <v>9850</v>
      </c>
      <c r="E837" s="265" t="s">
        <v>10655</v>
      </c>
      <c r="F837" s="272" t="s">
        <v>9198</v>
      </c>
      <c r="G837" s="272" t="s">
        <v>9197</v>
      </c>
      <c r="H837" s="265" t="s">
        <v>10875</v>
      </c>
      <c r="I837" s="290" t="s">
        <v>10876</v>
      </c>
      <c r="J837" s="265" t="s">
        <v>10655</v>
      </c>
      <c r="K837" s="265" t="s">
        <v>10655</v>
      </c>
    </row>
    <row r="838" spans="1:11" s="75" customFormat="1" ht="14.55" customHeight="1" x14ac:dyDescent="0.25">
      <c r="A838" s="272" t="s">
        <v>8816</v>
      </c>
      <c r="B838" s="272" t="s">
        <v>10591</v>
      </c>
      <c r="C838" s="272" t="s">
        <v>9849</v>
      </c>
      <c r="D838" s="259" t="s">
        <v>9850</v>
      </c>
      <c r="E838" s="265" t="s">
        <v>10655</v>
      </c>
      <c r="F838" s="272" t="s">
        <v>9198</v>
      </c>
      <c r="G838" s="272" t="s">
        <v>9197</v>
      </c>
      <c r="H838" s="265" t="s">
        <v>10871</v>
      </c>
      <c r="I838" s="290" t="s">
        <v>10872</v>
      </c>
      <c r="J838" s="265" t="s">
        <v>10655</v>
      </c>
      <c r="K838" s="265" t="s">
        <v>10655</v>
      </c>
    </row>
    <row r="839" spans="1:11" s="75" customFormat="1" ht="14.55" customHeight="1" x14ac:dyDescent="0.25">
      <c r="A839" s="272" t="s">
        <v>8816</v>
      </c>
      <c r="B839" s="272" t="s">
        <v>10591</v>
      </c>
      <c r="C839" s="272" t="s">
        <v>9849</v>
      </c>
      <c r="D839" s="259" t="s">
        <v>9850</v>
      </c>
      <c r="E839" s="265" t="s">
        <v>10655</v>
      </c>
      <c r="F839" s="272" t="s">
        <v>9198</v>
      </c>
      <c r="G839" s="272" t="s">
        <v>9197</v>
      </c>
      <c r="H839" s="265" t="s">
        <v>10877</v>
      </c>
      <c r="I839" s="290" t="s">
        <v>10878</v>
      </c>
      <c r="J839" s="265" t="s">
        <v>10655</v>
      </c>
      <c r="K839" s="265" t="s">
        <v>10655</v>
      </c>
    </row>
    <row r="840" spans="1:11" s="75" customFormat="1" ht="14.55" customHeight="1" x14ac:dyDescent="0.25">
      <c r="A840" s="272" t="s">
        <v>8816</v>
      </c>
      <c r="B840" s="272" t="s">
        <v>10591</v>
      </c>
      <c r="C840" s="272" t="s">
        <v>9849</v>
      </c>
      <c r="D840" s="259" t="s">
        <v>9850</v>
      </c>
      <c r="E840" s="265" t="s">
        <v>10655</v>
      </c>
      <c r="F840" s="272" t="s">
        <v>9198</v>
      </c>
      <c r="G840" s="272" t="s">
        <v>9197</v>
      </c>
      <c r="H840" s="265" t="s">
        <v>10879</v>
      </c>
      <c r="I840" s="290" t="s">
        <v>10880</v>
      </c>
      <c r="J840" s="265" t="s">
        <v>10655</v>
      </c>
      <c r="K840" s="265" t="s">
        <v>10655</v>
      </c>
    </row>
    <row r="841" spans="1:11" s="75" customFormat="1" ht="14.55" customHeight="1" x14ac:dyDescent="0.25">
      <c r="A841" s="272" t="s">
        <v>8816</v>
      </c>
      <c r="B841" s="272" t="s">
        <v>10591</v>
      </c>
      <c r="C841" s="272" t="s">
        <v>9849</v>
      </c>
      <c r="D841" s="259" t="s">
        <v>9850</v>
      </c>
      <c r="E841" s="265" t="s">
        <v>10655</v>
      </c>
      <c r="F841" s="272" t="s">
        <v>9198</v>
      </c>
      <c r="G841" s="272" t="s">
        <v>9197</v>
      </c>
      <c r="H841" s="265" t="s">
        <v>10903</v>
      </c>
      <c r="I841" s="290" t="s">
        <v>10904</v>
      </c>
      <c r="J841" s="265" t="s">
        <v>10655</v>
      </c>
      <c r="K841" s="265" t="s">
        <v>10655</v>
      </c>
    </row>
    <row r="842" spans="1:11" s="75" customFormat="1" ht="14.55" customHeight="1" x14ac:dyDescent="0.25">
      <c r="A842" s="272" t="s">
        <v>8816</v>
      </c>
      <c r="B842" s="272" t="s">
        <v>10591</v>
      </c>
      <c r="C842" s="272" t="s">
        <v>9851</v>
      </c>
      <c r="D842" s="259" t="s">
        <v>9852</v>
      </c>
      <c r="E842" s="265" t="s">
        <v>10655</v>
      </c>
      <c r="F842" s="272" t="s">
        <v>9198</v>
      </c>
      <c r="G842" s="272" t="s">
        <v>9197</v>
      </c>
      <c r="H842" s="265" t="s">
        <v>10875</v>
      </c>
      <c r="I842" s="290" t="s">
        <v>10876</v>
      </c>
      <c r="J842" s="265" t="s">
        <v>10655</v>
      </c>
      <c r="K842" s="265" t="s">
        <v>10655</v>
      </c>
    </row>
    <row r="843" spans="1:11" s="75" customFormat="1" ht="14.55" customHeight="1" x14ac:dyDescent="0.25">
      <c r="A843" s="272" t="s">
        <v>8816</v>
      </c>
      <c r="B843" s="272" t="s">
        <v>10591</v>
      </c>
      <c r="C843" s="272" t="s">
        <v>9851</v>
      </c>
      <c r="D843" s="259" t="s">
        <v>9852</v>
      </c>
      <c r="E843" s="265" t="s">
        <v>10655</v>
      </c>
      <c r="F843" s="272" t="s">
        <v>9198</v>
      </c>
      <c r="G843" s="272" t="s">
        <v>9197</v>
      </c>
      <c r="H843" s="265" t="s">
        <v>10871</v>
      </c>
      <c r="I843" s="290" t="s">
        <v>10872</v>
      </c>
      <c r="J843" s="265" t="s">
        <v>10655</v>
      </c>
      <c r="K843" s="265" t="s">
        <v>10655</v>
      </c>
    </row>
    <row r="844" spans="1:11" s="75" customFormat="1" ht="14.55" customHeight="1" x14ac:dyDescent="0.25">
      <c r="A844" s="272" t="s">
        <v>8816</v>
      </c>
      <c r="B844" s="272" t="s">
        <v>10591</v>
      </c>
      <c r="C844" s="272" t="s">
        <v>9851</v>
      </c>
      <c r="D844" s="259" t="s">
        <v>9852</v>
      </c>
      <c r="E844" s="265" t="s">
        <v>10655</v>
      </c>
      <c r="F844" s="272" t="s">
        <v>9198</v>
      </c>
      <c r="G844" s="272" t="s">
        <v>9197</v>
      </c>
      <c r="H844" s="265" t="s">
        <v>10877</v>
      </c>
      <c r="I844" s="290" t="s">
        <v>10878</v>
      </c>
      <c r="J844" s="265" t="s">
        <v>10655</v>
      </c>
      <c r="K844" s="265" t="s">
        <v>10655</v>
      </c>
    </row>
    <row r="845" spans="1:11" s="75" customFormat="1" ht="14.55" customHeight="1" x14ac:dyDescent="0.25">
      <c r="A845" s="272" t="s">
        <v>8816</v>
      </c>
      <c r="B845" s="272" t="s">
        <v>10591</v>
      </c>
      <c r="C845" s="272" t="s">
        <v>9851</v>
      </c>
      <c r="D845" s="259" t="s">
        <v>9852</v>
      </c>
      <c r="E845" s="265" t="s">
        <v>10655</v>
      </c>
      <c r="F845" s="272" t="s">
        <v>9198</v>
      </c>
      <c r="G845" s="272" t="s">
        <v>9197</v>
      </c>
      <c r="H845" s="265" t="s">
        <v>10879</v>
      </c>
      <c r="I845" s="290" t="s">
        <v>10880</v>
      </c>
      <c r="J845" s="265" t="s">
        <v>10655</v>
      </c>
      <c r="K845" s="265" t="s">
        <v>10655</v>
      </c>
    </row>
    <row r="846" spans="1:11" s="75" customFormat="1" ht="14.55" customHeight="1" x14ac:dyDescent="0.25">
      <c r="A846" s="272" t="s">
        <v>8816</v>
      </c>
      <c r="B846" s="272" t="s">
        <v>10591</v>
      </c>
      <c r="C846" s="272" t="s">
        <v>9851</v>
      </c>
      <c r="D846" s="259" t="s">
        <v>9852</v>
      </c>
      <c r="E846" s="265" t="s">
        <v>10655</v>
      </c>
      <c r="F846" s="272" t="s">
        <v>9198</v>
      </c>
      <c r="G846" s="272" t="s">
        <v>9197</v>
      </c>
      <c r="H846" s="265" t="s">
        <v>10903</v>
      </c>
      <c r="I846" s="290" t="s">
        <v>10904</v>
      </c>
      <c r="J846" s="265" t="s">
        <v>10655</v>
      </c>
      <c r="K846" s="265" t="s">
        <v>10655</v>
      </c>
    </row>
    <row r="847" spans="1:11" s="75" customFormat="1" ht="14.55" customHeight="1" x14ac:dyDescent="0.25">
      <c r="A847" s="272" t="s">
        <v>8816</v>
      </c>
      <c r="B847" s="272" t="s">
        <v>10591</v>
      </c>
      <c r="C847" s="272" t="s">
        <v>9853</v>
      </c>
      <c r="D847" s="259" t="s">
        <v>9854</v>
      </c>
      <c r="E847" s="265" t="s">
        <v>10655</v>
      </c>
      <c r="F847" s="272" t="s">
        <v>9198</v>
      </c>
      <c r="G847" s="272" t="s">
        <v>9198</v>
      </c>
      <c r="H847" s="265" t="s">
        <v>10875</v>
      </c>
      <c r="I847" s="290" t="s">
        <v>10876</v>
      </c>
      <c r="J847" s="265" t="s">
        <v>10655</v>
      </c>
      <c r="K847" s="265" t="s">
        <v>10655</v>
      </c>
    </row>
    <row r="848" spans="1:11" s="75" customFormat="1" ht="14.55" customHeight="1" x14ac:dyDescent="0.25">
      <c r="A848" s="272" t="s">
        <v>8816</v>
      </c>
      <c r="B848" s="272" t="s">
        <v>10591</v>
      </c>
      <c r="C848" s="272" t="s">
        <v>9853</v>
      </c>
      <c r="D848" s="259" t="s">
        <v>9854</v>
      </c>
      <c r="E848" s="265" t="s">
        <v>10655</v>
      </c>
      <c r="F848" s="272" t="s">
        <v>9198</v>
      </c>
      <c r="G848" s="272" t="s">
        <v>9198</v>
      </c>
      <c r="H848" s="265" t="s">
        <v>10871</v>
      </c>
      <c r="I848" s="290" t="s">
        <v>10872</v>
      </c>
      <c r="J848" s="265" t="s">
        <v>10655</v>
      </c>
      <c r="K848" s="265" t="s">
        <v>10655</v>
      </c>
    </row>
    <row r="849" spans="1:11" s="75" customFormat="1" ht="14.55" customHeight="1" x14ac:dyDescent="0.25">
      <c r="A849" s="272" t="s">
        <v>8816</v>
      </c>
      <c r="B849" s="272" t="s">
        <v>10591</v>
      </c>
      <c r="C849" s="272" t="s">
        <v>9853</v>
      </c>
      <c r="D849" s="259" t="s">
        <v>9854</v>
      </c>
      <c r="E849" s="265" t="s">
        <v>10655</v>
      </c>
      <c r="F849" s="272" t="s">
        <v>9198</v>
      </c>
      <c r="G849" s="272" t="s">
        <v>9198</v>
      </c>
      <c r="H849" s="265" t="s">
        <v>10877</v>
      </c>
      <c r="I849" s="290" t="s">
        <v>10878</v>
      </c>
      <c r="J849" s="265" t="s">
        <v>10655</v>
      </c>
      <c r="K849" s="265" t="s">
        <v>10655</v>
      </c>
    </row>
    <row r="850" spans="1:11" s="75" customFormat="1" ht="14.55" customHeight="1" x14ac:dyDescent="0.25">
      <c r="A850" s="272" t="s">
        <v>8816</v>
      </c>
      <c r="B850" s="272" t="s">
        <v>10591</v>
      </c>
      <c r="C850" s="272" t="s">
        <v>9853</v>
      </c>
      <c r="D850" s="259" t="s">
        <v>9854</v>
      </c>
      <c r="E850" s="265" t="s">
        <v>10655</v>
      </c>
      <c r="F850" s="272" t="s">
        <v>9198</v>
      </c>
      <c r="G850" s="272" t="s">
        <v>9198</v>
      </c>
      <c r="H850" s="265" t="s">
        <v>10879</v>
      </c>
      <c r="I850" s="290" t="s">
        <v>10880</v>
      </c>
      <c r="J850" s="265" t="s">
        <v>10655</v>
      </c>
      <c r="K850" s="265" t="s">
        <v>10655</v>
      </c>
    </row>
    <row r="851" spans="1:11" s="75" customFormat="1" ht="14.55" customHeight="1" x14ac:dyDescent="0.25">
      <c r="A851" s="272" t="s">
        <v>8816</v>
      </c>
      <c r="B851" s="272" t="s">
        <v>10591</v>
      </c>
      <c r="C851" s="272" t="s">
        <v>9853</v>
      </c>
      <c r="D851" s="259" t="s">
        <v>9854</v>
      </c>
      <c r="E851" s="265" t="s">
        <v>10655</v>
      </c>
      <c r="F851" s="272" t="s">
        <v>9198</v>
      </c>
      <c r="G851" s="272" t="s">
        <v>9198</v>
      </c>
      <c r="H851" s="265" t="s">
        <v>10903</v>
      </c>
      <c r="I851" s="290" t="s">
        <v>10904</v>
      </c>
      <c r="J851" s="265" t="s">
        <v>10655</v>
      </c>
      <c r="K851" s="265" t="s">
        <v>10655</v>
      </c>
    </row>
    <row r="852" spans="1:11" s="75" customFormat="1" ht="14.55" customHeight="1" x14ac:dyDescent="0.25">
      <c r="A852" s="272" t="s">
        <v>8816</v>
      </c>
      <c r="B852" s="272" t="s">
        <v>10591</v>
      </c>
      <c r="C852" s="272" t="s">
        <v>9855</v>
      </c>
      <c r="D852" s="259" t="s">
        <v>9856</v>
      </c>
      <c r="E852" s="265" t="s">
        <v>10655</v>
      </c>
      <c r="F852" s="272" t="s">
        <v>9198</v>
      </c>
      <c r="G852" s="272" t="s">
        <v>9197</v>
      </c>
      <c r="H852" s="265" t="s">
        <v>10875</v>
      </c>
      <c r="I852" s="290" t="s">
        <v>10876</v>
      </c>
      <c r="J852" s="265" t="s">
        <v>10655</v>
      </c>
      <c r="K852" s="265" t="s">
        <v>10655</v>
      </c>
    </row>
    <row r="853" spans="1:11" s="75" customFormat="1" ht="14.55" customHeight="1" x14ac:dyDescent="0.25">
      <c r="A853" s="272" t="s">
        <v>8816</v>
      </c>
      <c r="B853" s="272" t="s">
        <v>10591</v>
      </c>
      <c r="C853" s="272" t="s">
        <v>9855</v>
      </c>
      <c r="D853" s="259" t="s">
        <v>9856</v>
      </c>
      <c r="E853" s="265" t="s">
        <v>10655</v>
      </c>
      <c r="F853" s="272" t="s">
        <v>9198</v>
      </c>
      <c r="G853" s="272" t="s">
        <v>9197</v>
      </c>
      <c r="H853" s="265" t="s">
        <v>10906</v>
      </c>
      <c r="I853" s="290" t="s">
        <v>10907</v>
      </c>
      <c r="J853" s="265" t="s">
        <v>10655</v>
      </c>
      <c r="K853" s="265" t="s">
        <v>10655</v>
      </c>
    </row>
    <row r="854" spans="1:11" s="75" customFormat="1" ht="14.55" customHeight="1" x14ac:dyDescent="0.25">
      <c r="A854" s="272" t="s">
        <v>8816</v>
      </c>
      <c r="B854" s="272" t="s">
        <v>10591</v>
      </c>
      <c r="C854" s="272" t="s">
        <v>9855</v>
      </c>
      <c r="D854" s="259" t="s">
        <v>9856</v>
      </c>
      <c r="E854" s="265" t="s">
        <v>10655</v>
      </c>
      <c r="F854" s="272" t="s">
        <v>9198</v>
      </c>
      <c r="G854" s="272" t="s">
        <v>9197</v>
      </c>
      <c r="H854" s="265" t="s">
        <v>10871</v>
      </c>
      <c r="I854" s="290" t="s">
        <v>10872</v>
      </c>
      <c r="J854" s="265" t="s">
        <v>10655</v>
      </c>
      <c r="K854" s="265" t="s">
        <v>10655</v>
      </c>
    </row>
    <row r="855" spans="1:11" s="75" customFormat="1" ht="14.55" customHeight="1" x14ac:dyDescent="0.25">
      <c r="A855" s="272" t="s">
        <v>8816</v>
      </c>
      <c r="B855" s="272" t="s">
        <v>10591</v>
      </c>
      <c r="C855" s="272" t="s">
        <v>9855</v>
      </c>
      <c r="D855" s="259" t="s">
        <v>9856</v>
      </c>
      <c r="E855" s="265" t="s">
        <v>10655</v>
      </c>
      <c r="F855" s="272" t="s">
        <v>9198</v>
      </c>
      <c r="G855" s="272" t="s">
        <v>9197</v>
      </c>
      <c r="H855" s="265" t="s">
        <v>10877</v>
      </c>
      <c r="I855" s="290" t="s">
        <v>10878</v>
      </c>
      <c r="J855" s="265" t="s">
        <v>10655</v>
      </c>
      <c r="K855" s="265" t="s">
        <v>10655</v>
      </c>
    </row>
    <row r="856" spans="1:11" s="75" customFormat="1" ht="14.55" customHeight="1" x14ac:dyDescent="0.25">
      <c r="A856" s="272" t="s">
        <v>8816</v>
      </c>
      <c r="B856" s="272" t="s">
        <v>10591</v>
      </c>
      <c r="C856" s="272" t="s">
        <v>9855</v>
      </c>
      <c r="D856" s="259" t="s">
        <v>9856</v>
      </c>
      <c r="E856" s="265" t="s">
        <v>10655</v>
      </c>
      <c r="F856" s="272" t="s">
        <v>9198</v>
      </c>
      <c r="G856" s="272" t="s">
        <v>9197</v>
      </c>
      <c r="H856" s="265" t="s">
        <v>10903</v>
      </c>
      <c r="I856" s="290" t="s">
        <v>10904</v>
      </c>
      <c r="J856" s="265" t="s">
        <v>10655</v>
      </c>
      <c r="K856" s="265" t="s">
        <v>10655</v>
      </c>
    </row>
    <row r="857" spans="1:11" s="75" customFormat="1" ht="14.55" customHeight="1" x14ac:dyDescent="0.25">
      <c r="A857" s="272" t="s">
        <v>8816</v>
      </c>
      <c r="B857" s="272" t="s">
        <v>10591</v>
      </c>
      <c r="C857" s="272" t="s">
        <v>9855</v>
      </c>
      <c r="D857" s="259" t="s">
        <v>9856</v>
      </c>
      <c r="E857" s="265" t="s">
        <v>10655</v>
      </c>
      <c r="F857" s="272" t="s">
        <v>9198</v>
      </c>
      <c r="G857" s="272" t="s">
        <v>9197</v>
      </c>
      <c r="H857" s="265" t="s">
        <v>10908</v>
      </c>
      <c r="I857" s="290" t="s">
        <v>10909</v>
      </c>
      <c r="J857" s="265" t="s">
        <v>10655</v>
      </c>
      <c r="K857" s="265" t="s">
        <v>10655</v>
      </c>
    </row>
    <row r="858" spans="1:11" s="75" customFormat="1" ht="14.55" customHeight="1" x14ac:dyDescent="0.25">
      <c r="A858" s="272" t="s">
        <v>8816</v>
      </c>
      <c r="B858" s="272" t="s">
        <v>10591</v>
      </c>
      <c r="C858" s="272" t="s">
        <v>9857</v>
      </c>
      <c r="D858" s="259" t="s">
        <v>9858</v>
      </c>
      <c r="E858" s="265" t="s">
        <v>10655</v>
      </c>
      <c r="F858" s="272" t="s">
        <v>9198</v>
      </c>
      <c r="G858" s="272" t="s">
        <v>9197</v>
      </c>
      <c r="H858" s="265" t="s">
        <v>10893</v>
      </c>
      <c r="I858" s="290" t="s">
        <v>10894</v>
      </c>
      <c r="J858" s="265" t="s">
        <v>10655</v>
      </c>
      <c r="K858" s="265" t="s">
        <v>10655</v>
      </c>
    </row>
    <row r="859" spans="1:11" s="75" customFormat="1" ht="14.55" customHeight="1" x14ac:dyDescent="0.25">
      <c r="A859" s="272" t="s">
        <v>8816</v>
      </c>
      <c r="B859" s="272" t="s">
        <v>10591</v>
      </c>
      <c r="C859" s="272" t="s">
        <v>9857</v>
      </c>
      <c r="D859" s="259" t="s">
        <v>9858</v>
      </c>
      <c r="E859" s="265" t="s">
        <v>10655</v>
      </c>
      <c r="F859" s="272" t="s">
        <v>9198</v>
      </c>
      <c r="G859" s="272" t="s">
        <v>9197</v>
      </c>
      <c r="H859" s="265" t="s">
        <v>10871</v>
      </c>
      <c r="I859" s="290" t="s">
        <v>10872</v>
      </c>
      <c r="J859" s="265" t="s">
        <v>10655</v>
      </c>
      <c r="K859" s="265" t="s">
        <v>10655</v>
      </c>
    </row>
    <row r="860" spans="1:11" s="75" customFormat="1" ht="14.55" customHeight="1" x14ac:dyDescent="0.25">
      <c r="A860" s="272" t="s">
        <v>8816</v>
      </c>
      <c r="B860" s="272" t="s">
        <v>10591</v>
      </c>
      <c r="C860" s="272" t="s">
        <v>9857</v>
      </c>
      <c r="D860" s="259" t="s">
        <v>9858</v>
      </c>
      <c r="E860" s="265" t="s">
        <v>10655</v>
      </c>
      <c r="F860" s="272" t="s">
        <v>9198</v>
      </c>
      <c r="G860" s="272" t="s">
        <v>9197</v>
      </c>
      <c r="H860" s="265" t="s">
        <v>10873</v>
      </c>
      <c r="I860" s="290" t="s">
        <v>10874</v>
      </c>
      <c r="J860" s="265" t="s">
        <v>10655</v>
      </c>
      <c r="K860" s="265" t="s">
        <v>10655</v>
      </c>
    </row>
    <row r="861" spans="1:11" s="75" customFormat="1" ht="14.55" customHeight="1" x14ac:dyDescent="0.25">
      <c r="A861" s="272" t="s">
        <v>8816</v>
      </c>
      <c r="B861" s="272" t="s">
        <v>10591</v>
      </c>
      <c r="C861" s="272" t="s">
        <v>9859</v>
      </c>
      <c r="D861" s="259" t="s">
        <v>9860</v>
      </c>
      <c r="E861" s="265" t="s">
        <v>10655</v>
      </c>
      <c r="F861" s="272" t="s">
        <v>9198</v>
      </c>
      <c r="G861" s="272" t="s">
        <v>9197</v>
      </c>
      <c r="H861" s="265" t="s">
        <v>10893</v>
      </c>
      <c r="I861" s="290" t="s">
        <v>10894</v>
      </c>
      <c r="J861" s="265" t="s">
        <v>10655</v>
      </c>
      <c r="K861" s="265" t="s">
        <v>10655</v>
      </c>
    </row>
    <row r="862" spans="1:11" s="75" customFormat="1" ht="14.55" customHeight="1" x14ac:dyDescent="0.25">
      <c r="A862" s="272" t="s">
        <v>8816</v>
      </c>
      <c r="B862" s="272" t="s">
        <v>10591</v>
      </c>
      <c r="C862" s="272" t="s">
        <v>9859</v>
      </c>
      <c r="D862" s="259" t="s">
        <v>9860</v>
      </c>
      <c r="E862" s="265" t="s">
        <v>10655</v>
      </c>
      <c r="F862" s="272" t="s">
        <v>9198</v>
      </c>
      <c r="G862" s="272" t="s">
        <v>9197</v>
      </c>
      <c r="H862" s="265" t="s">
        <v>10871</v>
      </c>
      <c r="I862" s="290" t="s">
        <v>10872</v>
      </c>
      <c r="J862" s="265" t="s">
        <v>10655</v>
      </c>
      <c r="K862" s="265" t="s">
        <v>10655</v>
      </c>
    </row>
    <row r="863" spans="1:11" s="75" customFormat="1" ht="14.55" customHeight="1" x14ac:dyDescent="0.25">
      <c r="A863" s="272" t="s">
        <v>8816</v>
      </c>
      <c r="B863" s="272" t="s">
        <v>10591</v>
      </c>
      <c r="C863" s="272" t="s">
        <v>9859</v>
      </c>
      <c r="D863" s="259" t="s">
        <v>9860</v>
      </c>
      <c r="E863" s="265" t="s">
        <v>10655</v>
      </c>
      <c r="F863" s="272" t="s">
        <v>9198</v>
      </c>
      <c r="G863" s="272" t="s">
        <v>9197</v>
      </c>
      <c r="H863" s="265" t="s">
        <v>10873</v>
      </c>
      <c r="I863" s="290" t="s">
        <v>10874</v>
      </c>
      <c r="J863" s="265" t="s">
        <v>10655</v>
      </c>
      <c r="K863" s="265" t="s">
        <v>10655</v>
      </c>
    </row>
    <row r="864" spans="1:11" s="75" customFormat="1" ht="14.55" customHeight="1" x14ac:dyDescent="0.25">
      <c r="A864" s="272" t="s">
        <v>8816</v>
      </c>
      <c r="B864" s="272" t="s">
        <v>10591</v>
      </c>
      <c r="C864" s="272" t="s">
        <v>9861</v>
      </c>
      <c r="D864" s="259" t="s">
        <v>9862</v>
      </c>
      <c r="E864" s="265" t="s">
        <v>10655</v>
      </c>
      <c r="F864" s="272" t="s">
        <v>9198</v>
      </c>
      <c r="G864" s="272" t="s">
        <v>9197</v>
      </c>
      <c r="H864" s="265" t="s">
        <v>10871</v>
      </c>
      <c r="I864" s="290" t="s">
        <v>10872</v>
      </c>
      <c r="J864" s="265" t="s">
        <v>10655</v>
      </c>
      <c r="K864" s="265" t="s">
        <v>10655</v>
      </c>
    </row>
    <row r="865" spans="1:11" s="75" customFormat="1" ht="14.55" customHeight="1" x14ac:dyDescent="0.25">
      <c r="A865" s="272" t="s">
        <v>8816</v>
      </c>
      <c r="B865" s="272" t="s">
        <v>10591</v>
      </c>
      <c r="C865" s="272" t="s">
        <v>9861</v>
      </c>
      <c r="D865" s="259" t="s">
        <v>9862</v>
      </c>
      <c r="E865" s="265" t="s">
        <v>10655</v>
      </c>
      <c r="F865" s="272" t="s">
        <v>9198</v>
      </c>
      <c r="G865" s="272" t="s">
        <v>9197</v>
      </c>
      <c r="H865" s="265" t="s">
        <v>10877</v>
      </c>
      <c r="I865" s="290" t="s">
        <v>10878</v>
      </c>
      <c r="J865" s="265" t="s">
        <v>10655</v>
      </c>
      <c r="K865" s="265" t="s">
        <v>10655</v>
      </c>
    </row>
    <row r="866" spans="1:11" s="75" customFormat="1" ht="14.55" customHeight="1" x14ac:dyDescent="0.25">
      <c r="A866" s="272" t="s">
        <v>8816</v>
      </c>
      <c r="B866" s="272" t="s">
        <v>10591</v>
      </c>
      <c r="C866" s="272" t="s">
        <v>9861</v>
      </c>
      <c r="D866" s="259" t="s">
        <v>9862</v>
      </c>
      <c r="E866" s="265" t="s">
        <v>10655</v>
      </c>
      <c r="F866" s="272" t="s">
        <v>9198</v>
      </c>
      <c r="G866" s="272" t="s">
        <v>9197</v>
      </c>
      <c r="H866" s="265" t="s">
        <v>10879</v>
      </c>
      <c r="I866" s="290" t="s">
        <v>10880</v>
      </c>
      <c r="J866" s="265" t="s">
        <v>10655</v>
      </c>
      <c r="K866" s="265" t="s">
        <v>10655</v>
      </c>
    </row>
    <row r="867" spans="1:11" s="75" customFormat="1" ht="14.55" customHeight="1" x14ac:dyDescent="0.25">
      <c r="A867" s="272" t="s">
        <v>8816</v>
      </c>
      <c r="B867" s="272" t="s">
        <v>10591</v>
      </c>
      <c r="C867" s="272" t="s">
        <v>9861</v>
      </c>
      <c r="D867" s="259" t="s">
        <v>9862</v>
      </c>
      <c r="E867" s="265" t="s">
        <v>10655</v>
      </c>
      <c r="F867" s="272" t="s">
        <v>9198</v>
      </c>
      <c r="G867" s="272" t="s">
        <v>9197</v>
      </c>
      <c r="H867" s="265" t="s">
        <v>10905</v>
      </c>
      <c r="I867" s="290" t="s">
        <v>10910</v>
      </c>
      <c r="J867" s="265" t="s">
        <v>10655</v>
      </c>
      <c r="K867" s="265" t="s">
        <v>10655</v>
      </c>
    </row>
    <row r="868" spans="1:11" s="75" customFormat="1" ht="14.55" customHeight="1" x14ac:dyDescent="0.25">
      <c r="A868" s="272" t="s">
        <v>8816</v>
      </c>
      <c r="B868" s="272" t="s">
        <v>10591</v>
      </c>
      <c r="C868" s="272" t="s">
        <v>9863</v>
      </c>
      <c r="D868" s="259" t="s">
        <v>9864</v>
      </c>
      <c r="E868" s="265" t="s">
        <v>10655</v>
      </c>
      <c r="F868" s="272" t="s">
        <v>9198</v>
      </c>
      <c r="G868" s="272" t="s">
        <v>9197</v>
      </c>
      <c r="H868" s="265" t="s">
        <v>10871</v>
      </c>
      <c r="I868" s="290" t="s">
        <v>10872</v>
      </c>
      <c r="J868" s="265" t="s">
        <v>10655</v>
      </c>
      <c r="K868" s="265" t="s">
        <v>10655</v>
      </c>
    </row>
    <row r="869" spans="1:11" s="75" customFormat="1" ht="14.55" customHeight="1" x14ac:dyDescent="0.25">
      <c r="A869" s="272" t="s">
        <v>8816</v>
      </c>
      <c r="B869" s="272" t="s">
        <v>10591</v>
      </c>
      <c r="C869" s="272" t="s">
        <v>9863</v>
      </c>
      <c r="D869" s="259" t="s">
        <v>9864</v>
      </c>
      <c r="E869" s="265" t="s">
        <v>10655</v>
      </c>
      <c r="F869" s="272" t="s">
        <v>9198</v>
      </c>
      <c r="G869" s="272" t="s">
        <v>9197</v>
      </c>
      <c r="H869" s="265" t="s">
        <v>10877</v>
      </c>
      <c r="I869" s="290" t="s">
        <v>10878</v>
      </c>
      <c r="J869" s="265" t="s">
        <v>10655</v>
      </c>
      <c r="K869" s="265" t="s">
        <v>10655</v>
      </c>
    </row>
    <row r="870" spans="1:11" s="75" customFormat="1" ht="14.55" customHeight="1" x14ac:dyDescent="0.25">
      <c r="A870" s="272" t="s">
        <v>8816</v>
      </c>
      <c r="B870" s="272" t="s">
        <v>10591</v>
      </c>
      <c r="C870" s="272" t="s">
        <v>9863</v>
      </c>
      <c r="D870" s="259" t="s">
        <v>9864</v>
      </c>
      <c r="E870" s="265" t="s">
        <v>10655</v>
      </c>
      <c r="F870" s="272" t="s">
        <v>9198</v>
      </c>
      <c r="G870" s="272" t="s">
        <v>9197</v>
      </c>
      <c r="H870" s="265" t="s">
        <v>10879</v>
      </c>
      <c r="I870" s="290" t="s">
        <v>10880</v>
      </c>
      <c r="J870" s="265" t="s">
        <v>10655</v>
      </c>
      <c r="K870" s="265" t="s">
        <v>10655</v>
      </c>
    </row>
    <row r="871" spans="1:11" s="75" customFormat="1" ht="14.55" customHeight="1" x14ac:dyDescent="0.25">
      <c r="A871" s="272" t="s">
        <v>8816</v>
      </c>
      <c r="B871" s="272" t="s">
        <v>10591</v>
      </c>
      <c r="C871" s="272" t="s">
        <v>9863</v>
      </c>
      <c r="D871" s="259" t="s">
        <v>9864</v>
      </c>
      <c r="E871" s="265" t="s">
        <v>10655</v>
      </c>
      <c r="F871" s="272" t="s">
        <v>9198</v>
      </c>
      <c r="G871" s="272" t="s">
        <v>9197</v>
      </c>
      <c r="H871" s="265" t="s">
        <v>10905</v>
      </c>
      <c r="I871" s="290" t="s">
        <v>10910</v>
      </c>
      <c r="J871" s="265" t="s">
        <v>10655</v>
      </c>
      <c r="K871" s="265" t="s">
        <v>10655</v>
      </c>
    </row>
    <row r="872" spans="1:11" s="75" customFormat="1" ht="14.55" customHeight="1" x14ac:dyDescent="0.25">
      <c r="A872" s="272" t="s">
        <v>8816</v>
      </c>
      <c r="B872" s="272" t="s">
        <v>10591</v>
      </c>
      <c r="C872" s="272" t="s">
        <v>9865</v>
      </c>
      <c r="D872" s="259" t="s">
        <v>9866</v>
      </c>
      <c r="E872" s="265" t="s">
        <v>10655</v>
      </c>
      <c r="F872" s="272" t="s">
        <v>9198</v>
      </c>
      <c r="G872" s="272" t="s">
        <v>9198</v>
      </c>
      <c r="H872" s="265" t="s">
        <v>10893</v>
      </c>
      <c r="I872" s="290" t="s">
        <v>10894</v>
      </c>
      <c r="J872" s="265" t="s">
        <v>10655</v>
      </c>
      <c r="K872" s="265" t="s">
        <v>10655</v>
      </c>
    </row>
    <row r="873" spans="1:11" s="75" customFormat="1" ht="14.55" customHeight="1" x14ac:dyDescent="0.25">
      <c r="A873" s="272" t="s">
        <v>8816</v>
      </c>
      <c r="B873" s="272" t="s">
        <v>10591</v>
      </c>
      <c r="C873" s="272" t="s">
        <v>9865</v>
      </c>
      <c r="D873" s="259" t="s">
        <v>9866</v>
      </c>
      <c r="E873" s="265" t="s">
        <v>10655</v>
      </c>
      <c r="F873" s="272" t="s">
        <v>9198</v>
      </c>
      <c r="G873" s="272" t="s">
        <v>9198</v>
      </c>
      <c r="H873" s="265" t="s">
        <v>10871</v>
      </c>
      <c r="I873" s="290" t="s">
        <v>10872</v>
      </c>
      <c r="J873" s="265" t="s">
        <v>10655</v>
      </c>
      <c r="K873" s="265" t="s">
        <v>10655</v>
      </c>
    </row>
    <row r="874" spans="1:11" s="75" customFormat="1" ht="14.55" customHeight="1" x14ac:dyDescent="0.25">
      <c r="A874" s="272" t="s">
        <v>8816</v>
      </c>
      <c r="B874" s="272" t="s">
        <v>10591</v>
      </c>
      <c r="C874" s="272" t="s">
        <v>9865</v>
      </c>
      <c r="D874" s="259" t="s">
        <v>9866</v>
      </c>
      <c r="E874" s="265" t="s">
        <v>10655</v>
      </c>
      <c r="F874" s="272" t="s">
        <v>9198</v>
      </c>
      <c r="G874" s="272" t="s">
        <v>9198</v>
      </c>
      <c r="H874" s="265" t="s">
        <v>10873</v>
      </c>
      <c r="I874" s="290" t="s">
        <v>10874</v>
      </c>
      <c r="J874" s="265" t="s">
        <v>10655</v>
      </c>
      <c r="K874" s="265" t="s">
        <v>10655</v>
      </c>
    </row>
    <row r="875" spans="1:11" s="75" customFormat="1" ht="14.55" customHeight="1" x14ac:dyDescent="0.25">
      <c r="A875" s="272" t="s">
        <v>8816</v>
      </c>
      <c r="B875" s="272" t="s">
        <v>10591</v>
      </c>
      <c r="C875" s="272" t="s">
        <v>9867</v>
      </c>
      <c r="D875" s="259" t="s">
        <v>9868</v>
      </c>
      <c r="E875" s="265" t="s">
        <v>10655</v>
      </c>
      <c r="F875" s="272" t="s">
        <v>9198</v>
      </c>
      <c r="G875" s="272" t="s">
        <v>9198</v>
      </c>
      <c r="H875" s="265" t="s">
        <v>10871</v>
      </c>
      <c r="I875" s="290" t="s">
        <v>10872</v>
      </c>
      <c r="J875" s="265" t="s">
        <v>10655</v>
      </c>
      <c r="K875" s="265" t="s">
        <v>10655</v>
      </c>
    </row>
    <row r="876" spans="1:11" s="75" customFormat="1" ht="14.55" customHeight="1" x14ac:dyDescent="0.25">
      <c r="A876" s="272" t="s">
        <v>8816</v>
      </c>
      <c r="B876" s="272" t="s">
        <v>10591</v>
      </c>
      <c r="C876" s="272" t="s">
        <v>9867</v>
      </c>
      <c r="D876" s="259" t="s">
        <v>9868</v>
      </c>
      <c r="E876" s="265" t="s">
        <v>10655</v>
      </c>
      <c r="F876" s="272" t="s">
        <v>9198</v>
      </c>
      <c r="G876" s="272" t="s">
        <v>9198</v>
      </c>
      <c r="H876" s="265" t="s">
        <v>10877</v>
      </c>
      <c r="I876" s="290" t="s">
        <v>10878</v>
      </c>
      <c r="J876" s="265" t="s">
        <v>10655</v>
      </c>
      <c r="K876" s="265" t="s">
        <v>10655</v>
      </c>
    </row>
    <row r="877" spans="1:11" s="75" customFormat="1" ht="14.55" customHeight="1" x14ac:dyDescent="0.25">
      <c r="A877" s="272" t="s">
        <v>8816</v>
      </c>
      <c r="B877" s="272" t="s">
        <v>10591</v>
      </c>
      <c r="C877" s="272" t="s">
        <v>9867</v>
      </c>
      <c r="D877" s="259" t="s">
        <v>9868</v>
      </c>
      <c r="E877" s="265" t="s">
        <v>10655</v>
      </c>
      <c r="F877" s="272" t="s">
        <v>9198</v>
      </c>
      <c r="G877" s="272" t="s">
        <v>9198</v>
      </c>
      <c r="H877" s="265" t="s">
        <v>10879</v>
      </c>
      <c r="I877" s="290" t="s">
        <v>10880</v>
      </c>
      <c r="J877" s="265" t="s">
        <v>10655</v>
      </c>
      <c r="K877" s="265" t="s">
        <v>10655</v>
      </c>
    </row>
    <row r="878" spans="1:11" s="75" customFormat="1" ht="14.55" customHeight="1" x14ac:dyDescent="0.25">
      <c r="A878" s="272" t="s">
        <v>8816</v>
      </c>
      <c r="B878" s="272" t="s">
        <v>10591</v>
      </c>
      <c r="C878" s="272" t="s">
        <v>9867</v>
      </c>
      <c r="D878" s="259" t="s">
        <v>9868</v>
      </c>
      <c r="E878" s="265" t="s">
        <v>10655</v>
      </c>
      <c r="F878" s="272" t="s">
        <v>9198</v>
      </c>
      <c r="G878" s="272" t="s">
        <v>9198</v>
      </c>
      <c r="H878" s="265" t="s">
        <v>10905</v>
      </c>
      <c r="I878" s="290" t="s">
        <v>10910</v>
      </c>
      <c r="J878" s="265" t="s">
        <v>10655</v>
      </c>
      <c r="K878" s="265" t="s">
        <v>10655</v>
      </c>
    </row>
    <row r="879" spans="1:11" s="75" customFormat="1" ht="14.55" customHeight="1" x14ac:dyDescent="0.25">
      <c r="A879" s="272" t="s">
        <v>8816</v>
      </c>
      <c r="B879" s="272" t="s">
        <v>10591</v>
      </c>
      <c r="C879" s="272" t="s">
        <v>9869</v>
      </c>
      <c r="D879" s="259" t="s">
        <v>9870</v>
      </c>
      <c r="E879" s="265" t="s">
        <v>10655</v>
      </c>
      <c r="F879" s="272" t="s">
        <v>9198</v>
      </c>
      <c r="G879" s="272" t="s">
        <v>9197</v>
      </c>
      <c r="H879" s="265" t="s">
        <v>10885</v>
      </c>
      <c r="I879" s="290" t="s">
        <v>10886</v>
      </c>
      <c r="J879" s="265" t="s">
        <v>10655</v>
      </c>
      <c r="K879" s="265" t="s">
        <v>10655</v>
      </c>
    </row>
    <row r="880" spans="1:11" s="75" customFormat="1" ht="14.55" customHeight="1" x14ac:dyDescent="0.25">
      <c r="A880" s="272" t="s">
        <v>8816</v>
      </c>
      <c r="B880" s="272" t="s">
        <v>10591</v>
      </c>
      <c r="C880" s="272" t="s">
        <v>9869</v>
      </c>
      <c r="D880" s="259" t="s">
        <v>9870</v>
      </c>
      <c r="E880" s="265" t="s">
        <v>10655</v>
      </c>
      <c r="F880" s="272" t="s">
        <v>9198</v>
      </c>
      <c r="G880" s="272" t="s">
        <v>9197</v>
      </c>
      <c r="H880" s="265" t="s">
        <v>10887</v>
      </c>
      <c r="I880" s="290" t="s">
        <v>10888</v>
      </c>
      <c r="J880" s="265" t="s">
        <v>10655</v>
      </c>
      <c r="K880" s="265" t="s">
        <v>10655</v>
      </c>
    </row>
    <row r="881" spans="1:11" s="75" customFormat="1" ht="14.55" customHeight="1" x14ac:dyDescent="0.25">
      <c r="A881" s="272" t="s">
        <v>8816</v>
      </c>
      <c r="B881" s="272" t="s">
        <v>10591</v>
      </c>
      <c r="C881" s="272" t="s">
        <v>9869</v>
      </c>
      <c r="D881" s="259" t="s">
        <v>9870</v>
      </c>
      <c r="E881" s="265" t="s">
        <v>10655</v>
      </c>
      <c r="F881" s="272" t="s">
        <v>9198</v>
      </c>
      <c r="G881" s="272" t="s">
        <v>9197</v>
      </c>
      <c r="H881" s="265" t="s">
        <v>10893</v>
      </c>
      <c r="I881" s="290" t="s">
        <v>10894</v>
      </c>
      <c r="J881" s="265" t="s">
        <v>10655</v>
      </c>
      <c r="K881" s="265" t="s">
        <v>10655</v>
      </c>
    </row>
    <row r="882" spans="1:11" s="75" customFormat="1" ht="14.55" customHeight="1" x14ac:dyDescent="0.25">
      <c r="A882" s="272" t="s">
        <v>8816</v>
      </c>
      <c r="B882" s="272" t="s">
        <v>10591</v>
      </c>
      <c r="C882" s="272" t="s">
        <v>9869</v>
      </c>
      <c r="D882" s="259" t="s">
        <v>9870</v>
      </c>
      <c r="E882" s="265" t="s">
        <v>10655</v>
      </c>
      <c r="F882" s="272" t="s">
        <v>9198</v>
      </c>
      <c r="G882" s="272" t="s">
        <v>9197</v>
      </c>
      <c r="H882" s="265" t="s">
        <v>10871</v>
      </c>
      <c r="I882" s="290" t="s">
        <v>10872</v>
      </c>
      <c r="J882" s="265" t="s">
        <v>10655</v>
      </c>
      <c r="K882" s="265" t="s">
        <v>10655</v>
      </c>
    </row>
    <row r="883" spans="1:11" s="75" customFormat="1" ht="14.55" customHeight="1" x14ac:dyDescent="0.25">
      <c r="A883" s="272" t="s">
        <v>8816</v>
      </c>
      <c r="B883" s="272" t="s">
        <v>10591</v>
      </c>
      <c r="C883" s="272" t="s">
        <v>9869</v>
      </c>
      <c r="D883" s="259" t="s">
        <v>9870</v>
      </c>
      <c r="E883" s="265" t="s">
        <v>10655</v>
      </c>
      <c r="F883" s="272" t="s">
        <v>9198</v>
      </c>
      <c r="G883" s="272" t="s">
        <v>9197</v>
      </c>
      <c r="H883" s="265" t="s">
        <v>10873</v>
      </c>
      <c r="I883" s="290" t="s">
        <v>10874</v>
      </c>
      <c r="J883" s="265" t="s">
        <v>10655</v>
      </c>
      <c r="K883" s="265" t="s">
        <v>10655</v>
      </c>
    </row>
    <row r="884" spans="1:11" s="75" customFormat="1" ht="14.55" customHeight="1" x14ac:dyDescent="0.25">
      <c r="A884" s="272" t="s">
        <v>8816</v>
      </c>
      <c r="B884" s="272" t="s">
        <v>10591</v>
      </c>
      <c r="C884" s="272" t="s">
        <v>9871</v>
      </c>
      <c r="D884" s="259" t="s">
        <v>9872</v>
      </c>
      <c r="E884" s="265" t="s">
        <v>10655</v>
      </c>
      <c r="F884" s="272" t="s">
        <v>9198</v>
      </c>
      <c r="G884" s="272" t="s">
        <v>9197</v>
      </c>
      <c r="H884" s="265" t="s">
        <v>10906</v>
      </c>
      <c r="I884" s="290" t="s">
        <v>10907</v>
      </c>
      <c r="J884" s="265" t="s">
        <v>10655</v>
      </c>
      <c r="K884" s="265" t="s">
        <v>10655</v>
      </c>
    </row>
    <row r="885" spans="1:11" s="75" customFormat="1" ht="14.55" customHeight="1" x14ac:dyDescent="0.25">
      <c r="A885" s="272" t="s">
        <v>8816</v>
      </c>
      <c r="B885" s="272" t="s">
        <v>10591</v>
      </c>
      <c r="C885" s="272" t="s">
        <v>9871</v>
      </c>
      <c r="D885" s="259" t="s">
        <v>9872</v>
      </c>
      <c r="E885" s="265" t="s">
        <v>10655</v>
      </c>
      <c r="F885" s="272" t="s">
        <v>9198</v>
      </c>
      <c r="G885" s="272" t="s">
        <v>9197</v>
      </c>
      <c r="H885" s="265" t="s">
        <v>10893</v>
      </c>
      <c r="I885" s="290" t="s">
        <v>10894</v>
      </c>
      <c r="J885" s="265" t="s">
        <v>10655</v>
      </c>
      <c r="K885" s="265" t="s">
        <v>10655</v>
      </c>
    </row>
    <row r="886" spans="1:11" s="75" customFormat="1" ht="14.55" customHeight="1" x14ac:dyDescent="0.25">
      <c r="A886" s="272" t="s">
        <v>8816</v>
      </c>
      <c r="B886" s="272" t="s">
        <v>10591</v>
      </c>
      <c r="C886" s="272" t="s">
        <v>9871</v>
      </c>
      <c r="D886" s="259" t="s">
        <v>9872</v>
      </c>
      <c r="E886" s="265" t="s">
        <v>10655</v>
      </c>
      <c r="F886" s="272" t="s">
        <v>9198</v>
      </c>
      <c r="G886" s="272" t="s">
        <v>9197</v>
      </c>
      <c r="H886" s="265" t="s">
        <v>10871</v>
      </c>
      <c r="I886" s="290" t="s">
        <v>10872</v>
      </c>
      <c r="J886" s="265" t="s">
        <v>10655</v>
      </c>
      <c r="K886" s="265" t="s">
        <v>10655</v>
      </c>
    </row>
    <row r="887" spans="1:11" s="75" customFormat="1" ht="14.55" customHeight="1" x14ac:dyDescent="0.25">
      <c r="A887" s="272" t="s">
        <v>8816</v>
      </c>
      <c r="B887" s="272" t="s">
        <v>10591</v>
      </c>
      <c r="C887" s="272" t="s">
        <v>9871</v>
      </c>
      <c r="D887" s="259" t="s">
        <v>9872</v>
      </c>
      <c r="E887" s="265" t="s">
        <v>10655</v>
      </c>
      <c r="F887" s="272" t="s">
        <v>9198</v>
      </c>
      <c r="G887" s="272" t="s">
        <v>9197</v>
      </c>
      <c r="H887" s="265" t="s">
        <v>10908</v>
      </c>
      <c r="I887" s="290" t="s">
        <v>10909</v>
      </c>
      <c r="J887" s="265" t="s">
        <v>10655</v>
      </c>
      <c r="K887" s="265" t="s">
        <v>10655</v>
      </c>
    </row>
    <row r="888" spans="1:11" s="75" customFormat="1" ht="14.55" customHeight="1" x14ac:dyDescent="0.25">
      <c r="A888" s="272" t="s">
        <v>8816</v>
      </c>
      <c r="B888" s="272" t="s">
        <v>10591</v>
      </c>
      <c r="C888" s="272" t="s">
        <v>9871</v>
      </c>
      <c r="D888" s="259" t="s">
        <v>9872</v>
      </c>
      <c r="E888" s="265" t="s">
        <v>10655</v>
      </c>
      <c r="F888" s="272" t="s">
        <v>9198</v>
      </c>
      <c r="G888" s="272" t="s">
        <v>9197</v>
      </c>
      <c r="H888" s="265" t="s">
        <v>10873</v>
      </c>
      <c r="I888" s="290" t="s">
        <v>10874</v>
      </c>
      <c r="J888" s="265" t="s">
        <v>10655</v>
      </c>
      <c r="K888" s="265" t="s">
        <v>10655</v>
      </c>
    </row>
    <row r="889" spans="1:11" s="75" customFormat="1" ht="14.55" customHeight="1" x14ac:dyDescent="0.25">
      <c r="A889" s="272" t="s">
        <v>8816</v>
      </c>
      <c r="B889" s="272" t="s">
        <v>10591</v>
      </c>
      <c r="C889" s="272" t="s">
        <v>9873</v>
      </c>
      <c r="D889" s="259" t="s">
        <v>9874</v>
      </c>
      <c r="E889" s="265" t="s">
        <v>10655</v>
      </c>
      <c r="F889" s="272" t="s">
        <v>9198</v>
      </c>
      <c r="G889" s="272" t="s">
        <v>9197</v>
      </c>
      <c r="H889" s="265" t="s">
        <v>10906</v>
      </c>
      <c r="I889" s="290" t="s">
        <v>10907</v>
      </c>
      <c r="J889" s="265" t="s">
        <v>10655</v>
      </c>
      <c r="K889" s="265" t="s">
        <v>10655</v>
      </c>
    </row>
    <row r="890" spans="1:11" s="75" customFormat="1" ht="14.55" customHeight="1" x14ac:dyDescent="0.25">
      <c r="A890" s="272" t="s">
        <v>8816</v>
      </c>
      <c r="B890" s="272" t="s">
        <v>10591</v>
      </c>
      <c r="C890" s="272" t="s">
        <v>9873</v>
      </c>
      <c r="D890" s="259" t="s">
        <v>9874</v>
      </c>
      <c r="E890" s="265" t="s">
        <v>10655</v>
      </c>
      <c r="F890" s="272" t="s">
        <v>9198</v>
      </c>
      <c r="G890" s="272" t="s">
        <v>9197</v>
      </c>
      <c r="H890" s="265" t="s">
        <v>10871</v>
      </c>
      <c r="I890" s="290" t="s">
        <v>10872</v>
      </c>
      <c r="J890" s="265" t="s">
        <v>10655</v>
      </c>
      <c r="K890" s="265" t="s">
        <v>10655</v>
      </c>
    </row>
    <row r="891" spans="1:11" s="75" customFormat="1" ht="14.55" customHeight="1" x14ac:dyDescent="0.25">
      <c r="A891" s="272" t="s">
        <v>8816</v>
      </c>
      <c r="B891" s="272" t="s">
        <v>10591</v>
      </c>
      <c r="C891" s="272" t="s">
        <v>9873</v>
      </c>
      <c r="D891" s="259" t="s">
        <v>9874</v>
      </c>
      <c r="E891" s="265" t="s">
        <v>10655</v>
      </c>
      <c r="F891" s="272" t="s">
        <v>9198</v>
      </c>
      <c r="G891" s="272" t="s">
        <v>9197</v>
      </c>
      <c r="H891" s="265" t="s">
        <v>10877</v>
      </c>
      <c r="I891" s="290" t="s">
        <v>10878</v>
      </c>
      <c r="J891" s="265" t="s">
        <v>10655</v>
      </c>
      <c r="K891" s="265" t="s">
        <v>10655</v>
      </c>
    </row>
    <row r="892" spans="1:11" s="75" customFormat="1" ht="14.55" customHeight="1" x14ac:dyDescent="0.25">
      <c r="A892" s="272" t="s">
        <v>8816</v>
      </c>
      <c r="B892" s="272" t="s">
        <v>10591</v>
      </c>
      <c r="C892" s="272" t="s">
        <v>9873</v>
      </c>
      <c r="D892" s="259" t="s">
        <v>9874</v>
      </c>
      <c r="E892" s="265" t="s">
        <v>10655</v>
      </c>
      <c r="F892" s="272" t="s">
        <v>9198</v>
      </c>
      <c r="G892" s="272" t="s">
        <v>9197</v>
      </c>
      <c r="H892" s="265" t="s">
        <v>10879</v>
      </c>
      <c r="I892" s="290" t="s">
        <v>10880</v>
      </c>
      <c r="J892" s="265" t="s">
        <v>10655</v>
      </c>
      <c r="K892" s="265" t="s">
        <v>10655</v>
      </c>
    </row>
    <row r="893" spans="1:11" s="75" customFormat="1" ht="14.55" customHeight="1" x14ac:dyDescent="0.25">
      <c r="A893" s="272" t="s">
        <v>8816</v>
      </c>
      <c r="B893" s="272" t="s">
        <v>10591</v>
      </c>
      <c r="C893" s="272" t="s">
        <v>9873</v>
      </c>
      <c r="D893" s="259" t="s">
        <v>9874</v>
      </c>
      <c r="E893" s="265" t="s">
        <v>10655</v>
      </c>
      <c r="F893" s="272" t="s">
        <v>9198</v>
      </c>
      <c r="G893" s="272" t="s">
        <v>9197</v>
      </c>
      <c r="H893" s="265" t="s">
        <v>10905</v>
      </c>
      <c r="I893" s="290" t="s">
        <v>10910</v>
      </c>
      <c r="J893" s="265" t="s">
        <v>10655</v>
      </c>
      <c r="K893" s="265" t="s">
        <v>10655</v>
      </c>
    </row>
    <row r="894" spans="1:11" s="75" customFormat="1" ht="14.55" customHeight="1" x14ac:dyDescent="0.25">
      <c r="A894" s="272" t="s">
        <v>8816</v>
      </c>
      <c r="B894" s="272" t="s">
        <v>10591</v>
      </c>
      <c r="C894" s="272" t="s">
        <v>9873</v>
      </c>
      <c r="D894" s="259" t="s">
        <v>9874</v>
      </c>
      <c r="E894" s="265" t="s">
        <v>10655</v>
      </c>
      <c r="F894" s="272" t="s">
        <v>9198</v>
      </c>
      <c r="G894" s="272" t="s">
        <v>9197</v>
      </c>
      <c r="H894" s="265" t="s">
        <v>10908</v>
      </c>
      <c r="I894" s="290" t="s">
        <v>10909</v>
      </c>
      <c r="J894" s="265" t="s">
        <v>10655</v>
      </c>
      <c r="K894" s="265" t="s">
        <v>10655</v>
      </c>
    </row>
    <row r="895" spans="1:11" s="75" customFormat="1" ht="14.55" customHeight="1" x14ac:dyDescent="0.25">
      <c r="A895" s="286" t="s">
        <v>8816</v>
      </c>
      <c r="B895" s="272" t="s">
        <v>10591</v>
      </c>
      <c r="C895" s="272" t="s">
        <v>9875</v>
      </c>
      <c r="D895" s="259" t="s">
        <v>9876</v>
      </c>
      <c r="E895" s="265" t="s">
        <v>10655</v>
      </c>
      <c r="F895" s="272" t="s">
        <v>9198</v>
      </c>
      <c r="G895" s="272" t="s">
        <v>9197</v>
      </c>
      <c r="H895" s="265" t="s">
        <v>10883</v>
      </c>
      <c r="I895" s="292" t="s">
        <v>10884</v>
      </c>
      <c r="J895" s="265" t="s">
        <v>10655</v>
      </c>
      <c r="K895" s="265" t="s">
        <v>10655</v>
      </c>
    </row>
    <row r="896" spans="1:11" s="75" customFormat="1" ht="14.55" customHeight="1" x14ac:dyDescent="0.25">
      <c r="A896" s="272" t="s">
        <v>8816</v>
      </c>
      <c r="B896" s="272" t="s">
        <v>10591</v>
      </c>
      <c r="C896" s="272" t="s">
        <v>9875</v>
      </c>
      <c r="D896" s="259" t="s">
        <v>9876</v>
      </c>
      <c r="E896" s="265" t="s">
        <v>10655</v>
      </c>
      <c r="F896" s="272" t="s">
        <v>9198</v>
      </c>
      <c r="G896" s="272" t="s">
        <v>9197</v>
      </c>
      <c r="H896" s="265" t="s">
        <v>10879</v>
      </c>
      <c r="I896" s="290" t="s">
        <v>10880</v>
      </c>
      <c r="J896" s="265" t="s">
        <v>10655</v>
      </c>
      <c r="K896" s="265" t="s">
        <v>10655</v>
      </c>
    </row>
    <row r="897" spans="1:11" s="75" customFormat="1" ht="14.55" customHeight="1" x14ac:dyDescent="0.25">
      <c r="A897" s="286" t="s">
        <v>8816</v>
      </c>
      <c r="B897" s="272" t="s">
        <v>10591</v>
      </c>
      <c r="C897" s="272" t="s">
        <v>9877</v>
      </c>
      <c r="D897" s="259" t="s">
        <v>9878</v>
      </c>
      <c r="E897" s="265" t="s">
        <v>10655</v>
      </c>
      <c r="F897" s="272" t="s">
        <v>9198</v>
      </c>
      <c r="G897" s="272" t="s">
        <v>9198</v>
      </c>
      <c r="H897" s="265" t="s">
        <v>10883</v>
      </c>
      <c r="I897" s="292" t="s">
        <v>10884</v>
      </c>
      <c r="J897" s="265" t="s">
        <v>10655</v>
      </c>
      <c r="K897" s="265" t="s">
        <v>10655</v>
      </c>
    </row>
    <row r="898" spans="1:11" s="75" customFormat="1" ht="14.55" customHeight="1" x14ac:dyDescent="0.25">
      <c r="A898" s="272" t="s">
        <v>8816</v>
      </c>
      <c r="B898" s="272" t="s">
        <v>10591</v>
      </c>
      <c r="C898" s="272" t="s">
        <v>9877</v>
      </c>
      <c r="D898" s="259" t="s">
        <v>9878</v>
      </c>
      <c r="E898" s="265" t="s">
        <v>10655</v>
      </c>
      <c r="F898" s="272" t="s">
        <v>9198</v>
      </c>
      <c r="G898" s="272" t="s">
        <v>9198</v>
      </c>
      <c r="H898" s="265" t="s">
        <v>10879</v>
      </c>
      <c r="I898" s="290" t="s">
        <v>10880</v>
      </c>
      <c r="J898" s="265" t="s">
        <v>10655</v>
      </c>
      <c r="K898" s="265" t="s">
        <v>10655</v>
      </c>
    </row>
    <row r="899" spans="1:11" s="75" customFormat="1" ht="14.55" customHeight="1" x14ac:dyDescent="0.25">
      <c r="A899" s="272" t="s">
        <v>8816</v>
      </c>
      <c r="B899" s="272" t="s">
        <v>10591</v>
      </c>
      <c r="C899" s="272" t="s">
        <v>9879</v>
      </c>
      <c r="D899" s="259" t="s">
        <v>9880</v>
      </c>
      <c r="E899" s="265" t="s">
        <v>10655</v>
      </c>
      <c r="F899" s="272" t="s">
        <v>9198</v>
      </c>
      <c r="G899" s="272" t="s">
        <v>9197</v>
      </c>
      <c r="H899" s="265" t="s">
        <v>10879</v>
      </c>
      <c r="I899" s="290" t="s">
        <v>10880</v>
      </c>
      <c r="J899" s="265" t="s">
        <v>10655</v>
      </c>
      <c r="K899" s="265" t="s">
        <v>10655</v>
      </c>
    </row>
    <row r="900" spans="1:11" s="75" customFormat="1" ht="14.55" customHeight="1" x14ac:dyDescent="0.25">
      <c r="A900" s="272" t="s">
        <v>8816</v>
      </c>
      <c r="B900" s="272" t="s">
        <v>10591</v>
      </c>
      <c r="C900" s="272" t="s">
        <v>9879</v>
      </c>
      <c r="D900" s="259" t="s">
        <v>9880</v>
      </c>
      <c r="E900" s="265" t="s">
        <v>10655</v>
      </c>
      <c r="F900" s="272" t="s">
        <v>9198</v>
      </c>
      <c r="G900" s="272" t="s">
        <v>9197</v>
      </c>
      <c r="H900" s="265" t="s">
        <v>10873</v>
      </c>
      <c r="I900" s="290" t="s">
        <v>10874</v>
      </c>
      <c r="J900" s="265" t="s">
        <v>10655</v>
      </c>
      <c r="K900" s="265" t="s">
        <v>10655</v>
      </c>
    </row>
    <row r="901" spans="1:11" s="75" customFormat="1" ht="14.55" customHeight="1" x14ac:dyDescent="0.25">
      <c r="A901" s="272" t="s">
        <v>8816</v>
      </c>
      <c r="B901" s="272" t="s">
        <v>10591</v>
      </c>
      <c r="C901" s="272" t="s">
        <v>9881</v>
      </c>
      <c r="D901" s="259" t="s">
        <v>9882</v>
      </c>
      <c r="E901" s="265" t="s">
        <v>10655</v>
      </c>
      <c r="F901" s="272" t="s">
        <v>9198</v>
      </c>
      <c r="G901" s="272" t="s">
        <v>9197</v>
      </c>
      <c r="H901" s="265" t="s">
        <v>10871</v>
      </c>
      <c r="I901" s="290" t="s">
        <v>10872</v>
      </c>
      <c r="J901" s="265" t="s">
        <v>10655</v>
      </c>
      <c r="K901" s="265" t="s">
        <v>10655</v>
      </c>
    </row>
    <row r="902" spans="1:11" s="75" customFormat="1" ht="14.55" customHeight="1" x14ac:dyDescent="0.25">
      <c r="A902" s="272" t="s">
        <v>8816</v>
      </c>
      <c r="B902" s="272" t="s">
        <v>10591</v>
      </c>
      <c r="C902" s="272" t="s">
        <v>9881</v>
      </c>
      <c r="D902" s="259" t="s">
        <v>9882</v>
      </c>
      <c r="E902" s="265" t="s">
        <v>10655</v>
      </c>
      <c r="F902" s="272" t="s">
        <v>9198</v>
      </c>
      <c r="G902" s="272" t="s">
        <v>9197</v>
      </c>
      <c r="H902" s="265" t="s">
        <v>10879</v>
      </c>
      <c r="I902" s="290" t="s">
        <v>10880</v>
      </c>
      <c r="J902" s="265" t="s">
        <v>10655</v>
      </c>
      <c r="K902" s="265" t="s">
        <v>10655</v>
      </c>
    </row>
    <row r="903" spans="1:11" s="75" customFormat="1" ht="14.55" customHeight="1" x14ac:dyDescent="0.25">
      <c r="A903" s="286" t="s">
        <v>8816</v>
      </c>
      <c r="B903" s="272" t="s">
        <v>10591</v>
      </c>
      <c r="C903" s="272" t="s">
        <v>9881</v>
      </c>
      <c r="D903" s="259" t="s">
        <v>9882</v>
      </c>
      <c r="E903" s="265" t="s">
        <v>10655</v>
      </c>
      <c r="F903" s="272" t="s">
        <v>9198</v>
      </c>
      <c r="G903" s="272" t="s">
        <v>9197</v>
      </c>
      <c r="H903" s="265" t="s">
        <v>10881</v>
      </c>
      <c r="I903" s="291" t="s">
        <v>10882</v>
      </c>
      <c r="J903" s="265" t="s">
        <v>10655</v>
      </c>
      <c r="K903" s="265" t="s">
        <v>10655</v>
      </c>
    </row>
    <row r="904" spans="1:11" s="75" customFormat="1" ht="14.55" customHeight="1" x14ac:dyDescent="0.25">
      <c r="A904" s="286" t="s">
        <v>8816</v>
      </c>
      <c r="B904" s="272" t="s">
        <v>10591</v>
      </c>
      <c r="C904" s="272" t="s">
        <v>9881</v>
      </c>
      <c r="D904" s="259" t="s">
        <v>9882</v>
      </c>
      <c r="E904" s="265" t="s">
        <v>10655</v>
      </c>
      <c r="F904" s="272" t="s">
        <v>9198</v>
      </c>
      <c r="G904" s="272" t="s">
        <v>9197</v>
      </c>
      <c r="H904" s="265" t="s">
        <v>10883</v>
      </c>
      <c r="I904" s="292" t="s">
        <v>10884</v>
      </c>
      <c r="J904" s="265" t="s">
        <v>10655</v>
      </c>
      <c r="K904" s="265" t="s">
        <v>10655</v>
      </c>
    </row>
    <row r="905" spans="1:11" s="75" customFormat="1" ht="14.55" customHeight="1" x14ac:dyDescent="0.25">
      <c r="A905" s="272" t="s">
        <v>8816</v>
      </c>
      <c r="B905" s="272" t="s">
        <v>10591</v>
      </c>
      <c r="C905" s="272" t="s">
        <v>9883</v>
      </c>
      <c r="D905" s="259" t="s">
        <v>9884</v>
      </c>
      <c r="E905" s="265" t="s">
        <v>10655</v>
      </c>
      <c r="F905" s="272" t="s">
        <v>9198</v>
      </c>
      <c r="G905" s="272" t="s">
        <v>9197</v>
      </c>
      <c r="H905" s="265" t="s">
        <v>10873</v>
      </c>
      <c r="I905" s="290" t="s">
        <v>10874</v>
      </c>
      <c r="J905" s="265" t="s">
        <v>10655</v>
      </c>
      <c r="K905" s="265" t="s">
        <v>10655</v>
      </c>
    </row>
    <row r="906" spans="1:11" s="75" customFormat="1" ht="14.55" customHeight="1" x14ac:dyDescent="0.25">
      <c r="A906" s="297" t="s">
        <v>8816</v>
      </c>
      <c r="B906" s="296" t="s">
        <v>10591</v>
      </c>
      <c r="C906" s="275" t="s">
        <v>9885</v>
      </c>
      <c r="D906" s="276" t="s">
        <v>9886</v>
      </c>
      <c r="E906" s="275" t="s">
        <v>10655</v>
      </c>
      <c r="F906" s="296" t="s">
        <v>9198</v>
      </c>
      <c r="G906" s="296" t="s">
        <v>9197</v>
      </c>
      <c r="H906" s="296" t="s">
        <v>10881</v>
      </c>
      <c r="I906" s="276" t="s">
        <v>10882</v>
      </c>
      <c r="J906" s="275" t="s">
        <v>10655</v>
      </c>
      <c r="K906" s="275" t="s">
        <v>10655</v>
      </c>
    </row>
    <row r="907" spans="1:11" s="75" customFormat="1" ht="14.55" customHeight="1" x14ac:dyDescent="0.25">
      <c r="A907" s="297" t="s">
        <v>8816</v>
      </c>
      <c r="B907" s="296" t="s">
        <v>10591</v>
      </c>
      <c r="C907" s="275" t="s">
        <v>9885</v>
      </c>
      <c r="D907" s="276" t="s">
        <v>9886</v>
      </c>
      <c r="E907" s="275" t="s">
        <v>10655</v>
      </c>
      <c r="F907" s="296" t="s">
        <v>9198</v>
      </c>
      <c r="G907" s="296" t="s">
        <v>9197</v>
      </c>
      <c r="H907" s="296" t="s">
        <v>10903</v>
      </c>
      <c r="I907" s="276" t="s">
        <v>10904</v>
      </c>
      <c r="J907" s="275" t="s">
        <v>10655</v>
      </c>
      <c r="K907" s="275" t="s">
        <v>10655</v>
      </c>
    </row>
    <row r="908" spans="1:11" s="75" customFormat="1" ht="14.55" customHeight="1" x14ac:dyDescent="0.25">
      <c r="A908" s="297" t="s">
        <v>8816</v>
      </c>
      <c r="B908" s="296" t="s">
        <v>10591</v>
      </c>
      <c r="C908" s="275" t="s">
        <v>9885</v>
      </c>
      <c r="D908" s="276" t="s">
        <v>9886</v>
      </c>
      <c r="E908" s="275" t="s">
        <v>10655</v>
      </c>
      <c r="F908" s="296" t="s">
        <v>9198</v>
      </c>
      <c r="G908" s="296" t="s">
        <v>9197</v>
      </c>
      <c r="H908" s="296" t="s">
        <v>10875</v>
      </c>
      <c r="I908" s="276" t="s">
        <v>10876</v>
      </c>
      <c r="J908" s="275" t="s">
        <v>10655</v>
      </c>
      <c r="K908" s="275" t="s">
        <v>10655</v>
      </c>
    </row>
    <row r="909" spans="1:11" s="75" customFormat="1" ht="14.55" customHeight="1" x14ac:dyDescent="0.25">
      <c r="A909" s="297" t="s">
        <v>8816</v>
      </c>
      <c r="B909" s="296" t="s">
        <v>10591</v>
      </c>
      <c r="C909" s="275" t="s">
        <v>9887</v>
      </c>
      <c r="D909" s="276" t="s">
        <v>9888</v>
      </c>
      <c r="E909" s="275" t="s">
        <v>10655</v>
      </c>
      <c r="F909" s="296" t="s">
        <v>9198</v>
      </c>
      <c r="G909" s="296" t="s">
        <v>9197</v>
      </c>
      <c r="H909" s="296" t="s">
        <v>10881</v>
      </c>
      <c r="I909" s="276" t="s">
        <v>10882</v>
      </c>
      <c r="J909" s="275" t="s">
        <v>10655</v>
      </c>
      <c r="K909" s="275" t="s">
        <v>10655</v>
      </c>
    </row>
    <row r="910" spans="1:11" s="75" customFormat="1" ht="14.55" customHeight="1" x14ac:dyDescent="0.25">
      <c r="A910" s="297" t="s">
        <v>8816</v>
      </c>
      <c r="B910" s="296" t="s">
        <v>10591</v>
      </c>
      <c r="C910" s="275" t="s">
        <v>9887</v>
      </c>
      <c r="D910" s="276" t="s">
        <v>9888</v>
      </c>
      <c r="E910" s="275" t="s">
        <v>10655</v>
      </c>
      <c r="F910" s="296" t="s">
        <v>9198</v>
      </c>
      <c r="G910" s="296" t="s">
        <v>9197</v>
      </c>
      <c r="H910" s="296" t="s">
        <v>10903</v>
      </c>
      <c r="I910" s="276" t="s">
        <v>10904</v>
      </c>
      <c r="J910" s="275" t="s">
        <v>10655</v>
      </c>
      <c r="K910" s="275" t="s">
        <v>10655</v>
      </c>
    </row>
    <row r="911" spans="1:11" s="75" customFormat="1" ht="14.55" customHeight="1" x14ac:dyDescent="0.25">
      <c r="A911" s="297" t="s">
        <v>8816</v>
      </c>
      <c r="B911" s="296" t="s">
        <v>10591</v>
      </c>
      <c r="C911" s="275" t="s">
        <v>9887</v>
      </c>
      <c r="D911" s="276" t="s">
        <v>9888</v>
      </c>
      <c r="E911" s="275" t="s">
        <v>10655</v>
      </c>
      <c r="F911" s="296" t="s">
        <v>9198</v>
      </c>
      <c r="G911" s="296" t="s">
        <v>9197</v>
      </c>
      <c r="H911" s="296" t="s">
        <v>10875</v>
      </c>
      <c r="I911" s="276" t="s">
        <v>10876</v>
      </c>
      <c r="J911" s="275" t="s">
        <v>10655</v>
      </c>
      <c r="K911" s="275" t="s">
        <v>10655</v>
      </c>
    </row>
    <row r="912" spans="1:11" s="75" customFormat="1" ht="14.55" customHeight="1" x14ac:dyDescent="0.25">
      <c r="A912" s="297" t="s">
        <v>8816</v>
      </c>
      <c r="B912" s="296" t="s">
        <v>10591</v>
      </c>
      <c r="C912" s="275" t="s">
        <v>9889</v>
      </c>
      <c r="D912" s="276" t="s">
        <v>9890</v>
      </c>
      <c r="E912" s="275" t="s">
        <v>10655</v>
      </c>
      <c r="F912" s="296" t="s">
        <v>9198</v>
      </c>
      <c r="G912" s="296" t="s">
        <v>9197</v>
      </c>
      <c r="H912" s="296" t="s">
        <v>10881</v>
      </c>
      <c r="I912" s="276" t="s">
        <v>10882</v>
      </c>
      <c r="J912" s="275" t="s">
        <v>10655</v>
      </c>
      <c r="K912" s="275" t="s">
        <v>10655</v>
      </c>
    </row>
    <row r="913" spans="1:11" s="75" customFormat="1" ht="14.55" customHeight="1" x14ac:dyDescent="0.25">
      <c r="A913" s="297" t="s">
        <v>8816</v>
      </c>
      <c r="B913" s="296" t="s">
        <v>10591</v>
      </c>
      <c r="C913" s="275" t="s">
        <v>9889</v>
      </c>
      <c r="D913" s="276" t="s">
        <v>9890</v>
      </c>
      <c r="E913" s="275" t="s">
        <v>10655</v>
      </c>
      <c r="F913" s="296" t="s">
        <v>9198</v>
      </c>
      <c r="G913" s="296" t="s">
        <v>9197</v>
      </c>
      <c r="H913" s="296" t="s">
        <v>10903</v>
      </c>
      <c r="I913" s="276" t="s">
        <v>10904</v>
      </c>
      <c r="J913" s="275" t="s">
        <v>10655</v>
      </c>
      <c r="K913" s="275" t="s">
        <v>10655</v>
      </c>
    </row>
    <row r="914" spans="1:11" s="75" customFormat="1" ht="14.55" customHeight="1" x14ac:dyDescent="0.25">
      <c r="A914" s="297" t="s">
        <v>8816</v>
      </c>
      <c r="B914" s="296" t="s">
        <v>10591</v>
      </c>
      <c r="C914" s="275" t="s">
        <v>9889</v>
      </c>
      <c r="D914" s="276" t="s">
        <v>9890</v>
      </c>
      <c r="E914" s="275" t="s">
        <v>10655</v>
      </c>
      <c r="F914" s="296" t="s">
        <v>9198</v>
      </c>
      <c r="G914" s="296" t="s">
        <v>9197</v>
      </c>
      <c r="H914" s="296" t="s">
        <v>10875</v>
      </c>
      <c r="I914" s="276" t="s">
        <v>10876</v>
      </c>
      <c r="J914" s="275" t="s">
        <v>10655</v>
      </c>
      <c r="K914" s="275" t="s">
        <v>10655</v>
      </c>
    </row>
    <row r="915" spans="1:11" s="75" customFormat="1" ht="14.55" customHeight="1" x14ac:dyDescent="0.25">
      <c r="A915" s="297" t="s">
        <v>8816</v>
      </c>
      <c r="B915" s="296" t="s">
        <v>10591</v>
      </c>
      <c r="C915" s="275" t="s">
        <v>9891</v>
      </c>
      <c r="D915" s="276" t="s">
        <v>9892</v>
      </c>
      <c r="E915" s="275" t="s">
        <v>10655</v>
      </c>
      <c r="F915" s="296" t="s">
        <v>9198</v>
      </c>
      <c r="G915" s="296" t="s">
        <v>9198</v>
      </c>
      <c r="H915" s="296" t="s">
        <v>10881</v>
      </c>
      <c r="I915" s="276" t="s">
        <v>10882</v>
      </c>
      <c r="J915" s="275" t="s">
        <v>10655</v>
      </c>
      <c r="K915" s="275" t="s">
        <v>10655</v>
      </c>
    </row>
    <row r="916" spans="1:11" s="75" customFormat="1" ht="14.55" customHeight="1" x14ac:dyDescent="0.25">
      <c r="A916" s="297" t="s">
        <v>8816</v>
      </c>
      <c r="B916" s="296" t="s">
        <v>10591</v>
      </c>
      <c r="C916" s="275" t="s">
        <v>9891</v>
      </c>
      <c r="D916" s="276" t="s">
        <v>9892</v>
      </c>
      <c r="E916" s="275" t="s">
        <v>10655</v>
      </c>
      <c r="F916" s="296" t="s">
        <v>9198</v>
      </c>
      <c r="G916" s="296" t="s">
        <v>9198</v>
      </c>
      <c r="H916" s="296" t="s">
        <v>10903</v>
      </c>
      <c r="I916" s="276" t="s">
        <v>10904</v>
      </c>
      <c r="J916" s="275" t="s">
        <v>10655</v>
      </c>
      <c r="K916" s="275" t="s">
        <v>10655</v>
      </c>
    </row>
    <row r="917" spans="1:11" s="75" customFormat="1" ht="14.55" customHeight="1" x14ac:dyDescent="0.25">
      <c r="A917" s="297" t="s">
        <v>8816</v>
      </c>
      <c r="B917" s="296" t="s">
        <v>10591</v>
      </c>
      <c r="C917" s="275" t="s">
        <v>9891</v>
      </c>
      <c r="D917" s="276" t="s">
        <v>9892</v>
      </c>
      <c r="E917" s="275" t="s">
        <v>10655</v>
      </c>
      <c r="F917" s="296" t="s">
        <v>9198</v>
      </c>
      <c r="G917" s="296" t="s">
        <v>9198</v>
      </c>
      <c r="H917" s="296" t="s">
        <v>10875</v>
      </c>
      <c r="I917" s="276" t="s">
        <v>10876</v>
      </c>
      <c r="J917" s="275" t="s">
        <v>10655</v>
      </c>
      <c r="K917" s="275" t="s">
        <v>10655</v>
      </c>
    </row>
    <row r="918" spans="1:11" s="75" customFormat="1" ht="14.55" customHeight="1" x14ac:dyDescent="0.25">
      <c r="A918" s="297" t="s">
        <v>8816</v>
      </c>
      <c r="B918" s="296" t="s">
        <v>10591</v>
      </c>
      <c r="C918" s="275" t="s">
        <v>9893</v>
      </c>
      <c r="D918" s="276" t="s">
        <v>9894</v>
      </c>
      <c r="E918" s="275" t="s">
        <v>10655</v>
      </c>
      <c r="F918" s="296" t="s">
        <v>9198</v>
      </c>
      <c r="G918" s="296" t="s">
        <v>9197</v>
      </c>
      <c r="H918" s="296" t="s">
        <v>10906</v>
      </c>
      <c r="I918" s="276" t="s">
        <v>10907</v>
      </c>
      <c r="J918" s="275" t="s">
        <v>10655</v>
      </c>
      <c r="K918" s="275" t="s">
        <v>10655</v>
      </c>
    </row>
    <row r="919" spans="1:11" s="75" customFormat="1" ht="14.55" customHeight="1" x14ac:dyDescent="0.25">
      <c r="A919" s="297" t="s">
        <v>8816</v>
      </c>
      <c r="B919" s="296" t="s">
        <v>10591</v>
      </c>
      <c r="C919" s="275" t="s">
        <v>9893</v>
      </c>
      <c r="D919" s="276" t="s">
        <v>9894</v>
      </c>
      <c r="E919" s="275" t="s">
        <v>10655</v>
      </c>
      <c r="F919" s="296" t="s">
        <v>9198</v>
      </c>
      <c r="G919" s="296" t="s">
        <v>9197</v>
      </c>
      <c r="H919" s="296" t="s">
        <v>10881</v>
      </c>
      <c r="I919" s="276" t="s">
        <v>10882</v>
      </c>
      <c r="J919" s="275" t="s">
        <v>10655</v>
      </c>
      <c r="K919" s="275" t="s">
        <v>10655</v>
      </c>
    </row>
    <row r="920" spans="1:11" s="75" customFormat="1" ht="14.55" customHeight="1" x14ac:dyDescent="0.25">
      <c r="A920" s="297" t="s">
        <v>8816</v>
      </c>
      <c r="B920" s="296" t="s">
        <v>10591</v>
      </c>
      <c r="C920" s="275" t="s">
        <v>9893</v>
      </c>
      <c r="D920" s="276" t="s">
        <v>9894</v>
      </c>
      <c r="E920" s="275" t="s">
        <v>10655</v>
      </c>
      <c r="F920" s="296" t="s">
        <v>9198</v>
      </c>
      <c r="G920" s="296" t="s">
        <v>9197</v>
      </c>
      <c r="H920" s="296" t="s">
        <v>10903</v>
      </c>
      <c r="I920" s="276" t="s">
        <v>10904</v>
      </c>
      <c r="J920" s="275" t="s">
        <v>10655</v>
      </c>
      <c r="K920" s="275" t="s">
        <v>10655</v>
      </c>
    </row>
    <row r="921" spans="1:11" s="75" customFormat="1" ht="14.55" customHeight="1" x14ac:dyDescent="0.25">
      <c r="A921" s="297" t="s">
        <v>8816</v>
      </c>
      <c r="B921" s="296" t="s">
        <v>10591</v>
      </c>
      <c r="C921" s="275" t="s">
        <v>9893</v>
      </c>
      <c r="D921" s="276" t="s">
        <v>9894</v>
      </c>
      <c r="E921" s="275" t="s">
        <v>10655</v>
      </c>
      <c r="F921" s="296" t="s">
        <v>9198</v>
      </c>
      <c r="G921" s="296" t="s">
        <v>9197</v>
      </c>
      <c r="H921" s="296" t="s">
        <v>10908</v>
      </c>
      <c r="I921" s="276" t="s">
        <v>10909</v>
      </c>
      <c r="J921" s="275" t="s">
        <v>10655</v>
      </c>
      <c r="K921" s="275" t="s">
        <v>10655</v>
      </c>
    </row>
    <row r="922" spans="1:11" s="75" customFormat="1" ht="14.55" customHeight="1" x14ac:dyDescent="0.25">
      <c r="A922" s="297" t="s">
        <v>8816</v>
      </c>
      <c r="B922" s="296" t="s">
        <v>10591</v>
      </c>
      <c r="C922" s="275" t="s">
        <v>9893</v>
      </c>
      <c r="D922" s="276" t="s">
        <v>9894</v>
      </c>
      <c r="E922" s="275" t="s">
        <v>10655</v>
      </c>
      <c r="F922" s="296" t="s">
        <v>9198</v>
      </c>
      <c r="G922" s="296" t="s">
        <v>9197</v>
      </c>
      <c r="H922" s="296" t="s">
        <v>10875</v>
      </c>
      <c r="I922" s="276" t="s">
        <v>10876</v>
      </c>
      <c r="J922" s="275" t="s">
        <v>10655</v>
      </c>
      <c r="K922" s="275" t="s">
        <v>10655</v>
      </c>
    </row>
    <row r="923" spans="1:11" s="75" customFormat="1" ht="14.55" customHeight="1" x14ac:dyDescent="0.25">
      <c r="A923" s="272" t="s">
        <v>8816</v>
      </c>
      <c r="B923" s="272" t="s">
        <v>10591</v>
      </c>
      <c r="C923" s="272" t="s">
        <v>9895</v>
      </c>
      <c r="D923" s="259" t="s">
        <v>9896</v>
      </c>
      <c r="E923" s="265" t="s">
        <v>10655</v>
      </c>
      <c r="F923" s="272" t="s">
        <v>9198</v>
      </c>
      <c r="G923" s="272" t="s">
        <v>9197</v>
      </c>
      <c r="H923" s="265" t="s">
        <v>10911</v>
      </c>
      <c r="I923" s="290" t="s">
        <v>10912</v>
      </c>
      <c r="J923" s="265" t="s">
        <v>10655</v>
      </c>
      <c r="K923" s="265" t="s">
        <v>10655</v>
      </c>
    </row>
    <row r="924" spans="1:11" s="75" customFormat="1" ht="14.55" customHeight="1" x14ac:dyDescent="0.25">
      <c r="A924" s="272" t="s">
        <v>8816</v>
      </c>
      <c r="B924" s="272" t="s">
        <v>10591</v>
      </c>
      <c r="C924" s="272" t="s">
        <v>9897</v>
      </c>
      <c r="D924" s="259" t="s">
        <v>9898</v>
      </c>
      <c r="E924" s="265" t="s">
        <v>10655</v>
      </c>
      <c r="F924" s="272" t="s">
        <v>9198</v>
      </c>
      <c r="G924" s="272" t="s">
        <v>9197</v>
      </c>
      <c r="H924" s="265" t="s">
        <v>10911</v>
      </c>
      <c r="I924" s="290" t="s">
        <v>10912</v>
      </c>
      <c r="J924" s="265" t="s">
        <v>10655</v>
      </c>
      <c r="K924" s="265" t="s">
        <v>10655</v>
      </c>
    </row>
    <row r="925" spans="1:11" s="75" customFormat="1" ht="14.55" customHeight="1" x14ac:dyDescent="0.25">
      <c r="A925" s="272" t="s">
        <v>8816</v>
      </c>
      <c r="B925" s="272" t="s">
        <v>10591</v>
      </c>
      <c r="C925" s="272" t="s">
        <v>9899</v>
      </c>
      <c r="D925" s="259" t="s">
        <v>9900</v>
      </c>
      <c r="E925" s="265" t="s">
        <v>10655</v>
      </c>
      <c r="F925" s="272" t="s">
        <v>9198</v>
      </c>
      <c r="G925" s="272" t="s">
        <v>9197</v>
      </c>
      <c r="H925" s="265" t="s">
        <v>10913</v>
      </c>
      <c r="I925" s="290" t="s">
        <v>10914</v>
      </c>
      <c r="J925" s="265" t="s">
        <v>10655</v>
      </c>
      <c r="K925" s="265" t="s">
        <v>10655</v>
      </c>
    </row>
    <row r="926" spans="1:11" s="75" customFormat="1" ht="14.55" customHeight="1" x14ac:dyDescent="0.25">
      <c r="A926" s="272" t="s">
        <v>8816</v>
      </c>
      <c r="B926" s="272" t="s">
        <v>10591</v>
      </c>
      <c r="C926" s="272" t="s">
        <v>9899</v>
      </c>
      <c r="D926" s="259" t="s">
        <v>9900</v>
      </c>
      <c r="E926" s="265" t="s">
        <v>10655</v>
      </c>
      <c r="F926" s="272" t="s">
        <v>9198</v>
      </c>
      <c r="G926" s="272" t="s">
        <v>9197</v>
      </c>
      <c r="H926" s="265" t="s">
        <v>10915</v>
      </c>
      <c r="I926" s="290" t="s">
        <v>10916</v>
      </c>
      <c r="J926" s="265" t="s">
        <v>10655</v>
      </c>
      <c r="K926" s="265" t="s">
        <v>10655</v>
      </c>
    </row>
    <row r="927" spans="1:11" s="75" customFormat="1" ht="14.55" customHeight="1" x14ac:dyDescent="0.25">
      <c r="A927" s="272" t="s">
        <v>8816</v>
      </c>
      <c r="B927" s="272" t="s">
        <v>10591</v>
      </c>
      <c r="C927" s="272" t="s">
        <v>9899</v>
      </c>
      <c r="D927" s="259" t="s">
        <v>9900</v>
      </c>
      <c r="E927" s="265" t="s">
        <v>10655</v>
      </c>
      <c r="F927" s="272" t="s">
        <v>9198</v>
      </c>
      <c r="G927" s="272" t="s">
        <v>9197</v>
      </c>
      <c r="H927" s="265" t="s">
        <v>10917</v>
      </c>
      <c r="I927" s="290" t="s">
        <v>10918</v>
      </c>
      <c r="J927" s="265" t="s">
        <v>10655</v>
      </c>
      <c r="K927" s="265" t="s">
        <v>10655</v>
      </c>
    </row>
    <row r="928" spans="1:11" s="75" customFormat="1" ht="14.55" customHeight="1" x14ac:dyDescent="0.25">
      <c r="A928" s="272" t="s">
        <v>8816</v>
      </c>
      <c r="B928" s="272" t="s">
        <v>10591</v>
      </c>
      <c r="C928" s="272" t="s">
        <v>9899</v>
      </c>
      <c r="D928" s="259" t="s">
        <v>9900</v>
      </c>
      <c r="E928" s="265" t="s">
        <v>10655</v>
      </c>
      <c r="F928" s="272" t="s">
        <v>9198</v>
      </c>
      <c r="G928" s="272" t="s">
        <v>9197</v>
      </c>
      <c r="H928" s="265" t="s">
        <v>10919</v>
      </c>
      <c r="I928" s="290" t="s">
        <v>10920</v>
      </c>
      <c r="J928" s="265" t="s">
        <v>10655</v>
      </c>
      <c r="K928" s="265" t="s">
        <v>10655</v>
      </c>
    </row>
    <row r="929" spans="1:11" s="75" customFormat="1" ht="14.55" customHeight="1" x14ac:dyDescent="0.25">
      <c r="A929" s="272" t="s">
        <v>8816</v>
      </c>
      <c r="B929" s="272" t="s">
        <v>10591</v>
      </c>
      <c r="C929" s="272" t="s">
        <v>9899</v>
      </c>
      <c r="D929" s="259" t="s">
        <v>9900</v>
      </c>
      <c r="E929" s="265" t="s">
        <v>10655</v>
      </c>
      <c r="F929" s="272" t="s">
        <v>9198</v>
      </c>
      <c r="G929" s="272" t="s">
        <v>9197</v>
      </c>
      <c r="H929" s="265" t="s">
        <v>10911</v>
      </c>
      <c r="I929" s="290" t="s">
        <v>10912</v>
      </c>
      <c r="J929" s="265" t="s">
        <v>10655</v>
      </c>
      <c r="K929" s="265" t="s">
        <v>10655</v>
      </c>
    </row>
    <row r="930" spans="1:11" s="75" customFormat="1" ht="14.55" customHeight="1" x14ac:dyDescent="0.25">
      <c r="A930" s="272" t="s">
        <v>8816</v>
      </c>
      <c r="B930" s="272" t="s">
        <v>10591</v>
      </c>
      <c r="C930" s="272" t="s">
        <v>9901</v>
      </c>
      <c r="D930" s="259" t="s">
        <v>9902</v>
      </c>
      <c r="E930" s="265" t="s">
        <v>10655</v>
      </c>
      <c r="F930" s="272" t="s">
        <v>9198</v>
      </c>
      <c r="G930" s="272" t="s">
        <v>9197</v>
      </c>
      <c r="H930" s="265" t="s">
        <v>10913</v>
      </c>
      <c r="I930" s="290" t="s">
        <v>10914</v>
      </c>
      <c r="J930" s="265" t="s">
        <v>10655</v>
      </c>
      <c r="K930" s="265" t="s">
        <v>10655</v>
      </c>
    </row>
    <row r="931" spans="1:11" s="75" customFormat="1" ht="14.55" customHeight="1" x14ac:dyDescent="0.25">
      <c r="A931" s="272" t="s">
        <v>8816</v>
      </c>
      <c r="B931" s="272" t="s">
        <v>10591</v>
      </c>
      <c r="C931" s="272" t="s">
        <v>9901</v>
      </c>
      <c r="D931" s="259" t="s">
        <v>9902</v>
      </c>
      <c r="E931" s="265" t="s">
        <v>10655</v>
      </c>
      <c r="F931" s="272" t="s">
        <v>9198</v>
      </c>
      <c r="G931" s="272" t="s">
        <v>9197</v>
      </c>
      <c r="H931" s="265" t="s">
        <v>10915</v>
      </c>
      <c r="I931" s="290" t="s">
        <v>10916</v>
      </c>
      <c r="J931" s="265" t="s">
        <v>10655</v>
      </c>
      <c r="K931" s="265" t="s">
        <v>10655</v>
      </c>
    </row>
    <row r="932" spans="1:11" s="75" customFormat="1" ht="14.55" customHeight="1" x14ac:dyDescent="0.25">
      <c r="A932" s="272" t="s">
        <v>8816</v>
      </c>
      <c r="B932" s="272" t="s">
        <v>10591</v>
      </c>
      <c r="C932" s="272" t="s">
        <v>9901</v>
      </c>
      <c r="D932" s="259" t="s">
        <v>9902</v>
      </c>
      <c r="E932" s="265" t="s">
        <v>10655</v>
      </c>
      <c r="F932" s="272" t="s">
        <v>9198</v>
      </c>
      <c r="G932" s="272" t="s">
        <v>9197</v>
      </c>
      <c r="H932" s="265" t="s">
        <v>10917</v>
      </c>
      <c r="I932" s="290" t="s">
        <v>10918</v>
      </c>
      <c r="J932" s="265" t="s">
        <v>10655</v>
      </c>
      <c r="K932" s="265" t="s">
        <v>10655</v>
      </c>
    </row>
    <row r="933" spans="1:11" s="75" customFormat="1" ht="14.55" customHeight="1" x14ac:dyDescent="0.25">
      <c r="A933" s="272" t="s">
        <v>8816</v>
      </c>
      <c r="B933" s="272" t="s">
        <v>10591</v>
      </c>
      <c r="C933" s="272" t="s">
        <v>9901</v>
      </c>
      <c r="D933" s="259" t="s">
        <v>9902</v>
      </c>
      <c r="E933" s="265" t="s">
        <v>10655</v>
      </c>
      <c r="F933" s="272" t="s">
        <v>9198</v>
      </c>
      <c r="G933" s="272" t="s">
        <v>9197</v>
      </c>
      <c r="H933" s="265" t="s">
        <v>10919</v>
      </c>
      <c r="I933" s="290" t="s">
        <v>10920</v>
      </c>
      <c r="J933" s="265" t="s">
        <v>10655</v>
      </c>
      <c r="K933" s="265" t="s">
        <v>10655</v>
      </c>
    </row>
    <row r="934" spans="1:11" s="75" customFormat="1" ht="14.55" customHeight="1" x14ac:dyDescent="0.25">
      <c r="A934" s="272" t="s">
        <v>8816</v>
      </c>
      <c r="B934" s="272" t="s">
        <v>10591</v>
      </c>
      <c r="C934" s="272" t="s">
        <v>9901</v>
      </c>
      <c r="D934" s="259" t="s">
        <v>9902</v>
      </c>
      <c r="E934" s="265" t="s">
        <v>10655</v>
      </c>
      <c r="F934" s="272" t="s">
        <v>9198</v>
      </c>
      <c r="G934" s="272" t="s">
        <v>9197</v>
      </c>
      <c r="H934" s="265" t="s">
        <v>10911</v>
      </c>
      <c r="I934" s="290" t="s">
        <v>10912</v>
      </c>
      <c r="J934" s="265" t="s">
        <v>10655</v>
      </c>
      <c r="K934" s="265" t="s">
        <v>10655</v>
      </c>
    </row>
    <row r="935" spans="1:11" s="75" customFormat="1" ht="14.55" customHeight="1" x14ac:dyDescent="0.25">
      <c r="A935" s="272" t="s">
        <v>8816</v>
      </c>
      <c r="B935" s="272" t="s">
        <v>10591</v>
      </c>
      <c r="C935" s="272" t="s">
        <v>9903</v>
      </c>
      <c r="D935" s="259" t="s">
        <v>9904</v>
      </c>
      <c r="E935" s="265" t="s">
        <v>10655</v>
      </c>
      <c r="F935" s="272" t="s">
        <v>9198</v>
      </c>
      <c r="G935" s="272" t="s">
        <v>9198</v>
      </c>
      <c r="H935" s="265" t="s">
        <v>10913</v>
      </c>
      <c r="I935" s="290" t="s">
        <v>10914</v>
      </c>
      <c r="J935" s="265" t="s">
        <v>10655</v>
      </c>
      <c r="K935" s="265" t="s">
        <v>10655</v>
      </c>
    </row>
    <row r="936" spans="1:11" s="75" customFormat="1" ht="14.55" customHeight="1" x14ac:dyDescent="0.25">
      <c r="A936" s="272" t="s">
        <v>8816</v>
      </c>
      <c r="B936" s="272" t="s">
        <v>10591</v>
      </c>
      <c r="C936" s="272" t="s">
        <v>9903</v>
      </c>
      <c r="D936" s="259" t="s">
        <v>9904</v>
      </c>
      <c r="E936" s="265" t="s">
        <v>10655</v>
      </c>
      <c r="F936" s="272" t="s">
        <v>9198</v>
      </c>
      <c r="G936" s="272" t="s">
        <v>9198</v>
      </c>
      <c r="H936" s="265" t="s">
        <v>10915</v>
      </c>
      <c r="I936" s="290" t="s">
        <v>10916</v>
      </c>
      <c r="J936" s="265" t="s">
        <v>10655</v>
      </c>
      <c r="K936" s="265" t="s">
        <v>10655</v>
      </c>
    </row>
    <row r="937" spans="1:11" s="75" customFormat="1" ht="14.55" customHeight="1" x14ac:dyDescent="0.25">
      <c r="A937" s="272" t="s">
        <v>8816</v>
      </c>
      <c r="B937" s="272" t="s">
        <v>10591</v>
      </c>
      <c r="C937" s="272" t="s">
        <v>9903</v>
      </c>
      <c r="D937" s="259" t="s">
        <v>9904</v>
      </c>
      <c r="E937" s="265" t="s">
        <v>10655</v>
      </c>
      <c r="F937" s="272" t="s">
        <v>9198</v>
      </c>
      <c r="G937" s="272" t="s">
        <v>9198</v>
      </c>
      <c r="H937" s="265" t="s">
        <v>10917</v>
      </c>
      <c r="I937" s="290" t="s">
        <v>10918</v>
      </c>
      <c r="J937" s="265" t="s">
        <v>10655</v>
      </c>
      <c r="K937" s="265" t="s">
        <v>10655</v>
      </c>
    </row>
    <row r="938" spans="1:11" s="75" customFormat="1" ht="14.55" customHeight="1" x14ac:dyDescent="0.25">
      <c r="A938" s="272" t="s">
        <v>8816</v>
      </c>
      <c r="B938" s="272" t="s">
        <v>10591</v>
      </c>
      <c r="C938" s="272" t="s">
        <v>9903</v>
      </c>
      <c r="D938" s="259" t="s">
        <v>9904</v>
      </c>
      <c r="E938" s="265" t="s">
        <v>10655</v>
      </c>
      <c r="F938" s="272" t="s">
        <v>9198</v>
      </c>
      <c r="G938" s="272" t="s">
        <v>9198</v>
      </c>
      <c r="H938" s="265" t="s">
        <v>10919</v>
      </c>
      <c r="I938" s="290" t="s">
        <v>10920</v>
      </c>
      <c r="J938" s="265" t="s">
        <v>10655</v>
      </c>
      <c r="K938" s="265" t="s">
        <v>10655</v>
      </c>
    </row>
    <row r="939" spans="1:11" s="75" customFormat="1" ht="14.55" customHeight="1" x14ac:dyDescent="0.25">
      <c r="A939" s="272" t="s">
        <v>8816</v>
      </c>
      <c r="B939" s="272" t="s">
        <v>10591</v>
      </c>
      <c r="C939" s="272" t="s">
        <v>9903</v>
      </c>
      <c r="D939" s="259" t="s">
        <v>9904</v>
      </c>
      <c r="E939" s="265" t="s">
        <v>10655</v>
      </c>
      <c r="F939" s="272" t="s">
        <v>9198</v>
      </c>
      <c r="G939" s="272" t="s">
        <v>9198</v>
      </c>
      <c r="H939" s="265" t="s">
        <v>10911</v>
      </c>
      <c r="I939" s="290" t="s">
        <v>10912</v>
      </c>
      <c r="J939" s="265" t="s">
        <v>10655</v>
      </c>
      <c r="K939" s="265" t="s">
        <v>10655</v>
      </c>
    </row>
    <row r="940" spans="1:11" s="75" customFormat="1" ht="14.55" customHeight="1" x14ac:dyDescent="0.25">
      <c r="A940" s="272" t="s">
        <v>8816</v>
      </c>
      <c r="B940" s="272" t="s">
        <v>10591</v>
      </c>
      <c r="C940" s="272" t="s">
        <v>9905</v>
      </c>
      <c r="D940" s="259" t="s">
        <v>9906</v>
      </c>
      <c r="E940" s="265" t="s">
        <v>10655</v>
      </c>
      <c r="F940" s="272" t="s">
        <v>9198</v>
      </c>
      <c r="G940" s="272" t="s">
        <v>9197</v>
      </c>
      <c r="H940" s="265" t="s">
        <v>10893</v>
      </c>
      <c r="I940" s="290" t="s">
        <v>10894</v>
      </c>
      <c r="J940" s="265" t="s">
        <v>10655</v>
      </c>
      <c r="K940" s="265" t="s">
        <v>10655</v>
      </c>
    </row>
    <row r="941" spans="1:11" s="75" customFormat="1" ht="14.55" customHeight="1" x14ac:dyDescent="0.25">
      <c r="A941" s="272" t="s">
        <v>8816</v>
      </c>
      <c r="B941" s="272" t="s">
        <v>10591</v>
      </c>
      <c r="C941" s="272" t="s">
        <v>9905</v>
      </c>
      <c r="D941" s="259" t="s">
        <v>9906</v>
      </c>
      <c r="E941" s="265" t="s">
        <v>10655</v>
      </c>
      <c r="F941" s="272" t="s">
        <v>9198</v>
      </c>
      <c r="G941" s="272" t="s">
        <v>9197</v>
      </c>
      <c r="H941" s="265" t="s">
        <v>10871</v>
      </c>
      <c r="I941" s="290" t="s">
        <v>10872</v>
      </c>
      <c r="J941" s="265" t="s">
        <v>10655</v>
      </c>
      <c r="K941" s="265" t="s">
        <v>10655</v>
      </c>
    </row>
    <row r="942" spans="1:11" s="75" customFormat="1" ht="14.55" customHeight="1" x14ac:dyDescent="0.25">
      <c r="A942" s="272" t="s">
        <v>8816</v>
      </c>
      <c r="B942" s="272" t="s">
        <v>10591</v>
      </c>
      <c r="C942" s="272" t="s">
        <v>9905</v>
      </c>
      <c r="D942" s="259" t="s">
        <v>9906</v>
      </c>
      <c r="E942" s="265" t="s">
        <v>10655</v>
      </c>
      <c r="F942" s="272" t="s">
        <v>9198</v>
      </c>
      <c r="G942" s="272" t="s">
        <v>9197</v>
      </c>
      <c r="H942" s="265" t="s">
        <v>10873</v>
      </c>
      <c r="I942" s="290" t="s">
        <v>10874</v>
      </c>
      <c r="J942" s="265" t="s">
        <v>10655</v>
      </c>
      <c r="K942" s="265" t="s">
        <v>10655</v>
      </c>
    </row>
    <row r="943" spans="1:11" s="75" customFormat="1" ht="14.55" customHeight="1" x14ac:dyDescent="0.25">
      <c r="A943" s="272" t="s">
        <v>8816</v>
      </c>
      <c r="B943" s="272" t="s">
        <v>10591</v>
      </c>
      <c r="C943" s="272" t="s">
        <v>9907</v>
      </c>
      <c r="D943" s="259" t="s">
        <v>9908</v>
      </c>
      <c r="E943" s="265" t="s">
        <v>10655</v>
      </c>
      <c r="F943" s="272" t="s">
        <v>9198</v>
      </c>
      <c r="G943" s="272" t="s">
        <v>9197</v>
      </c>
      <c r="H943" s="265" t="s">
        <v>10893</v>
      </c>
      <c r="I943" s="290" t="s">
        <v>10894</v>
      </c>
      <c r="J943" s="265" t="s">
        <v>10655</v>
      </c>
      <c r="K943" s="265" t="s">
        <v>10655</v>
      </c>
    </row>
    <row r="944" spans="1:11" s="75" customFormat="1" ht="14.55" customHeight="1" x14ac:dyDescent="0.25">
      <c r="A944" s="272" t="s">
        <v>8816</v>
      </c>
      <c r="B944" s="272" t="s">
        <v>10591</v>
      </c>
      <c r="C944" s="272" t="s">
        <v>9907</v>
      </c>
      <c r="D944" s="259" t="s">
        <v>9908</v>
      </c>
      <c r="E944" s="265" t="s">
        <v>10655</v>
      </c>
      <c r="F944" s="272" t="s">
        <v>9198</v>
      </c>
      <c r="G944" s="272" t="s">
        <v>9197</v>
      </c>
      <c r="H944" s="265" t="s">
        <v>10871</v>
      </c>
      <c r="I944" s="290" t="s">
        <v>10872</v>
      </c>
      <c r="J944" s="265" t="s">
        <v>10655</v>
      </c>
      <c r="K944" s="265" t="s">
        <v>10655</v>
      </c>
    </row>
    <row r="945" spans="1:11" s="75" customFormat="1" ht="14.55" customHeight="1" x14ac:dyDescent="0.25">
      <c r="A945" s="272" t="s">
        <v>8816</v>
      </c>
      <c r="B945" s="272" t="s">
        <v>10591</v>
      </c>
      <c r="C945" s="272" t="s">
        <v>9907</v>
      </c>
      <c r="D945" s="259" t="s">
        <v>9908</v>
      </c>
      <c r="E945" s="265" t="s">
        <v>10655</v>
      </c>
      <c r="F945" s="272" t="s">
        <v>9198</v>
      </c>
      <c r="G945" s="272" t="s">
        <v>9197</v>
      </c>
      <c r="H945" s="265" t="s">
        <v>10873</v>
      </c>
      <c r="I945" s="290" t="s">
        <v>10874</v>
      </c>
      <c r="J945" s="265" t="s">
        <v>10655</v>
      </c>
      <c r="K945" s="265" t="s">
        <v>10655</v>
      </c>
    </row>
    <row r="946" spans="1:11" s="75" customFormat="1" ht="14.55" customHeight="1" x14ac:dyDescent="0.25">
      <c r="A946" s="272" t="s">
        <v>8816</v>
      </c>
      <c r="B946" s="272" t="s">
        <v>10591</v>
      </c>
      <c r="C946" s="272" t="s">
        <v>9909</v>
      </c>
      <c r="D946" s="263" t="s">
        <v>9910</v>
      </c>
      <c r="E946" s="265" t="s">
        <v>10655</v>
      </c>
      <c r="F946" s="272" t="s">
        <v>9198</v>
      </c>
      <c r="G946" s="272" t="s">
        <v>9197</v>
      </c>
      <c r="H946" s="272" t="s">
        <v>10913</v>
      </c>
      <c r="I946" s="290" t="s">
        <v>10914</v>
      </c>
      <c r="J946" s="265" t="s">
        <v>10655</v>
      </c>
      <c r="K946" s="265" t="s">
        <v>10655</v>
      </c>
    </row>
    <row r="947" spans="1:11" s="75" customFormat="1" ht="14.55" customHeight="1" x14ac:dyDescent="0.25">
      <c r="A947" s="272" t="s">
        <v>8816</v>
      </c>
      <c r="B947" s="272" t="s">
        <v>10591</v>
      </c>
      <c r="C947" s="272" t="s">
        <v>9909</v>
      </c>
      <c r="D947" s="263" t="s">
        <v>9910</v>
      </c>
      <c r="E947" s="265" t="s">
        <v>10655</v>
      </c>
      <c r="F947" s="272" t="s">
        <v>9198</v>
      </c>
      <c r="G947" s="272" t="s">
        <v>9197</v>
      </c>
      <c r="H947" s="272" t="s">
        <v>10915</v>
      </c>
      <c r="I947" s="290" t="s">
        <v>10916</v>
      </c>
      <c r="J947" s="265" t="s">
        <v>10655</v>
      </c>
      <c r="K947" s="265" t="s">
        <v>10655</v>
      </c>
    </row>
    <row r="948" spans="1:11" s="75" customFormat="1" ht="14.55" customHeight="1" x14ac:dyDescent="0.25">
      <c r="A948" s="272" t="s">
        <v>8816</v>
      </c>
      <c r="B948" s="272" t="s">
        <v>10591</v>
      </c>
      <c r="C948" s="272" t="s">
        <v>9909</v>
      </c>
      <c r="D948" s="263" t="s">
        <v>9910</v>
      </c>
      <c r="E948" s="265" t="s">
        <v>10655</v>
      </c>
      <c r="F948" s="272" t="s">
        <v>9198</v>
      </c>
      <c r="G948" s="272" t="s">
        <v>9197</v>
      </c>
      <c r="H948" s="272" t="s">
        <v>10917</v>
      </c>
      <c r="I948" s="290" t="s">
        <v>10918</v>
      </c>
      <c r="J948" s="265" t="s">
        <v>10655</v>
      </c>
      <c r="K948" s="265" t="s">
        <v>10655</v>
      </c>
    </row>
    <row r="949" spans="1:11" s="75" customFormat="1" ht="14.55" customHeight="1" x14ac:dyDescent="0.25">
      <c r="A949" s="272" t="s">
        <v>8816</v>
      </c>
      <c r="B949" s="272" t="s">
        <v>10591</v>
      </c>
      <c r="C949" s="272" t="s">
        <v>9909</v>
      </c>
      <c r="D949" s="263" t="s">
        <v>9910</v>
      </c>
      <c r="E949" s="265" t="s">
        <v>10655</v>
      </c>
      <c r="F949" s="272" t="s">
        <v>9198</v>
      </c>
      <c r="G949" s="272" t="s">
        <v>9197</v>
      </c>
      <c r="H949" s="272" t="s">
        <v>10919</v>
      </c>
      <c r="I949" s="290" t="s">
        <v>10920</v>
      </c>
      <c r="J949" s="265" t="s">
        <v>10655</v>
      </c>
      <c r="K949" s="265" t="s">
        <v>10655</v>
      </c>
    </row>
    <row r="950" spans="1:11" s="75" customFormat="1" ht="14.55" customHeight="1" x14ac:dyDescent="0.25">
      <c r="A950" s="272" t="s">
        <v>8816</v>
      </c>
      <c r="B950" s="272" t="s">
        <v>10591</v>
      </c>
      <c r="C950" s="272" t="s">
        <v>9909</v>
      </c>
      <c r="D950" s="263" t="s">
        <v>9910</v>
      </c>
      <c r="E950" s="265" t="s">
        <v>10655</v>
      </c>
      <c r="F950" s="272" t="s">
        <v>9198</v>
      </c>
      <c r="G950" s="272" t="s">
        <v>9197</v>
      </c>
      <c r="H950" s="272" t="s">
        <v>10911</v>
      </c>
      <c r="I950" s="290" t="s">
        <v>10912</v>
      </c>
      <c r="J950" s="265" t="s">
        <v>10655</v>
      </c>
      <c r="K950" s="265" t="s">
        <v>10655</v>
      </c>
    </row>
    <row r="951" spans="1:11" s="75" customFormat="1" ht="14.55" customHeight="1" x14ac:dyDescent="0.25">
      <c r="A951" s="272" t="s">
        <v>8816</v>
      </c>
      <c r="B951" s="272" t="s">
        <v>10591</v>
      </c>
      <c r="C951" s="272" t="s">
        <v>9911</v>
      </c>
      <c r="D951" s="259" t="s">
        <v>9912</v>
      </c>
      <c r="E951" s="265" t="s">
        <v>10655</v>
      </c>
      <c r="F951" s="272" t="s">
        <v>9198</v>
      </c>
      <c r="G951" s="272" t="s">
        <v>9197</v>
      </c>
      <c r="H951" s="265" t="s">
        <v>10913</v>
      </c>
      <c r="I951" s="290" t="s">
        <v>10914</v>
      </c>
      <c r="J951" s="265" t="s">
        <v>10655</v>
      </c>
      <c r="K951" s="265" t="s">
        <v>10655</v>
      </c>
    </row>
    <row r="952" spans="1:11" s="75" customFormat="1" ht="14.55" customHeight="1" x14ac:dyDescent="0.25">
      <c r="A952" s="272" t="s">
        <v>8816</v>
      </c>
      <c r="B952" s="272" t="s">
        <v>10591</v>
      </c>
      <c r="C952" s="272" t="s">
        <v>9911</v>
      </c>
      <c r="D952" s="259" t="s">
        <v>9912</v>
      </c>
      <c r="E952" s="265" t="s">
        <v>10655</v>
      </c>
      <c r="F952" s="272" t="s">
        <v>9198</v>
      </c>
      <c r="G952" s="272" t="s">
        <v>9197</v>
      </c>
      <c r="H952" s="265" t="s">
        <v>10915</v>
      </c>
      <c r="I952" s="290" t="s">
        <v>10916</v>
      </c>
      <c r="J952" s="265" t="s">
        <v>10655</v>
      </c>
      <c r="K952" s="265" t="s">
        <v>10655</v>
      </c>
    </row>
    <row r="953" spans="1:11" s="75" customFormat="1" ht="14.55" customHeight="1" x14ac:dyDescent="0.25">
      <c r="A953" s="272" t="s">
        <v>8816</v>
      </c>
      <c r="B953" s="272" t="s">
        <v>10591</v>
      </c>
      <c r="C953" s="272" t="s">
        <v>9911</v>
      </c>
      <c r="D953" s="259" t="s">
        <v>9912</v>
      </c>
      <c r="E953" s="265" t="s">
        <v>10655</v>
      </c>
      <c r="F953" s="272" t="s">
        <v>9198</v>
      </c>
      <c r="G953" s="272" t="s">
        <v>9197</v>
      </c>
      <c r="H953" s="265" t="s">
        <v>10917</v>
      </c>
      <c r="I953" s="290" t="s">
        <v>10918</v>
      </c>
      <c r="J953" s="265" t="s">
        <v>10655</v>
      </c>
      <c r="K953" s="265" t="s">
        <v>10655</v>
      </c>
    </row>
    <row r="954" spans="1:11" s="75" customFormat="1" ht="14.55" customHeight="1" x14ac:dyDescent="0.25">
      <c r="A954" s="272" t="s">
        <v>8816</v>
      </c>
      <c r="B954" s="272" t="s">
        <v>10591</v>
      </c>
      <c r="C954" s="272" t="s">
        <v>9913</v>
      </c>
      <c r="D954" s="259" t="s">
        <v>9914</v>
      </c>
      <c r="E954" s="265" t="s">
        <v>10655</v>
      </c>
      <c r="F954" s="272" t="s">
        <v>9198</v>
      </c>
      <c r="G954" s="272" t="s">
        <v>9197</v>
      </c>
      <c r="H954" s="265" t="s">
        <v>10913</v>
      </c>
      <c r="I954" s="290" t="s">
        <v>10914</v>
      </c>
      <c r="J954" s="265" t="s">
        <v>10655</v>
      </c>
      <c r="K954" s="265" t="s">
        <v>10655</v>
      </c>
    </row>
    <row r="955" spans="1:11" s="75" customFormat="1" ht="14.55" customHeight="1" x14ac:dyDescent="0.25">
      <c r="A955" s="272" t="s">
        <v>8816</v>
      </c>
      <c r="B955" s="272" t="s">
        <v>10591</v>
      </c>
      <c r="C955" s="272" t="s">
        <v>9913</v>
      </c>
      <c r="D955" s="259" t="s">
        <v>9914</v>
      </c>
      <c r="E955" s="265" t="s">
        <v>10655</v>
      </c>
      <c r="F955" s="272" t="s">
        <v>9198</v>
      </c>
      <c r="G955" s="272" t="s">
        <v>9197</v>
      </c>
      <c r="H955" s="265" t="s">
        <v>10915</v>
      </c>
      <c r="I955" s="290" t="s">
        <v>10916</v>
      </c>
      <c r="J955" s="265" t="s">
        <v>10655</v>
      </c>
      <c r="K955" s="265" t="s">
        <v>10655</v>
      </c>
    </row>
    <row r="956" spans="1:11" s="75" customFormat="1" ht="14.55" customHeight="1" x14ac:dyDescent="0.25">
      <c r="A956" s="272" t="s">
        <v>8816</v>
      </c>
      <c r="B956" s="272" t="s">
        <v>10591</v>
      </c>
      <c r="C956" s="272" t="s">
        <v>9913</v>
      </c>
      <c r="D956" s="259" t="s">
        <v>9914</v>
      </c>
      <c r="E956" s="265" t="s">
        <v>10655</v>
      </c>
      <c r="F956" s="272" t="s">
        <v>9198</v>
      </c>
      <c r="G956" s="272" t="s">
        <v>9197</v>
      </c>
      <c r="H956" s="265" t="s">
        <v>10917</v>
      </c>
      <c r="I956" s="290" t="s">
        <v>10918</v>
      </c>
      <c r="J956" s="265" t="s">
        <v>10655</v>
      </c>
      <c r="K956" s="265" t="s">
        <v>10655</v>
      </c>
    </row>
    <row r="957" spans="1:11" s="75" customFormat="1" ht="14.55" customHeight="1" x14ac:dyDescent="0.25">
      <c r="A957" s="272" t="s">
        <v>8816</v>
      </c>
      <c r="B957" s="272" t="s">
        <v>10591</v>
      </c>
      <c r="C957" s="272" t="s">
        <v>9915</v>
      </c>
      <c r="D957" s="259" t="s">
        <v>9916</v>
      </c>
      <c r="E957" s="265" t="s">
        <v>10655</v>
      </c>
      <c r="F957" s="272" t="s">
        <v>9198</v>
      </c>
      <c r="G957" s="272" t="s">
        <v>9198</v>
      </c>
      <c r="H957" s="265" t="s">
        <v>10913</v>
      </c>
      <c r="I957" s="290" t="s">
        <v>10914</v>
      </c>
      <c r="J957" s="265" t="s">
        <v>10655</v>
      </c>
      <c r="K957" s="265" t="s">
        <v>10655</v>
      </c>
    </row>
    <row r="958" spans="1:11" s="75" customFormat="1" ht="14.55" customHeight="1" x14ac:dyDescent="0.25">
      <c r="A958" s="272" t="s">
        <v>8816</v>
      </c>
      <c r="B958" s="272" t="s">
        <v>10591</v>
      </c>
      <c r="C958" s="272" t="s">
        <v>9915</v>
      </c>
      <c r="D958" s="259" t="s">
        <v>9916</v>
      </c>
      <c r="E958" s="265" t="s">
        <v>10655</v>
      </c>
      <c r="F958" s="272" t="s">
        <v>9198</v>
      </c>
      <c r="G958" s="272" t="s">
        <v>9198</v>
      </c>
      <c r="H958" s="265" t="s">
        <v>10915</v>
      </c>
      <c r="I958" s="290" t="s">
        <v>10916</v>
      </c>
      <c r="J958" s="265" t="s">
        <v>10655</v>
      </c>
      <c r="K958" s="265" t="s">
        <v>10655</v>
      </c>
    </row>
    <row r="959" spans="1:11" s="75" customFormat="1" ht="14.55" customHeight="1" x14ac:dyDescent="0.25">
      <c r="A959" s="272" t="s">
        <v>8816</v>
      </c>
      <c r="B959" s="272" t="s">
        <v>10591</v>
      </c>
      <c r="C959" s="272" t="s">
        <v>9915</v>
      </c>
      <c r="D959" s="259" t="s">
        <v>9916</v>
      </c>
      <c r="E959" s="265" t="s">
        <v>10655</v>
      </c>
      <c r="F959" s="272" t="s">
        <v>9198</v>
      </c>
      <c r="G959" s="272" t="s">
        <v>9198</v>
      </c>
      <c r="H959" s="265" t="s">
        <v>10917</v>
      </c>
      <c r="I959" s="290" t="s">
        <v>10918</v>
      </c>
      <c r="J959" s="265" t="s">
        <v>10655</v>
      </c>
      <c r="K959" s="265" t="s">
        <v>10655</v>
      </c>
    </row>
    <row r="960" spans="1:11" s="75" customFormat="1" ht="14.55" customHeight="1" x14ac:dyDescent="0.25">
      <c r="A960" s="272" t="s">
        <v>8816</v>
      </c>
      <c r="B960" s="272" t="s">
        <v>10591</v>
      </c>
      <c r="C960" s="272" t="s">
        <v>9917</v>
      </c>
      <c r="D960" s="259" t="s">
        <v>9918</v>
      </c>
      <c r="E960" s="265" t="s">
        <v>10655</v>
      </c>
      <c r="F960" s="272" t="s">
        <v>9198</v>
      </c>
      <c r="G960" s="272" t="s">
        <v>9197</v>
      </c>
      <c r="H960" s="265" t="s">
        <v>10919</v>
      </c>
      <c r="I960" s="290" t="s">
        <v>10920</v>
      </c>
      <c r="J960" s="265" t="s">
        <v>10655</v>
      </c>
      <c r="K960" s="265" t="s">
        <v>10655</v>
      </c>
    </row>
    <row r="961" spans="1:11" s="75" customFormat="1" ht="14.55" customHeight="1" x14ac:dyDescent="0.25">
      <c r="A961" s="272" t="s">
        <v>8816</v>
      </c>
      <c r="B961" s="272" t="s">
        <v>10591</v>
      </c>
      <c r="C961" s="272" t="s">
        <v>9919</v>
      </c>
      <c r="D961" s="259" t="s">
        <v>9920</v>
      </c>
      <c r="E961" s="265" t="s">
        <v>10655</v>
      </c>
      <c r="F961" s="272" t="s">
        <v>9198</v>
      </c>
      <c r="G961" s="272" t="s">
        <v>9197</v>
      </c>
      <c r="H961" s="265" t="s">
        <v>10919</v>
      </c>
      <c r="I961" s="290" t="s">
        <v>10920</v>
      </c>
      <c r="J961" s="265" t="s">
        <v>10655</v>
      </c>
      <c r="K961" s="265" t="s">
        <v>10655</v>
      </c>
    </row>
    <row r="962" spans="1:11" s="75" customFormat="1" ht="14.55" customHeight="1" x14ac:dyDescent="0.25">
      <c r="A962" s="272" t="s">
        <v>8816</v>
      </c>
      <c r="B962" s="272" t="s">
        <v>10591</v>
      </c>
      <c r="C962" s="272" t="s">
        <v>9921</v>
      </c>
      <c r="D962" s="259" t="s">
        <v>9922</v>
      </c>
      <c r="E962" s="265" t="s">
        <v>10655</v>
      </c>
      <c r="F962" s="272" t="s">
        <v>9198</v>
      </c>
      <c r="G962" s="272" t="s">
        <v>9198</v>
      </c>
      <c r="H962" s="265" t="s">
        <v>10919</v>
      </c>
      <c r="I962" s="290" t="s">
        <v>10920</v>
      </c>
      <c r="J962" s="265" t="s">
        <v>10655</v>
      </c>
      <c r="K962" s="265" t="s">
        <v>10655</v>
      </c>
    </row>
    <row r="963" spans="1:11" s="75" customFormat="1" ht="14.55" customHeight="1" x14ac:dyDescent="0.25">
      <c r="A963" s="272" t="s">
        <v>8816</v>
      </c>
      <c r="B963" s="272" t="s">
        <v>10591</v>
      </c>
      <c r="C963" s="272" t="s">
        <v>9923</v>
      </c>
      <c r="D963" s="259" t="s">
        <v>9924</v>
      </c>
      <c r="E963" s="265" t="s">
        <v>10655</v>
      </c>
      <c r="F963" s="272" t="s">
        <v>9198</v>
      </c>
      <c r="G963" s="272" t="s">
        <v>9197</v>
      </c>
      <c r="H963" s="265" t="s">
        <v>10887</v>
      </c>
      <c r="I963" s="290" t="s">
        <v>10888</v>
      </c>
      <c r="J963" s="265" t="s">
        <v>10655</v>
      </c>
      <c r="K963" s="265" t="s">
        <v>10655</v>
      </c>
    </row>
    <row r="964" spans="1:11" s="75" customFormat="1" ht="14.55" customHeight="1" x14ac:dyDescent="0.25">
      <c r="A964" s="272" t="s">
        <v>8816</v>
      </c>
      <c r="B964" s="272" t="s">
        <v>10591</v>
      </c>
      <c r="C964" s="272" t="s">
        <v>9923</v>
      </c>
      <c r="D964" s="259" t="s">
        <v>9924</v>
      </c>
      <c r="E964" s="265" t="s">
        <v>10655</v>
      </c>
      <c r="F964" s="272" t="s">
        <v>9198</v>
      </c>
      <c r="G964" s="272" t="s">
        <v>9197</v>
      </c>
      <c r="H964" s="265" t="s">
        <v>10893</v>
      </c>
      <c r="I964" s="290" t="s">
        <v>10894</v>
      </c>
      <c r="J964" s="265" t="s">
        <v>10655</v>
      </c>
      <c r="K964" s="265" t="s">
        <v>10655</v>
      </c>
    </row>
    <row r="965" spans="1:11" s="75" customFormat="1" ht="14.55" customHeight="1" x14ac:dyDescent="0.25">
      <c r="A965" s="272" t="s">
        <v>8816</v>
      </c>
      <c r="B965" s="272" t="s">
        <v>10591</v>
      </c>
      <c r="C965" s="272" t="s">
        <v>9923</v>
      </c>
      <c r="D965" s="259" t="s">
        <v>9924</v>
      </c>
      <c r="E965" s="265" t="s">
        <v>10655</v>
      </c>
      <c r="F965" s="272" t="s">
        <v>9198</v>
      </c>
      <c r="G965" s="272" t="s">
        <v>9197</v>
      </c>
      <c r="H965" s="265" t="s">
        <v>10871</v>
      </c>
      <c r="I965" s="290" t="s">
        <v>10872</v>
      </c>
      <c r="J965" s="265" t="s">
        <v>10655</v>
      </c>
      <c r="K965" s="265" t="s">
        <v>10655</v>
      </c>
    </row>
    <row r="966" spans="1:11" s="75" customFormat="1" ht="14.55" customHeight="1" x14ac:dyDescent="0.25">
      <c r="A966" s="272" t="s">
        <v>8816</v>
      </c>
      <c r="B966" s="272" t="s">
        <v>10591</v>
      </c>
      <c r="C966" s="272" t="s">
        <v>9923</v>
      </c>
      <c r="D966" s="259" t="s">
        <v>9924</v>
      </c>
      <c r="E966" s="265" t="s">
        <v>10655</v>
      </c>
      <c r="F966" s="272" t="s">
        <v>9198</v>
      </c>
      <c r="G966" s="272" t="s">
        <v>9197</v>
      </c>
      <c r="H966" s="265" t="s">
        <v>10897</v>
      </c>
      <c r="I966" s="290" t="s">
        <v>10898</v>
      </c>
      <c r="J966" s="265" t="s">
        <v>10655</v>
      </c>
      <c r="K966" s="265" t="s">
        <v>10655</v>
      </c>
    </row>
    <row r="967" spans="1:11" s="75" customFormat="1" ht="14.55" customHeight="1" x14ac:dyDescent="0.25">
      <c r="A967" s="272" t="s">
        <v>8816</v>
      </c>
      <c r="B967" s="272" t="s">
        <v>10591</v>
      </c>
      <c r="C967" s="272" t="s">
        <v>9923</v>
      </c>
      <c r="D967" s="259" t="s">
        <v>9924</v>
      </c>
      <c r="E967" s="265" t="s">
        <v>10655</v>
      </c>
      <c r="F967" s="272" t="s">
        <v>9198</v>
      </c>
      <c r="G967" s="272" t="s">
        <v>9197</v>
      </c>
      <c r="H967" s="265" t="s">
        <v>10873</v>
      </c>
      <c r="I967" s="290" t="s">
        <v>10874</v>
      </c>
      <c r="J967" s="265" t="s">
        <v>10655</v>
      </c>
      <c r="K967" s="265" t="s">
        <v>10655</v>
      </c>
    </row>
    <row r="968" spans="1:11" s="75" customFormat="1" ht="14.55" customHeight="1" x14ac:dyDescent="0.25">
      <c r="A968" s="272" t="s">
        <v>8816</v>
      </c>
      <c r="B968" s="272" t="s">
        <v>10591</v>
      </c>
      <c r="C968" s="272" t="s">
        <v>9925</v>
      </c>
      <c r="D968" s="259" t="s">
        <v>9926</v>
      </c>
      <c r="E968" s="265" t="s">
        <v>10655</v>
      </c>
      <c r="F968" s="272" t="s">
        <v>9198</v>
      </c>
      <c r="G968" s="272" t="s">
        <v>9197</v>
      </c>
      <c r="H968" s="265" t="s">
        <v>10893</v>
      </c>
      <c r="I968" s="290" t="s">
        <v>10894</v>
      </c>
      <c r="J968" s="265" t="s">
        <v>10655</v>
      </c>
      <c r="K968" s="265" t="s">
        <v>10655</v>
      </c>
    </row>
    <row r="969" spans="1:11" s="75" customFormat="1" ht="14.55" customHeight="1" x14ac:dyDescent="0.25">
      <c r="A969" s="272" t="s">
        <v>8816</v>
      </c>
      <c r="B969" s="272" t="s">
        <v>10591</v>
      </c>
      <c r="C969" s="272" t="s">
        <v>9925</v>
      </c>
      <c r="D969" s="259" t="s">
        <v>9926</v>
      </c>
      <c r="E969" s="265" t="s">
        <v>10655</v>
      </c>
      <c r="F969" s="272" t="s">
        <v>9198</v>
      </c>
      <c r="G969" s="272" t="s">
        <v>9197</v>
      </c>
      <c r="H969" s="265" t="s">
        <v>10871</v>
      </c>
      <c r="I969" s="290" t="s">
        <v>10872</v>
      </c>
      <c r="J969" s="265" t="s">
        <v>10655</v>
      </c>
      <c r="K969" s="265" t="s">
        <v>10655</v>
      </c>
    </row>
    <row r="970" spans="1:11" s="75" customFormat="1" ht="14.55" customHeight="1" x14ac:dyDescent="0.25">
      <c r="A970" s="272" t="s">
        <v>8816</v>
      </c>
      <c r="B970" s="272" t="s">
        <v>10591</v>
      </c>
      <c r="C970" s="272" t="s">
        <v>9925</v>
      </c>
      <c r="D970" s="259" t="s">
        <v>9926</v>
      </c>
      <c r="E970" s="265" t="s">
        <v>10655</v>
      </c>
      <c r="F970" s="272" t="s">
        <v>9198</v>
      </c>
      <c r="G970" s="272" t="s">
        <v>9197</v>
      </c>
      <c r="H970" s="265" t="s">
        <v>10897</v>
      </c>
      <c r="I970" s="290" t="s">
        <v>10898</v>
      </c>
      <c r="J970" s="265" t="s">
        <v>10655</v>
      </c>
      <c r="K970" s="265" t="s">
        <v>10655</v>
      </c>
    </row>
    <row r="971" spans="1:11" s="75" customFormat="1" ht="14.55" customHeight="1" x14ac:dyDescent="0.25">
      <c r="A971" s="272" t="s">
        <v>8816</v>
      </c>
      <c r="B971" s="272" t="s">
        <v>10591</v>
      </c>
      <c r="C971" s="272" t="s">
        <v>9925</v>
      </c>
      <c r="D971" s="259" t="s">
        <v>9926</v>
      </c>
      <c r="E971" s="265" t="s">
        <v>10655</v>
      </c>
      <c r="F971" s="272" t="s">
        <v>9198</v>
      </c>
      <c r="G971" s="272" t="s">
        <v>9197</v>
      </c>
      <c r="H971" s="265" t="s">
        <v>10873</v>
      </c>
      <c r="I971" s="290" t="s">
        <v>10874</v>
      </c>
      <c r="J971" s="265" t="s">
        <v>10655</v>
      </c>
      <c r="K971" s="265" t="s">
        <v>10655</v>
      </c>
    </row>
    <row r="972" spans="1:11" s="75" customFormat="1" ht="14.55" customHeight="1" x14ac:dyDescent="0.25">
      <c r="A972" s="272" t="s">
        <v>8816</v>
      </c>
      <c r="B972" s="272" t="s">
        <v>10591</v>
      </c>
      <c r="C972" s="272" t="s">
        <v>9927</v>
      </c>
      <c r="D972" s="259" t="s">
        <v>9928</v>
      </c>
      <c r="E972" s="265" t="s">
        <v>10655</v>
      </c>
      <c r="F972" s="272" t="s">
        <v>9198</v>
      </c>
      <c r="G972" s="272" t="s">
        <v>9197</v>
      </c>
      <c r="H972" s="265" t="s">
        <v>10906</v>
      </c>
      <c r="I972" s="290" t="s">
        <v>10907</v>
      </c>
      <c r="J972" s="265" t="s">
        <v>10655</v>
      </c>
      <c r="K972" s="265" t="s">
        <v>10655</v>
      </c>
    </row>
    <row r="973" spans="1:11" s="75" customFormat="1" ht="14.55" customHeight="1" x14ac:dyDescent="0.25">
      <c r="A973" s="272" t="s">
        <v>8816</v>
      </c>
      <c r="B973" s="272" t="s">
        <v>10591</v>
      </c>
      <c r="C973" s="272" t="s">
        <v>9927</v>
      </c>
      <c r="D973" s="259" t="s">
        <v>9928</v>
      </c>
      <c r="E973" s="265" t="s">
        <v>10655</v>
      </c>
      <c r="F973" s="272" t="s">
        <v>9198</v>
      </c>
      <c r="G973" s="272" t="s">
        <v>9197</v>
      </c>
      <c r="H973" s="265" t="s">
        <v>10913</v>
      </c>
      <c r="I973" s="290" t="s">
        <v>10914</v>
      </c>
      <c r="J973" s="265" t="s">
        <v>10655</v>
      </c>
      <c r="K973" s="265" t="s">
        <v>10655</v>
      </c>
    </row>
    <row r="974" spans="1:11" s="75" customFormat="1" ht="14.55" customHeight="1" x14ac:dyDescent="0.25">
      <c r="A974" s="272" t="s">
        <v>8816</v>
      </c>
      <c r="B974" s="272" t="s">
        <v>10591</v>
      </c>
      <c r="C974" s="272" t="s">
        <v>9927</v>
      </c>
      <c r="D974" s="259" t="s">
        <v>9928</v>
      </c>
      <c r="E974" s="265" t="s">
        <v>10655</v>
      </c>
      <c r="F974" s="272" t="s">
        <v>9198</v>
      </c>
      <c r="G974" s="272" t="s">
        <v>9197</v>
      </c>
      <c r="H974" s="265" t="s">
        <v>10915</v>
      </c>
      <c r="I974" s="290" t="s">
        <v>10916</v>
      </c>
      <c r="J974" s="265" t="s">
        <v>10655</v>
      </c>
      <c r="K974" s="265" t="s">
        <v>10655</v>
      </c>
    </row>
    <row r="975" spans="1:11" s="75" customFormat="1" ht="14.55" customHeight="1" x14ac:dyDescent="0.25">
      <c r="A975" s="272" t="s">
        <v>8816</v>
      </c>
      <c r="B975" s="272" t="s">
        <v>10591</v>
      </c>
      <c r="C975" s="272" t="s">
        <v>9927</v>
      </c>
      <c r="D975" s="259" t="s">
        <v>9928</v>
      </c>
      <c r="E975" s="265" t="s">
        <v>10655</v>
      </c>
      <c r="F975" s="272" t="s">
        <v>9198</v>
      </c>
      <c r="G975" s="272" t="s">
        <v>9197</v>
      </c>
      <c r="H975" s="265" t="s">
        <v>10908</v>
      </c>
      <c r="I975" s="290" t="s">
        <v>10909</v>
      </c>
      <c r="J975" s="265" t="s">
        <v>10655</v>
      </c>
      <c r="K975" s="265" t="s">
        <v>10655</v>
      </c>
    </row>
    <row r="976" spans="1:11" s="75" customFormat="1" ht="14.55" customHeight="1" x14ac:dyDescent="0.25">
      <c r="A976" s="272" t="s">
        <v>8816</v>
      </c>
      <c r="B976" s="272" t="s">
        <v>10591</v>
      </c>
      <c r="C976" s="272" t="s">
        <v>9929</v>
      </c>
      <c r="D976" s="259" t="s">
        <v>9930</v>
      </c>
      <c r="E976" s="265" t="s">
        <v>10655</v>
      </c>
      <c r="F976" s="272" t="s">
        <v>9198</v>
      </c>
      <c r="G976" s="272" t="s">
        <v>9197</v>
      </c>
      <c r="H976" s="265" t="s">
        <v>10893</v>
      </c>
      <c r="I976" s="290" t="s">
        <v>10894</v>
      </c>
      <c r="J976" s="265" t="s">
        <v>10655</v>
      </c>
      <c r="K976" s="265" t="s">
        <v>10655</v>
      </c>
    </row>
    <row r="977" spans="1:11" s="75" customFormat="1" ht="14.55" customHeight="1" x14ac:dyDescent="0.25">
      <c r="A977" s="272" t="s">
        <v>8816</v>
      </c>
      <c r="B977" s="272" t="s">
        <v>10591</v>
      </c>
      <c r="C977" s="272" t="s">
        <v>9929</v>
      </c>
      <c r="D977" s="259" t="s">
        <v>9930</v>
      </c>
      <c r="E977" s="265" t="s">
        <v>10655</v>
      </c>
      <c r="F977" s="272" t="s">
        <v>9198</v>
      </c>
      <c r="G977" s="272" t="s">
        <v>9197</v>
      </c>
      <c r="H977" s="265" t="s">
        <v>10871</v>
      </c>
      <c r="I977" s="290" t="s">
        <v>10872</v>
      </c>
      <c r="J977" s="265" t="s">
        <v>10655</v>
      </c>
      <c r="K977" s="265" t="s">
        <v>10655</v>
      </c>
    </row>
    <row r="978" spans="1:11" s="75" customFormat="1" ht="14.55" customHeight="1" x14ac:dyDescent="0.25">
      <c r="A978" s="272" t="s">
        <v>8816</v>
      </c>
      <c r="B978" s="272" t="s">
        <v>10591</v>
      </c>
      <c r="C978" s="272" t="s">
        <v>9929</v>
      </c>
      <c r="D978" s="259" t="s">
        <v>9930</v>
      </c>
      <c r="E978" s="265" t="s">
        <v>10655</v>
      </c>
      <c r="F978" s="272" t="s">
        <v>9198</v>
      </c>
      <c r="G978" s="272" t="s">
        <v>9197</v>
      </c>
      <c r="H978" s="265" t="s">
        <v>10915</v>
      </c>
      <c r="I978" s="290" t="s">
        <v>10916</v>
      </c>
      <c r="J978" s="265" t="s">
        <v>10655</v>
      </c>
      <c r="K978" s="265" t="s">
        <v>10655</v>
      </c>
    </row>
    <row r="979" spans="1:11" s="75" customFormat="1" ht="14.55" customHeight="1" x14ac:dyDescent="0.25">
      <c r="A979" s="272" t="s">
        <v>8816</v>
      </c>
      <c r="B979" s="272" t="s">
        <v>10591</v>
      </c>
      <c r="C979" s="272" t="s">
        <v>9929</v>
      </c>
      <c r="D979" s="259" t="s">
        <v>9930</v>
      </c>
      <c r="E979" s="265" t="s">
        <v>10655</v>
      </c>
      <c r="F979" s="272" t="s">
        <v>9198</v>
      </c>
      <c r="G979" s="272" t="s">
        <v>9197</v>
      </c>
      <c r="H979" s="265" t="s">
        <v>10873</v>
      </c>
      <c r="I979" s="290" t="s">
        <v>10874</v>
      </c>
      <c r="J979" s="265" t="s">
        <v>10655</v>
      </c>
      <c r="K979" s="265" t="s">
        <v>10655</v>
      </c>
    </row>
    <row r="980" spans="1:11" s="75" customFormat="1" ht="14.55" customHeight="1" x14ac:dyDescent="0.25">
      <c r="A980" s="272" t="s">
        <v>8816</v>
      </c>
      <c r="B980" s="272" t="s">
        <v>10591</v>
      </c>
      <c r="C980" s="272" t="s">
        <v>9931</v>
      </c>
      <c r="D980" s="259" t="s">
        <v>9932</v>
      </c>
      <c r="E980" s="265" t="s">
        <v>10655</v>
      </c>
      <c r="F980" s="272" t="s">
        <v>9198</v>
      </c>
      <c r="G980" s="272" t="s">
        <v>9197</v>
      </c>
      <c r="H980" s="265" t="s">
        <v>10913</v>
      </c>
      <c r="I980" s="290" t="s">
        <v>10914</v>
      </c>
      <c r="J980" s="265" t="s">
        <v>10655</v>
      </c>
      <c r="K980" s="265" t="s">
        <v>10655</v>
      </c>
    </row>
    <row r="981" spans="1:11" s="75" customFormat="1" ht="14.55" customHeight="1" x14ac:dyDescent="0.25">
      <c r="A981" s="272" t="s">
        <v>8816</v>
      </c>
      <c r="B981" s="272" t="s">
        <v>10591</v>
      </c>
      <c r="C981" s="272" t="s">
        <v>9931</v>
      </c>
      <c r="D981" s="259" t="s">
        <v>9932</v>
      </c>
      <c r="E981" s="265" t="s">
        <v>10655</v>
      </c>
      <c r="F981" s="272" t="s">
        <v>9198</v>
      </c>
      <c r="G981" s="272" t="s">
        <v>9197</v>
      </c>
      <c r="H981" s="265" t="s">
        <v>10915</v>
      </c>
      <c r="I981" s="290" t="s">
        <v>10916</v>
      </c>
      <c r="J981" s="265" t="s">
        <v>10655</v>
      </c>
      <c r="K981" s="265" t="s">
        <v>10655</v>
      </c>
    </row>
    <row r="982" spans="1:11" s="75" customFormat="1" ht="14.55" customHeight="1" x14ac:dyDescent="0.25">
      <c r="A982" s="272" t="s">
        <v>8816</v>
      </c>
      <c r="B982" s="272" t="s">
        <v>10591</v>
      </c>
      <c r="C982" s="272" t="s">
        <v>9931</v>
      </c>
      <c r="D982" s="259" t="s">
        <v>9932</v>
      </c>
      <c r="E982" s="265" t="s">
        <v>10655</v>
      </c>
      <c r="F982" s="272" t="s">
        <v>9198</v>
      </c>
      <c r="G982" s="272" t="s">
        <v>9197</v>
      </c>
      <c r="H982" s="265" t="s">
        <v>10917</v>
      </c>
      <c r="I982" s="290" t="s">
        <v>10918</v>
      </c>
      <c r="J982" s="265" t="s">
        <v>10655</v>
      </c>
      <c r="K982" s="265" t="s">
        <v>10655</v>
      </c>
    </row>
    <row r="983" spans="1:11" s="75" customFormat="1" ht="14.55" customHeight="1" x14ac:dyDescent="0.25">
      <c r="A983" s="272" t="s">
        <v>8816</v>
      </c>
      <c r="B983" s="272" t="s">
        <v>10591</v>
      </c>
      <c r="C983" s="272" t="s">
        <v>9931</v>
      </c>
      <c r="D983" s="259" t="s">
        <v>9932</v>
      </c>
      <c r="E983" s="265" t="s">
        <v>10655</v>
      </c>
      <c r="F983" s="272" t="s">
        <v>9198</v>
      </c>
      <c r="G983" s="272" t="s">
        <v>9197</v>
      </c>
      <c r="H983" s="265" t="s">
        <v>10919</v>
      </c>
      <c r="I983" s="290" t="s">
        <v>10920</v>
      </c>
      <c r="J983" s="265" t="s">
        <v>10655</v>
      </c>
      <c r="K983" s="265" t="s">
        <v>10655</v>
      </c>
    </row>
    <row r="984" spans="1:11" s="75" customFormat="1" ht="14.55" customHeight="1" x14ac:dyDescent="0.25">
      <c r="A984" s="272" t="s">
        <v>8816</v>
      </c>
      <c r="B984" s="272" t="s">
        <v>10591</v>
      </c>
      <c r="C984" s="272" t="s">
        <v>9933</v>
      </c>
      <c r="D984" s="259" t="s">
        <v>9934</v>
      </c>
      <c r="E984" s="265" t="s">
        <v>10655</v>
      </c>
      <c r="F984" s="272" t="s">
        <v>9198</v>
      </c>
      <c r="G984" s="272" t="s">
        <v>9197</v>
      </c>
      <c r="H984" s="265" t="s">
        <v>10893</v>
      </c>
      <c r="I984" s="290" t="s">
        <v>10894</v>
      </c>
      <c r="J984" s="265" t="s">
        <v>10655</v>
      </c>
      <c r="K984" s="265" t="s">
        <v>10655</v>
      </c>
    </row>
    <row r="985" spans="1:11" s="75" customFormat="1" ht="14.55" customHeight="1" x14ac:dyDescent="0.25">
      <c r="A985" s="272" t="s">
        <v>8816</v>
      </c>
      <c r="B985" s="272" t="s">
        <v>10591</v>
      </c>
      <c r="C985" s="272" t="s">
        <v>9933</v>
      </c>
      <c r="D985" s="259" t="s">
        <v>9934</v>
      </c>
      <c r="E985" s="265" t="s">
        <v>10655</v>
      </c>
      <c r="F985" s="272" t="s">
        <v>9198</v>
      </c>
      <c r="G985" s="272" t="s">
        <v>9197</v>
      </c>
      <c r="H985" s="265" t="s">
        <v>10871</v>
      </c>
      <c r="I985" s="290" t="s">
        <v>10872</v>
      </c>
      <c r="J985" s="265" t="s">
        <v>10655</v>
      </c>
      <c r="K985" s="265" t="s">
        <v>10655</v>
      </c>
    </row>
    <row r="986" spans="1:11" s="75" customFormat="1" ht="14.55" customHeight="1" x14ac:dyDescent="0.25">
      <c r="A986" s="272" t="s">
        <v>8816</v>
      </c>
      <c r="B986" s="272" t="s">
        <v>10591</v>
      </c>
      <c r="C986" s="272" t="s">
        <v>9933</v>
      </c>
      <c r="D986" s="259" t="s">
        <v>9934</v>
      </c>
      <c r="E986" s="265" t="s">
        <v>10655</v>
      </c>
      <c r="F986" s="272" t="s">
        <v>9198</v>
      </c>
      <c r="G986" s="272" t="s">
        <v>9197</v>
      </c>
      <c r="H986" s="265" t="s">
        <v>10915</v>
      </c>
      <c r="I986" s="290" t="s">
        <v>10916</v>
      </c>
      <c r="J986" s="265" t="s">
        <v>10655</v>
      </c>
      <c r="K986" s="265" t="s">
        <v>10655</v>
      </c>
    </row>
    <row r="987" spans="1:11" s="75" customFormat="1" ht="14.55" customHeight="1" x14ac:dyDescent="0.25">
      <c r="A987" s="272" t="s">
        <v>8816</v>
      </c>
      <c r="B987" s="272" t="s">
        <v>10591</v>
      </c>
      <c r="C987" s="272" t="s">
        <v>9933</v>
      </c>
      <c r="D987" s="259" t="s">
        <v>9934</v>
      </c>
      <c r="E987" s="265" t="s">
        <v>10655</v>
      </c>
      <c r="F987" s="272" t="s">
        <v>9198</v>
      </c>
      <c r="G987" s="272" t="s">
        <v>9197</v>
      </c>
      <c r="H987" s="265" t="s">
        <v>10873</v>
      </c>
      <c r="I987" s="290" t="s">
        <v>10874</v>
      </c>
      <c r="J987" s="265" t="s">
        <v>10655</v>
      </c>
      <c r="K987" s="265" t="s">
        <v>10655</v>
      </c>
    </row>
    <row r="988" spans="1:11" s="75" customFormat="1" ht="14.55" customHeight="1" x14ac:dyDescent="0.25">
      <c r="A988" s="272" t="s">
        <v>8816</v>
      </c>
      <c r="B988" s="272" t="s">
        <v>10591</v>
      </c>
      <c r="C988" s="272" t="s">
        <v>9935</v>
      </c>
      <c r="D988" s="259" t="s">
        <v>9936</v>
      </c>
      <c r="E988" s="265" t="s">
        <v>10655</v>
      </c>
      <c r="F988" s="272" t="s">
        <v>9198</v>
      </c>
      <c r="G988" s="272" t="s">
        <v>9197</v>
      </c>
      <c r="H988" s="265" t="s">
        <v>10913</v>
      </c>
      <c r="I988" s="290" t="s">
        <v>10914</v>
      </c>
      <c r="J988" s="265" t="s">
        <v>10655</v>
      </c>
      <c r="K988" s="265" t="s">
        <v>10655</v>
      </c>
    </row>
    <row r="989" spans="1:11" s="75" customFormat="1" ht="14.55" customHeight="1" x14ac:dyDescent="0.25">
      <c r="A989" s="272" t="s">
        <v>8816</v>
      </c>
      <c r="B989" s="272" t="s">
        <v>10591</v>
      </c>
      <c r="C989" s="272" t="s">
        <v>9935</v>
      </c>
      <c r="D989" s="259" t="s">
        <v>9936</v>
      </c>
      <c r="E989" s="265" t="s">
        <v>10655</v>
      </c>
      <c r="F989" s="272" t="s">
        <v>9198</v>
      </c>
      <c r="G989" s="272" t="s">
        <v>9197</v>
      </c>
      <c r="H989" s="265" t="s">
        <v>10915</v>
      </c>
      <c r="I989" s="290" t="s">
        <v>10916</v>
      </c>
      <c r="J989" s="265" t="s">
        <v>10655</v>
      </c>
      <c r="K989" s="265" t="s">
        <v>10655</v>
      </c>
    </row>
    <row r="990" spans="1:11" s="75" customFormat="1" ht="14.55" customHeight="1" x14ac:dyDescent="0.25">
      <c r="A990" s="272" t="s">
        <v>8816</v>
      </c>
      <c r="B990" s="272" t="s">
        <v>10591</v>
      </c>
      <c r="C990" s="272" t="s">
        <v>9935</v>
      </c>
      <c r="D990" s="259" t="s">
        <v>9936</v>
      </c>
      <c r="E990" s="265" t="s">
        <v>10655</v>
      </c>
      <c r="F990" s="272" t="s">
        <v>9198</v>
      </c>
      <c r="G990" s="272" t="s">
        <v>9197</v>
      </c>
      <c r="H990" s="265" t="s">
        <v>10917</v>
      </c>
      <c r="I990" s="290" t="s">
        <v>10918</v>
      </c>
      <c r="J990" s="265" t="s">
        <v>10655</v>
      </c>
      <c r="K990" s="265" t="s">
        <v>10655</v>
      </c>
    </row>
    <row r="991" spans="1:11" s="75" customFormat="1" ht="14.55" customHeight="1" x14ac:dyDescent="0.25">
      <c r="A991" s="272" t="s">
        <v>8816</v>
      </c>
      <c r="B991" s="272" t="s">
        <v>10591</v>
      </c>
      <c r="C991" s="272" t="s">
        <v>9935</v>
      </c>
      <c r="D991" s="259" t="s">
        <v>9936</v>
      </c>
      <c r="E991" s="265" t="s">
        <v>10655</v>
      </c>
      <c r="F991" s="272" t="s">
        <v>9198</v>
      </c>
      <c r="G991" s="272" t="s">
        <v>9197</v>
      </c>
      <c r="H991" s="265" t="s">
        <v>10911</v>
      </c>
      <c r="I991" s="290" t="s">
        <v>10912</v>
      </c>
      <c r="J991" s="265" t="s">
        <v>10655</v>
      </c>
      <c r="K991" s="265" t="s">
        <v>10655</v>
      </c>
    </row>
    <row r="992" spans="1:11" s="75" customFormat="1" ht="14.55" customHeight="1" x14ac:dyDescent="0.25">
      <c r="A992" s="272" t="s">
        <v>8816</v>
      </c>
      <c r="B992" s="272" t="s">
        <v>10591</v>
      </c>
      <c r="C992" s="272" t="s">
        <v>9937</v>
      </c>
      <c r="D992" s="259" t="s">
        <v>9938</v>
      </c>
      <c r="E992" s="265" t="s">
        <v>10655</v>
      </c>
      <c r="F992" s="272" t="s">
        <v>9198</v>
      </c>
      <c r="G992" s="272" t="s">
        <v>9197</v>
      </c>
      <c r="H992" s="265" t="s">
        <v>10915</v>
      </c>
      <c r="I992" s="290" t="s">
        <v>10916</v>
      </c>
      <c r="J992" s="265" t="s">
        <v>10655</v>
      </c>
      <c r="K992" s="265" t="s">
        <v>10655</v>
      </c>
    </row>
    <row r="993" spans="1:11" s="75" customFormat="1" ht="14.55" customHeight="1" x14ac:dyDescent="0.25">
      <c r="A993" s="272" t="s">
        <v>8816</v>
      </c>
      <c r="B993" s="272" t="s">
        <v>10591</v>
      </c>
      <c r="C993" s="272" t="s">
        <v>9937</v>
      </c>
      <c r="D993" s="259" t="s">
        <v>9938</v>
      </c>
      <c r="E993" s="265" t="s">
        <v>10655</v>
      </c>
      <c r="F993" s="272" t="s">
        <v>9198</v>
      </c>
      <c r="G993" s="272" t="s">
        <v>9197</v>
      </c>
      <c r="H993" s="265" t="s">
        <v>10911</v>
      </c>
      <c r="I993" s="290" t="s">
        <v>10912</v>
      </c>
      <c r="J993" s="265" t="s">
        <v>10655</v>
      </c>
      <c r="K993" s="265" t="s">
        <v>10655</v>
      </c>
    </row>
    <row r="994" spans="1:11" s="75" customFormat="1" ht="14.55" customHeight="1" x14ac:dyDescent="0.25">
      <c r="A994" s="272" t="s">
        <v>8816</v>
      </c>
      <c r="B994" s="272" t="s">
        <v>10591</v>
      </c>
      <c r="C994" s="272" t="s">
        <v>9939</v>
      </c>
      <c r="D994" s="259" t="s">
        <v>9940</v>
      </c>
      <c r="E994" s="265" t="s">
        <v>10655</v>
      </c>
      <c r="F994" s="272" t="s">
        <v>9198</v>
      </c>
      <c r="G994" s="272" t="s">
        <v>9197</v>
      </c>
      <c r="H994" s="265" t="s">
        <v>10915</v>
      </c>
      <c r="I994" s="290" t="s">
        <v>10916</v>
      </c>
      <c r="J994" s="265" t="s">
        <v>10655</v>
      </c>
      <c r="K994" s="265" t="s">
        <v>10655</v>
      </c>
    </row>
    <row r="995" spans="1:11" s="75" customFormat="1" ht="14.55" customHeight="1" x14ac:dyDescent="0.25">
      <c r="A995" s="272" t="s">
        <v>8816</v>
      </c>
      <c r="B995" s="272" t="s">
        <v>10591</v>
      </c>
      <c r="C995" s="272" t="s">
        <v>9941</v>
      </c>
      <c r="D995" s="259" t="s">
        <v>9942</v>
      </c>
      <c r="E995" s="265" t="s">
        <v>10655</v>
      </c>
      <c r="F995" s="272" t="s">
        <v>9198</v>
      </c>
      <c r="G995" s="272" t="s">
        <v>9198</v>
      </c>
      <c r="H995" s="265" t="s">
        <v>10915</v>
      </c>
      <c r="I995" s="290" t="s">
        <v>10916</v>
      </c>
      <c r="J995" s="265" t="s">
        <v>10655</v>
      </c>
      <c r="K995" s="265" t="s">
        <v>10655</v>
      </c>
    </row>
    <row r="996" spans="1:11" s="75" customFormat="1" ht="14.55" customHeight="1" x14ac:dyDescent="0.25">
      <c r="A996" s="272" t="s">
        <v>8816</v>
      </c>
      <c r="B996" s="272" t="s">
        <v>10591</v>
      </c>
      <c r="C996" s="272" t="s">
        <v>9943</v>
      </c>
      <c r="D996" s="259" t="s">
        <v>9944</v>
      </c>
      <c r="E996" s="265" t="s">
        <v>10655</v>
      </c>
      <c r="F996" s="272" t="s">
        <v>9198</v>
      </c>
      <c r="G996" s="272" t="s">
        <v>9197</v>
      </c>
      <c r="H996" s="265" t="s">
        <v>10906</v>
      </c>
      <c r="I996" s="290" t="s">
        <v>10907</v>
      </c>
      <c r="J996" s="265" t="s">
        <v>10655</v>
      </c>
      <c r="K996" s="265" t="s">
        <v>10655</v>
      </c>
    </row>
    <row r="997" spans="1:11" s="75" customFormat="1" ht="14.55" customHeight="1" x14ac:dyDescent="0.25">
      <c r="A997" s="272" t="s">
        <v>8816</v>
      </c>
      <c r="B997" s="272" t="s">
        <v>10591</v>
      </c>
      <c r="C997" s="272" t="s">
        <v>9943</v>
      </c>
      <c r="D997" s="259" t="s">
        <v>9944</v>
      </c>
      <c r="E997" s="265" t="s">
        <v>10655</v>
      </c>
      <c r="F997" s="272" t="s">
        <v>9198</v>
      </c>
      <c r="G997" s="272" t="s">
        <v>9197</v>
      </c>
      <c r="H997" s="265" t="s">
        <v>10915</v>
      </c>
      <c r="I997" s="290" t="s">
        <v>10916</v>
      </c>
      <c r="J997" s="265" t="s">
        <v>10655</v>
      </c>
      <c r="K997" s="265" t="s">
        <v>10655</v>
      </c>
    </row>
    <row r="998" spans="1:11" s="75" customFormat="1" ht="14.55" customHeight="1" x14ac:dyDescent="0.25">
      <c r="A998" s="272" t="s">
        <v>8816</v>
      </c>
      <c r="B998" s="272" t="s">
        <v>10591</v>
      </c>
      <c r="C998" s="272" t="s">
        <v>9943</v>
      </c>
      <c r="D998" s="259" t="s">
        <v>9944</v>
      </c>
      <c r="E998" s="265" t="s">
        <v>10655</v>
      </c>
      <c r="F998" s="272" t="s">
        <v>9198</v>
      </c>
      <c r="G998" s="272" t="s">
        <v>9197</v>
      </c>
      <c r="H998" s="265" t="s">
        <v>10908</v>
      </c>
      <c r="I998" s="290" t="s">
        <v>10909</v>
      </c>
      <c r="J998" s="265" t="s">
        <v>10655</v>
      </c>
      <c r="K998" s="265" t="s">
        <v>10655</v>
      </c>
    </row>
    <row r="999" spans="1:11" s="75" customFormat="1" ht="14.55" customHeight="1" x14ac:dyDescent="0.25">
      <c r="A999" s="272" t="s">
        <v>8816</v>
      </c>
      <c r="B999" s="272" t="s">
        <v>10591</v>
      </c>
      <c r="C999" s="272" t="s">
        <v>9945</v>
      </c>
      <c r="D999" s="259" t="s">
        <v>9946</v>
      </c>
      <c r="E999" s="265" t="s">
        <v>10655</v>
      </c>
      <c r="F999" s="272" t="s">
        <v>9198</v>
      </c>
      <c r="G999" s="272" t="s">
        <v>9197</v>
      </c>
      <c r="H999" s="265" t="s">
        <v>10906</v>
      </c>
      <c r="I999" s="290" t="s">
        <v>10907</v>
      </c>
      <c r="J999" s="265" t="s">
        <v>10655</v>
      </c>
      <c r="K999" s="265" t="s">
        <v>10655</v>
      </c>
    </row>
    <row r="1000" spans="1:11" s="75" customFormat="1" ht="14.55" customHeight="1" x14ac:dyDescent="0.25">
      <c r="A1000" s="272" t="s">
        <v>8816</v>
      </c>
      <c r="B1000" s="272" t="s">
        <v>10591</v>
      </c>
      <c r="C1000" s="272" t="s">
        <v>9945</v>
      </c>
      <c r="D1000" s="259" t="s">
        <v>9946</v>
      </c>
      <c r="E1000" s="265" t="s">
        <v>10655</v>
      </c>
      <c r="F1000" s="272" t="s">
        <v>9198</v>
      </c>
      <c r="G1000" s="272" t="s">
        <v>9197</v>
      </c>
      <c r="H1000" s="265" t="s">
        <v>10919</v>
      </c>
      <c r="I1000" s="290" t="s">
        <v>10920</v>
      </c>
      <c r="J1000" s="265" t="s">
        <v>10655</v>
      </c>
      <c r="K1000" s="265" t="s">
        <v>10655</v>
      </c>
    </row>
    <row r="1001" spans="1:11" s="75" customFormat="1" ht="14.55" customHeight="1" x14ac:dyDescent="0.25">
      <c r="A1001" s="272" t="s">
        <v>8816</v>
      </c>
      <c r="B1001" s="272" t="s">
        <v>10591</v>
      </c>
      <c r="C1001" s="272" t="s">
        <v>9945</v>
      </c>
      <c r="D1001" s="259" t="s">
        <v>9946</v>
      </c>
      <c r="E1001" s="265" t="s">
        <v>10655</v>
      </c>
      <c r="F1001" s="272" t="s">
        <v>9198</v>
      </c>
      <c r="G1001" s="272" t="s">
        <v>9197</v>
      </c>
      <c r="H1001" s="265" t="s">
        <v>10908</v>
      </c>
      <c r="I1001" s="290" t="s">
        <v>10909</v>
      </c>
      <c r="J1001" s="265" t="s">
        <v>10655</v>
      </c>
      <c r="K1001" s="265" t="s">
        <v>10655</v>
      </c>
    </row>
    <row r="1002" spans="1:11" s="75" customFormat="1" ht="14.55" customHeight="1" x14ac:dyDescent="0.25">
      <c r="A1002" s="272" t="s">
        <v>8816</v>
      </c>
      <c r="B1002" s="272" t="s">
        <v>10591</v>
      </c>
      <c r="C1002" s="272" t="s">
        <v>9947</v>
      </c>
      <c r="D1002" s="259" t="s">
        <v>9948</v>
      </c>
      <c r="E1002" s="265" t="s">
        <v>10655</v>
      </c>
      <c r="F1002" s="272" t="s">
        <v>9198</v>
      </c>
      <c r="G1002" s="272" t="s">
        <v>9197</v>
      </c>
      <c r="H1002" s="265" t="s">
        <v>10906</v>
      </c>
      <c r="I1002" s="290" t="s">
        <v>10907</v>
      </c>
      <c r="J1002" s="265" t="s">
        <v>10655</v>
      </c>
      <c r="K1002" s="265" t="s">
        <v>10655</v>
      </c>
    </row>
    <row r="1003" spans="1:11" s="75" customFormat="1" ht="14.55" customHeight="1" x14ac:dyDescent="0.25">
      <c r="A1003" s="272" t="s">
        <v>8816</v>
      </c>
      <c r="B1003" s="272" t="s">
        <v>10591</v>
      </c>
      <c r="C1003" s="272" t="s">
        <v>9947</v>
      </c>
      <c r="D1003" s="259" t="s">
        <v>9948</v>
      </c>
      <c r="E1003" s="265" t="s">
        <v>10655</v>
      </c>
      <c r="F1003" s="272" t="s">
        <v>9198</v>
      </c>
      <c r="G1003" s="272" t="s">
        <v>9197</v>
      </c>
      <c r="H1003" s="265" t="s">
        <v>10917</v>
      </c>
      <c r="I1003" s="290" t="s">
        <v>10918</v>
      </c>
      <c r="J1003" s="265" t="s">
        <v>10655</v>
      </c>
      <c r="K1003" s="265" t="s">
        <v>10655</v>
      </c>
    </row>
    <row r="1004" spans="1:11" s="75" customFormat="1" ht="14.55" customHeight="1" x14ac:dyDescent="0.25">
      <c r="A1004" s="272" t="s">
        <v>8816</v>
      </c>
      <c r="B1004" s="272" t="s">
        <v>10591</v>
      </c>
      <c r="C1004" s="272" t="s">
        <v>9947</v>
      </c>
      <c r="D1004" s="259" t="s">
        <v>9948</v>
      </c>
      <c r="E1004" s="265" t="s">
        <v>10655</v>
      </c>
      <c r="F1004" s="272" t="s">
        <v>9198</v>
      </c>
      <c r="G1004" s="272" t="s">
        <v>9197</v>
      </c>
      <c r="H1004" s="265" t="s">
        <v>10908</v>
      </c>
      <c r="I1004" s="290" t="s">
        <v>10909</v>
      </c>
      <c r="J1004" s="265" t="s">
        <v>10655</v>
      </c>
      <c r="K1004" s="265" t="s">
        <v>10655</v>
      </c>
    </row>
    <row r="1005" spans="1:11" s="75" customFormat="1" ht="14.55" customHeight="1" x14ac:dyDescent="0.25">
      <c r="A1005" s="272" t="s">
        <v>8816</v>
      </c>
      <c r="B1005" s="272" t="s">
        <v>10591</v>
      </c>
      <c r="C1005" s="272" t="s">
        <v>9949</v>
      </c>
      <c r="D1005" s="259" t="s">
        <v>9950</v>
      </c>
      <c r="E1005" s="265" t="s">
        <v>10655</v>
      </c>
      <c r="F1005" s="272" t="s">
        <v>9198</v>
      </c>
      <c r="G1005" s="272" t="s">
        <v>9197</v>
      </c>
      <c r="H1005" s="265" t="s">
        <v>10921</v>
      </c>
      <c r="I1005" s="290" t="s">
        <v>10922</v>
      </c>
      <c r="J1005" s="265" t="s">
        <v>10655</v>
      </c>
      <c r="K1005" s="265" t="s">
        <v>10655</v>
      </c>
    </row>
    <row r="1006" spans="1:11" s="75" customFormat="1" ht="14.55" customHeight="1" x14ac:dyDescent="0.25">
      <c r="A1006" s="272" t="s">
        <v>8816</v>
      </c>
      <c r="B1006" s="272" t="s">
        <v>10591</v>
      </c>
      <c r="C1006" s="272" t="s">
        <v>9949</v>
      </c>
      <c r="D1006" s="259" t="s">
        <v>9950</v>
      </c>
      <c r="E1006" s="265" t="s">
        <v>10655</v>
      </c>
      <c r="F1006" s="272" t="s">
        <v>9198</v>
      </c>
      <c r="G1006" s="272" t="s">
        <v>9197</v>
      </c>
      <c r="H1006" s="265" t="s">
        <v>10885</v>
      </c>
      <c r="I1006" s="290" t="s">
        <v>10886</v>
      </c>
      <c r="J1006" s="265" t="s">
        <v>10655</v>
      </c>
      <c r="K1006" s="265" t="s">
        <v>10655</v>
      </c>
    </row>
    <row r="1007" spans="1:11" s="75" customFormat="1" ht="14.55" customHeight="1" x14ac:dyDescent="0.25">
      <c r="A1007" s="272" t="s">
        <v>8816</v>
      </c>
      <c r="B1007" s="272" t="s">
        <v>10591</v>
      </c>
      <c r="C1007" s="272" t="s">
        <v>9949</v>
      </c>
      <c r="D1007" s="259" t="s">
        <v>9950</v>
      </c>
      <c r="E1007" s="265" t="s">
        <v>10655</v>
      </c>
      <c r="F1007" s="272" t="s">
        <v>9198</v>
      </c>
      <c r="G1007" s="272" t="s">
        <v>9197</v>
      </c>
      <c r="H1007" s="265" t="s">
        <v>10887</v>
      </c>
      <c r="I1007" s="290" t="s">
        <v>10888</v>
      </c>
      <c r="J1007" s="265" t="s">
        <v>10655</v>
      </c>
      <c r="K1007" s="265" t="s">
        <v>10655</v>
      </c>
    </row>
    <row r="1008" spans="1:11" s="75" customFormat="1" ht="14.55" customHeight="1" x14ac:dyDescent="0.25">
      <c r="A1008" s="272" t="s">
        <v>8816</v>
      </c>
      <c r="B1008" s="272" t="s">
        <v>10591</v>
      </c>
      <c r="C1008" s="272" t="s">
        <v>9949</v>
      </c>
      <c r="D1008" s="259" t="s">
        <v>9950</v>
      </c>
      <c r="E1008" s="265" t="s">
        <v>10655</v>
      </c>
      <c r="F1008" s="272" t="s">
        <v>9198</v>
      </c>
      <c r="G1008" s="272" t="s">
        <v>9197</v>
      </c>
      <c r="H1008" s="265" t="s">
        <v>10869</v>
      </c>
      <c r="I1008" s="290" t="s">
        <v>10870</v>
      </c>
      <c r="J1008" s="265" t="s">
        <v>10655</v>
      </c>
      <c r="K1008" s="265" t="s">
        <v>10655</v>
      </c>
    </row>
    <row r="1009" spans="1:11" s="75" customFormat="1" ht="14.55" customHeight="1" x14ac:dyDescent="0.25">
      <c r="A1009" s="272" t="s">
        <v>8816</v>
      </c>
      <c r="B1009" s="272" t="s">
        <v>10591</v>
      </c>
      <c r="C1009" s="272" t="s">
        <v>9949</v>
      </c>
      <c r="D1009" s="259" t="s">
        <v>9950</v>
      </c>
      <c r="E1009" s="265" t="s">
        <v>10655</v>
      </c>
      <c r="F1009" s="272" t="s">
        <v>9198</v>
      </c>
      <c r="G1009" s="272" t="s">
        <v>9197</v>
      </c>
      <c r="H1009" s="265" t="s">
        <v>10889</v>
      </c>
      <c r="I1009" s="290" t="s">
        <v>10890</v>
      </c>
      <c r="J1009" s="265" t="s">
        <v>10655</v>
      </c>
      <c r="K1009" s="265" t="s">
        <v>10655</v>
      </c>
    </row>
    <row r="1010" spans="1:11" s="75" customFormat="1" ht="14.55" customHeight="1" x14ac:dyDescent="0.25">
      <c r="A1010" s="272" t="s">
        <v>8816</v>
      </c>
      <c r="B1010" s="272" t="s">
        <v>10591</v>
      </c>
      <c r="C1010" s="272" t="s">
        <v>9949</v>
      </c>
      <c r="D1010" s="259" t="s">
        <v>9950</v>
      </c>
      <c r="E1010" s="265" t="s">
        <v>10655</v>
      </c>
      <c r="F1010" s="272" t="s">
        <v>9198</v>
      </c>
      <c r="G1010" s="272" t="s">
        <v>9197</v>
      </c>
      <c r="H1010" s="265" t="s">
        <v>10891</v>
      </c>
      <c r="I1010" s="290" t="s">
        <v>10892</v>
      </c>
      <c r="J1010" s="265" t="s">
        <v>10655</v>
      </c>
      <c r="K1010" s="265" t="s">
        <v>10655</v>
      </c>
    </row>
    <row r="1011" spans="1:11" s="75" customFormat="1" ht="14.55" customHeight="1" x14ac:dyDescent="0.25">
      <c r="A1011" s="272" t="s">
        <v>8816</v>
      </c>
      <c r="B1011" s="272" t="s">
        <v>10591</v>
      </c>
      <c r="C1011" s="272" t="s">
        <v>9949</v>
      </c>
      <c r="D1011" s="259" t="s">
        <v>9950</v>
      </c>
      <c r="E1011" s="265" t="s">
        <v>10655</v>
      </c>
      <c r="F1011" s="272" t="s">
        <v>9198</v>
      </c>
      <c r="G1011" s="272" t="s">
        <v>9197</v>
      </c>
      <c r="H1011" s="265" t="s">
        <v>10895</v>
      </c>
      <c r="I1011" s="290" t="s">
        <v>10896</v>
      </c>
      <c r="J1011" s="265" t="s">
        <v>10655</v>
      </c>
      <c r="K1011" s="265" t="s">
        <v>10655</v>
      </c>
    </row>
    <row r="1012" spans="1:11" s="75" customFormat="1" ht="14.55" customHeight="1" x14ac:dyDescent="0.25">
      <c r="A1012" s="272" t="s">
        <v>8816</v>
      </c>
      <c r="B1012" s="272" t="s">
        <v>10591</v>
      </c>
      <c r="C1012" s="272" t="s">
        <v>9949</v>
      </c>
      <c r="D1012" s="259" t="s">
        <v>9950</v>
      </c>
      <c r="E1012" s="265" t="s">
        <v>10655</v>
      </c>
      <c r="F1012" s="272" t="s">
        <v>9198</v>
      </c>
      <c r="G1012" s="272" t="s">
        <v>9197</v>
      </c>
      <c r="H1012" s="265" t="s">
        <v>10897</v>
      </c>
      <c r="I1012" s="290" t="s">
        <v>10898</v>
      </c>
      <c r="J1012" s="265" t="s">
        <v>10655</v>
      </c>
      <c r="K1012" s="265" t="s">
        <v>10655</v>
      </c>
    </row>
    <row r="1013" spans="1:11" s="75" customFormat="1" ht="14.55" customHeight="1" x14ac:dyDescent="0.25">
      <c r="A1013" s="272" t="s">
        <v>8816</v>
      </c>
      <c r="B1013" s="272" t="s">
        <v>10591</v>
      </c>
      <c r="C1013" s="272" t="s">
        <v>9949</v>
      </c>
      <c r="D1013" s="259" t="s">
        <v>9950</v>
      </c>
      <c r="E1013" s="265" t="s">
        <v>10655</v>
      </c>
      <c r="F1013" s="272" t="s">
        <v>9198</v>
      </c>
      <c r="G1013" s="272" t="s">
        <v>9197</v>
      </c>
      <c r="H1013" s="265" t="s">
        <v>10873</v>
      </c>
      <c r="I1013" s="290" t="s">
        <v>10874</v>
      </c>
      <c r="J1013" s="265" t="s">
        <v>10655</v>
      </c>
      <c r="K1013" s="265" t="s">
        <v>10655</v>
      </c>
    </row>
    <row r="1014" spans="1:11" s="75" customFormat="1" ht="14.55" customHeight="1" x14ac:dyDescent="0.25">
      <c r="A1014" s="272" t="s">
        <v>8816</v>
      </c>
      <c r="B1014" s="272" t="s">
        <v>10591</v>
      </c>
      <c r="C1014" s="272" t="s">
        <v>9951</v>
      </c>
      <c r="D1014" s="259" t="s">
        <v>9952</v>
      </c>
      <c r="E1014" s="265" t="s">
        <v>10655</v>
      </c>
      <c r="F1014" s="272" t="s">
        <v>9198</v>
      </c>
      <c r="G1014" s="272" t="s">
        <v>9197</v>
      </c>
      <c r="H1014" s="265" t="s">
        <v>10887</v>
      </c>
      <c r="I1014" s="290" t="s">
        <v>10888</v>
      </c>
      <c r="J1014" s="265" t="s">
        <v>10655</v>
      </c>
      <c r="K1014" s="265" t="s">
        <v>10655</v>
      </c>
    </row>
    <row r="1015" spans="1:11" s="75" customFormat="1" ht="14.55" customHeight="1" x14ac:dyDescent="0.25">
      <c r="A1015" s="272" t="s">
        <v>8816</v>
      </c>
      <c r="B1015" s="272" t="s">
        <v>10591</v>
      </c>
      <c r="C1015" s="272" t="s">
        <v>9951</v>
      </c>
      <c r="D1015" s="259" t="s">
        <v>9952</v>
      </c>
      <c r="E1015" s="265" t="s">
        <v>10655</v>
      </c>
      <c r="F1015" s="272" t="s">
        <v>9198</v>
      </c>
      <c r="G1015" s="272" t="s">
        <v>9197</v>
      </c>
      <c r="H1015" s="265" t="s">
        <v>10869</v>
      </c>
      <c r="I1015" s="290" t="s">
        <v>10870</v>
      </c>
      <c r="J1015" s="265" t="s">
        <v>10655</v>
      </c>
      <c r="K1015" s="265" t="s">
        <v>10655</v>
      </c>
    </row>
    <row r="1016" spans="1:11" s="75" customFormat="1" ht="14.55" customHeight="1" x14ac:dyDescent="0.25">
      <c r="A1016" s="272" t="s">
        <v>8816</v>
      </c>
      <c r="B1016" s="272" t="s">
        <v>10591</v>
      </c>
      <c r="C1016" s="272" t="s">
        <v>9951</v>
      </c>
      <c r="D1016" s="259" t="s">
        <v>9952</v>
      </c>
      <c r="E1016" s="265" t="s">
        <v>10655</v>
      </c>
      <c r="F1016" s="272" t="s">
        <v>9198</v>
      </c>
      <c r="G1016" s="272" t="s">
        <v>9197</v>
      </c>
      <c r="H1016" s="265" t="s">
        <v>10897</v>
      </c>
      <c r="I1016" s="290" t="s">
        <v>10898</v>
      </c>
      <c r="J1016" s="265" t="s">
        <v>10655</v>
      </c>
      <c r="K1016" s="265" t="s">
        <v>10655</v>
      </c>
    </row>
    <row r="1017" spans="1:11" s="75" customFormat="1" ht="14.55" customHeight="1" x14ac:dyDescent="0.25">
      <c r="A1017" s="272" t="s">
        <v>8816</v>
      </c>
      <c r="B1017" s="272" t="s">
        <v>10591</v>
      </c>
      <c r="C1017" s="272" t="s">
        <v>9951</v>
      </c>
      <c r="D1017" s="259" t="s">
        <v>9952</v>
      </c>
      <c r="E1017" s="265" t="s">
        <v>10655</v>
      </c>
      <c r="F1017" s="272" t="s">
        <v>9198</v>
      </c>
      <c r="G1017" s="272" t="s">
        <v>9197</v>
      </c>
      <c r="H1017" s="265" t="s">
        <v>10873</v>
      </c>
      <c r="I1017" s="290" t="s">
        <v>10874</v>
      </c>
      <c r="J1017" s="265" t="s">
        <v>10655</v>
      </c>
      <c r="K1017" s="265" t="s">
        <v>10655</v>
      </c>
    </row>
    <row r="1018" spans="1:11" s="75" customFormat="1" ht="14.55" customHeight="1" x14ac:dyDescent="0.25">
      <c r="A1018" s="272" t="s">
        <v>8816</v>
      </c>
      <c r="B1018" s="272" t="s">
        <v>10591</v>
      </c>
      <c r="C1018" s="272" t="s">
        <v>9953</v>
      </c>
      <c r="D1018" s="259" t="s">
        <v>9954</v>
      </c>
      <c r="E1018" s="265" t="s">
        <v>10655</v>
      </c>
      <c r="F1018" s="272" t="s">
        <v>9198</v>
      </c>
      <c r="G1018" s="272" t="s">
        <v>9198</v>
      </c>
      <c r="H1018" s="265" t="s">
        <v>10887</v>
      </c>
      <c r="I1018" s="290" t="s">
        <v>10888</v>
      </c>
      <c r="J1018" s="265" t="s">
        <v>10655</v>
      </c>
      <c r="K1018" s="265" t="s">
        <v>10655</v>
      </c>
    </row>
    <row r="1019" spans="1:11" s="75" customFormat="1" ht="14.55" customHeight="1" x14ac:dyDescent="0.25">
      <c r="A1019" s="272" t="s">
        <v>8816</v>
      </c>
      <c r="B1019" s="272" t="s">
        <v>10591</v>
      </c>
      <c r="C1019" s="272" t="s">
        <v>9953</v>
      </c>
      <c r="D1019" s="259" t="s">
        <v>9954</v>
      </c>
      <c r="E1019" s="265" t="s">
        <v>10655</v>
      </c>
      <c r="F1019" s="272" t="s">
        <v>9198</v>
      </c>
      <c r="G1019" s="272" t="s">
        <v>9198</v>
      </c>
      <c r="H1019" s="265" t="s">
        <v>10869</v>
      </c>
      <c r="I1019" s="290" t="s">
        <v>10870</v>
      </c>
      <c r="J1019" s="265" t="s">
        <v>10655</v>
      </c>
      <c r="K1019" s="265" t="s">
        <v>10655</v>
      </c>
    </row>
    <row r="1020" spans="1:11" s="75" customFormat="1" ht="14.55" customHeight="1" x14ac:dyDescent="0.25">
      <c r="A1020" s="272" t="s">
        <v>8816</v>
      </c>
      <c r="B1020" s="272" t="s">
        <v>10591</v>
      </c>
      <c r="C1020" s="272" t="s">
        <v>9953</v>
      </c>
      <c r="D1020" s="259" t="s">
        <v>9954</v>
      </c>
      <c r="E1020" s="265" t="s">
        <v>10655</v>
      </c>
      <c r="F1020" s="272" t="s">
        <v>9198</v>
      </c>
      <c r="G1020" s="272" t="s">
        <v>9198</v>
      </c>
      <c r="H1020" s="265" t="s">
        <v>10895</v>
      </c>
      <c r="I1020" s="290" t="s">
        <v>10896</v>
      </c>
      <c r="J1020" s="265" t="s">
        <v>10655</v>
      </c>
      <c r="K1020" s="265" t="s">
        <v>10655</v>
      </c>
    </row>
    <row r="1021" spans="1:11" s="75" customFormat="1" ht="14.55" customHeight="1" x14ac:dyDescent="0.25">
      <c r="A1021" s="272" t="s">
        <v>8816</v>
      </c>
      <c r="B1021" s="272" t="s">
        <v>10591</v>
      </c>
      <c r="C1021" s="272" t="s">
        <v>9953</v>
      </c>
      <c r="D1021" s="259" t="s">
        <v>9954</v>
      </c>
      <c r="E1021" s="265" t="s">
        <v>10655</v>
      </c>
      <c r="F1021" s="272" t="s">
        <v>9198</v>
      </c>
      <c r="G1021" s="272" t="s">
        <v>9198</v>
      </c>
      <c r="H1021" s="265" t="s">
        <v>10873</v>
      </c>
      <c r="I1021" s="290" t="s">
        <v>10874</v>
      </c>
      <c r="J1021" s="265" t="s">
        <v>10655</v>
      </c>
      <c r="K1021" s="265" t="s">
        <v>10655</v>
      </c>
    </row>
    <row r="1022" spans="1:11" s="75" customFormat="1" ht="14.55" customHeight="1" x14ac:dyDescent="0.25">
      <c r="A1022" s="272" t="s">
        <v>8816</v>
      </c>
      <c r="B1022" s="272" t="s">
        <v>10591</v>
      </c>
      <c r="C1022" s="272" t="s">
        <v>9955</v>
      </c>
      <c r="D1022" s="259" t="s">
        <v>9956</v>
      </c>
      <c r="E1022" s="265" t="s">
        <v>10655</v>
      </c>
      <c r="F1022" s="272" t="s">
        <v>9198</v>
      </c>
      <c r="G1022" s="272" t="s">
        <v>9197</v>
      </c>
      <c r="H1022" s="265" t="s">
        <v>10921</v>
      </c>
      <c r="I1022" s="290" t="s">
        <v>10922</v>
      </c>
      <c r="J1022" s="265" t="s">
        <v>10655</v>
      </c>
      <c r="K1022" s="265" t="s">
        <v>10655</v>
      </c>
    </row>
    <row r="1023" spans="1:11" s="75" customFormat="1" ht="14.55" customHeight="1" x14ac:dyDescent="0.25">
      <c r="A1023" s="272" t="s">
        <v>8816</v>
      </c>
      <c r="B1023" s="272" t="s">
        <v>10591</v>
      </c>
      <c r="C1023" s="272" t="s">
        <v>9955</v>
      </c>
      <c r="D1023" s="259" t="s">
        <v>9956</v>
      </c>
      <c r="E1023" s="265" t="s">
        <v>10655</v>
      </c>
      <c r="F1023" s="272" t="s">
        <v>9198</v>
      </c>
      <c r="G1023" s="272" t="s">
        <v>9197</v>
      </c>
      <c r="H1023" s="265" t="s">
        <v>10885</v>
      </c>
      <c r="I1023" s="290" t="s">
        <v>10886</v>
      </c>
      <c r="J1023" s="265" t="s">
        <v>10655</v>
      </c>
      <c r="K1023" s="265" t="s">
        <v>10655</v>
      </c>
    </row>
    <row r="1024" spans="1:11" s="75" customFormat="1" ht="14.55" customHeight="1" x14ac:dyDescent="0.25">
      <c r="A1024" s="272" t="s">
        <v>8816</v>
      </c>
      <c r="B1024" s="272" t="s">
        <v>10591</v>
      </c>
      <c r="C1024" s="272" t="s">
        <v>9955</v>
      </c>
      <c r="D1024" s="259" t="s">
        <v>9956</v>
      </c>
      <c r="E1024" s="265" t="s">
        <v>10655</v>
      </c>
      <c r="F1024" s="272" t="s">
        <v>9198</v>
      </c>
      <c r="G1024" s="272" t="s">
        <v>9197</v>
      </c>
      <c r="H1024" s="265" t="s">
        <v>10887</v>
      </c>
      <c r="I1024" s="290" t="s">
        <v>10888</v>
      </c>
      <c r="J1024" s="265" t="s">
        <v>10655</v>
      </c>
      <c r="K1024" s="265" t="s">
        <v>10655</v>
      </c>
    </row>
    <row r="1025" spans="1:11" s="75" customFormat="1" ht="14.55" customHeight="1" x14ac:dyDescent="0.25">
      <c r="A1025" s="272" t="s">
        <v>8816</v>
      </c>
      <c r="B1025" s="272" t="s">
        <v>10591</v>
      </c>
      <c r="C1025" s="272" t="s">
        <v>9955</v>
      </c>
      <c r="D1025" s="259" t="s">
        <v>9956</v>
      </c>
      <c r="E1025" s="265" t="s">
        <v>10655</v>
      </c>
      <c r="F1025" s="272" t="s">
        <v>9198</v>
      </c>
      <c r="G1025" s="272" t="s">
        <v>9197</v>
      </c>
      <c r="H1025" s="265" t="s">
        <v>10869</v>
      </c>
      <c r="I1025" s="290" t="s">
        <v>10870</v>
      </c>
      <c r="J1025" s="265" t="s">
        <v>10655</v>
      </c>
      <c r="K1025" s="265" t="s">
        <v>10655</v>
      </c>
    </row>
    <row r="1026" spans="1:11" s="75" customFormat="1" ht="14.55" customHeight="1" x14ac:dyDescent="0.25">
      <c r="A1026" s="272" t="s">
        <v>8816</v>
      </c>
      <c r="B1026" s="272" t="s">
        <v>10591</v>
      </c>
      <c r="C1026" s="272" t="s">
        <v>9955</v>
      </c>
      <c r="D1026" s="259" t="s">
        <v>9956</v>
      </c>
      <c r="E1026" s="265" t="s">
        <v>10655</v>
      </c>
      <c r="F1026" s="272" t="s">
        <v>9198</v>
      </c>
      <c r="G1026" s="272" t="s">
        <v>9197</v>
      </c>
      <c r="H1026" s="265" t="s">
        <v>10889</v>
      </c>
      <c r="I1026" s="290" t="s">
        <v>10890</v>
      </c>
      <c r="J1026" s="265" t="s">
        <v>10655</v>
      </c>
      <c r="K1026" s="265" t="s">
        <v>10655</v>
      </c>
    </row>
    <row r="1027" spans="1:11" s="75" customFormat="1" ht="14.55" customHeight="1" x14ac:dyDescent="0.25">
      <c r="A1027" s="272" t="s">
        <v>8816</v>
      </c>
      <c r="B1027" s="272" t="s">
        <v>10591</v>
      </c>
      <c r="C1027" s="272" t="s">
        <v>9955</v>
      </c>
      <c r="D1027" s="259" t="s">
        <v>9956</v>
      </c>
      <c r="E1027" s="265" t="s">
        <v>10655</v>
      </c>
      <c r="F1027" s="272" t="s">
        <v>9198</v>
      </c>
      <c r="G1027" s="272" t="s">
        <v>9197</v>
      </c>
      <c r="H1027" s="265" t="s">
        <v>10893</v>
      </c>
      <c r="I1027" s="290" t="s">
        <v>10894</v>
      </c>
      <c r="J1027" s="265" t="s">
        <v>10655</v>
      </c>
      <c r="K1027" s="265" t="s">
        <v>10655</v>
      </c>
    </row>
    <row r="1028" spans="1:11" s="75" customFormat="1" ht="14.55" customHeight="1" x14ac:dyDescent="0.25">
      <c r="A1028" s="272" t="s">
        <v>8816</v>
      </c>
      <c r="B1028" s="272" t="s">
        <v>10591</v>
      </c>
      <c r="C1028" s="272" t="s">
        <v>9955</v>
      </c>
      <c r="D1028" s="259" t="s">
        <v>9956</v>
      </c>
      <c r="E1028" s="265" t="s">
        <v>10655</v>
      </c>
      <c r="F1028" s="272" t="s">
        <v>9198</v>
      </c>
      <c r="G1028" s="272" t="s">
        <v>9197</v>
      </c>
      <c r="H1028" s="265" t="s">
        <v>10895</v>
      </c>
      <c r="I1028" s="290" t="s">
        <v>10896</v>
      </c>
      <c r="J1028" s="265" t="s">
        <v>10655</v>
      </c>
      <c r="K1028" s="265" t="s">
        <v>10655</v>
      </c>
    </row>
    <row r="1029" spans="1:11" s="75" customFormat="1" ht="14.55" customHeight="1" x14ac:dyDescent="0.25">
      <c r="A1029" s="272" t="s">
        <v>8816</v>
      </c>
      <c r="B1029" s="272" t="s">
        <v>10591</v>
      </c>
      <c r="C1029" s="272" t="s">
        <v>9955</v>
      </c>
      <c r="D1029" s="259" t="s">
        <v>9956</v>
      </c>
      <c r="E1029" s="265" t="s">
        <v>10655</v>
      </c>
      <c r="F1029" s="272" t="s">
        <v>9198</v>
      </c>
      <c r="G1029" s="272" t="s">
        <v>9197</v>
      </c>
      <c r="H1029" s="265" t="s">
        <v>10897</v>
      </c>
      <c r="I1029" s="290" t="s">
        <v>10898</v>
      </c>
      <c r="J1029" s="265" t="s">
        <v>10655</v>
      </c>
      <c r="K1029" s="265" t="s">
        <v>10655</v>
      </c>
    </row>
    <row r="1030" spans="1:11" s="75" customFormat="1" ht="14.55" customHeight="1" x14ac:dyDescent="0.25">
      <c r="A1030" s="272" t="s">
        <v>8816</v>
      </c>
      <c r="B1030" s="272" t="s">
        <v>10591</v>
      </c>
      <c r="C1030" s="272" t="s">
        <v>9955</v>
      </c>
      <c r="D1030" s="259" t="s">
        <v>9956</v>
      </c>
      <c r="E1030" s="265" t="s">
        <v>10655</v>
      </c>
      <c r="F1030" s="272" t="s">
        <v>9198</v>
      </c>
      <c r="G1030" s="272" t="s">
        <v>9197</v>
      </c>
      <c r="H1030" s="265" t="s">
        <v>10873</v>
      </c>
      <c r="I1030" s="290" t="s">
        <v>10874</v>
      </c>
      <c r="J1030" s="265" t="s">
        <v>10655</v>
      </c>
      <c r="K1030" s="265" t="s">
        <v>10655</v>
      </c>
    </row>
    <row r="1031" spans="1:11" s="75" customFormat="1" ht="14.55" customHeight="1" x14ac:dyDescent="0.25">
      <c r="A1031" s="272" t="s">
        <v>8816</v>
      </c>
      <c r="B1031" s="272" t="s">
        <v>10591</v>
      </c>
      <c r="C1031" s="272" t="s">
        <v>9957</v>
      </c>
      <c r="D1031" s="259" t="s">
        <v>9958</v>
      </c>
      <c r="E1031" s="265" t="s">
        <v>10655</v>
      </c>
      <c r="F1031" s="272" t="s">
        <v>9198</v>
      </c>
      <c r="G1031" s="272" t="s">
        <v>9197</v>
      </c>
      <c r="H1031" s="265" t="s">
        <v>10906</v>
      </c>
      <c r="I1031" s="290" t="s">
        <v>10907</v>
      </c>
      <c r="J1031" s="265" t="s">
        <v>10655</v>
      </c>
      <c r="K1031" s="265" t="s">
        <v>10655</v>
      </c>
    </row>
    <row r="1032" spans="1:11" s="75" customFormat="1" ht="14.55" customHeight="1" x14ac:dyDescent="0.25">
      <c r="A1032" s="272" t="s">
        <v>8816</v>
      </c>
      <c r="B1032" s="272" t="s">
        <v>10591</v>
      </c>
      <c r="C1032" s="272" t="s">
        <v>9957</v>
      </c>
      <c r="D1032" s="259" t="s">
        <v>9958</v>
      </c>
      <c r="E1032" s="265" t="s">
        <v>10655</v>
      </c>
      <c r="F1032" s="272" t="s">
        <v>9198</v>
      </c>
      <c r="G1032" s="272" t="s">
        <v>9197</v>
      </c>
      <c r="H1032" s="265" t="s">
        <v>10887</v>
      </c>
      <c r="I1032" s="290" t="s">
        <v>10888</v>
      </c>
      <c r="J1032" s="265" t="s">
        <v>10655</v>
      </c>
      <c r="K1032" s="265" t="s">
        <v>10655</v>
      </c>
    </row>
    <row r="1033" spans="1:11" s="75" customFormat="1" ht="14.55" customHeight="1" x14ac:dyDescent="0.25">
      <c r="A1033" s="272" t="s">
        <v>8816</v>
      </c>
      <c r="B1033" s="272" t="s">
        <v>10591</v>
      </c>
      <c r="C1033" s="272" t="s">
        <v>9957</v>
      </c>
      <c r="D1033" s="259" t="s">
        <v>9958</v>
      </c>
      <c r="E1033" s="265" t="s">
        <v>10655</v>
      </c>
      <c r="F1033" s="272" t="s">
        <v>9198</v>
      </c>
      <c r="G1033" s="272" t="s">
        <v>9197</v>
      </c>
      <c r="H1033" s="265" t="s">
        <v>10869</v>
      </c>
      <c r="I1033" s="290" t="s">
        <v>10870</v>
      </c>
      <c r="J1033" s="265" t="s">
        <v>10655</v>
      </c>
      <c r="K1033" s="265" t="s">
        <v>10655</v>
      </c>
    </row>
    <row r="1034" spans="1:11" s="75" customFormat="1" ht="14.55" customHeight="1" x14ac:dyDescent="0.25">
      <c r="A1034" s="272" t="s">
        <v>8816</v>
      </c>
      <c r="B1034" s="272" t="s">
        <v>10591</v>
      </c>
      <c r="C1034" s="272" t="s">
        <v>9957</v>
      </c>
      <c r="D1034" s="259" t="s">
        <v>9958</v>
      </c>
      <c r="E1034" s="265" t="s">
        <v>10655</v>
      </c>
      <c r="F1034" s="272" t="s">
        <v>9198</v>
      </c>
      <c r="G1034" s="272" t="s">
        <v>9197</v>
      </c>
      <c r="H1034" s="265" t="s">
        <v>10908</v>
      </c>
      <c r="I1034" s="290" t="s">
        <v>10909</v>
      </c>
      <c r="J1034" s="265" t="s">
        <v>10655</v>
      </c>
      <c r="K1034" s="265" t="s">
        <v>10655</v>
      </c>
    </row>
    <row r="1035" spans="1:11" s="75" customFormat="1" ht="14.55" customHeight="1" x14ac:dyDescent="0.25">
      <c r="A1035" s="272" t="s">
        <v>8816</v>
      </c>
      <c r="B1035" s="272" t="s">
        <v>10591</v>
      </c>
      <c r="C1035" s="272" t="s">
        <v>9957</v>
      </c>
      <c r="D1035" s="259" t="s">
        <v>9958</v>
      </c>
      <c r="E1035" s="265" t="s">
        <v>10655</v>
      </c>
      <c r="F1035" s="272" t="s">
        <v>9198</v>
      </c>
      <c r="G1035" s="272" t="s">
        <v>9197</v>
      </c>
      <c r="H1035" s="265" t="s">
        <v>10897</v>
      </c>
      <c r="I1035" s="290" t="s">
        <v>10898</v>
      </c>
      <c r="J1035" s="265" t="s">
        <v>10655</v>
      </c>
      <c r="K1035" s="265" t="s">
        <v>10655</v>
      </c>
    </row>
    <row r="1036" spans="1:11" s="75" customFormat="1" ht="14.55" customHeight="1" x14ac:dyDescent="0.25">
      <c r="A1036" s="272" t="s">
        <v>8816</v>
      </c>
      <c r="B1036" s="272" t="s">
        <v>10591</v>
      </c>
      <c r="C1036" s="272" t="s">
        <v>9957</v>
      </c>
      <c r="D1036" s="259" t="s">
        <v>9958</v>
      </c>
      <c r="E1036" s="265" t="s">
        <v>10655</v>
      </c>
      <c r="F1036" s="272" t="s">
        <v>9198</v>
      </c>
      <c r="G1036" s="272" t="s">
        <v>9197</v>
      </c>
      <c r="H1036" s="265" t="s">
        <v>10873</v>
      </c>
      <c r="I1036" s="290" t="s">
        <v>10874</v>
      </c>
      <c r="J1036" s="265" t="s">
        <v>10655</v>
      </c>
      <c r="K1036" s="265" t="s">
        <v>10655</v>
      </c>
    </row>
    <row r="1037" spans="1:11" s="75" customFormat="1" ht="14.55" customHeight="1" x14ac:dyDescent="0.25">
      <c r="A1037" s="272" t="s">
        <v>8816</v>
      </c>
      <c r="B1037" s="272" t="s">
        <v>10591</v>
      </c>
      <c r="C1037" s="272" t="s">
        <v>9959</v>
      </c>
      <c r="D1037" s="259" t="s">
        <v>9960</v>
      </c>
      <c r="E1037" s="265" t="s">
        <v>10655</v>
      </c>
      <c r="F1037" s="272" t="s">
        <v>9198</v>
      </c>
      <c r="G1037" s="272" t="s">
        <v>9198</v>
      </c>
      <c r="H1037" s="265" t="s">
        <v>10897</v>
      </c>
      <c r="I1037" s="290" t="s">
        <v>10898</v>
      </c>
      <c r="J1037" s="265" t="s">
        <v>10655</v>
      </c>
      <c r="K1037" s="265" t="s">
        <v>10655</v>
      </c>
    </row>
    <row r="1038" spans="1:11" s="75" customFormat="1" ht="14.55" customHeight="1" x14ac:dyDescent="0.25">
      <c r="A1038" s="272" t="s">
        <v>8816</v>
      </c>
      <c r="B1038" s="272" t="s">
        <v>10591</v>
      </c>
      <c r="C1038" s="272" t="s">
        <v>9959</v>
      </c>
      <c r="D1038" s="259" t="s">
        <v>9960</v>
      </c>
      <c r="E1038" s="265" t="s">
        <v>10655</v>
      </c>
      <c r="F1038" s="272" t="s">
        <v>9198</v>
      </c>
      <c r="G1038" s="272" t="s">
        <v>9198</v>
      </c>
      <c r="H1038" s="265" t="s">
        <v>10869</v>
      </c>
      <c r="I1038" s="290" t="s">
        <v>10870</v>
      </c>
      <c r="J1038" s="265" t="s">
        <v>10655</v>
      </c>
      <c r="K1038" s="265" t="s">
        <v>10655</v>
      </c>
    </row>
    <row r="1039" spans="1:11" s="75" customFormat="1" ht="14.55" customHeight="1" x14ac:dyDescent="0.25">
      <c r="A1039" s="272" t="s">
        <v>8816</v>
      </c>
      <c r="B1039" s="272" t="s">
        <v>10591</v>
      </c>
      <c r="C1039" s="272" t="s">
        <v>9959</v>
      </c>
      <c r="D1039" s="259" t="s">
        <v>9960</v>
      </c>
      <c r="E1039" s="265" t="s">
        <v>10655</v>
      </c>
      <c r="F1039" s="272" t="s">
        <v>9198</v>
      </c>
      <c r="G1039" s="272" t="s">
        <v>9198</v>
      </c>
      <c r="H1039" s="265" t="s">
        <v>10889</v>
      </c>
      <c r="I1039" s="290" t="s">
        <v>10890</v>
      </c>
      <c r="J1039" s="265" t="s">
        <v>10655</v>
      </c>
      <c r="K1039" s="265" t="s">
        <v>10655</v>
      </c>
    </row>
    <row r="1040" spans="1:11" s="75" customFormat="1" ht="14.55" customHeight="1" x14ac:dyDescent="0.25">
      <c r="A1040" s="272" t="s">
        <v>8816</v>
      </c>
      <c r="B1040" s="272" t="s">
        <v>10591</v>
      </c>
      <c r="C1040" s="272" t="s">
        <v>9959</v>
      </c>
      <c r="D1040" s="259" t="s">
        <v>9960</v>
      </c>
      <c r="E1040" s="265" t="s">
        <v>10655</v>
      </c>
      <c r="F1040" s="272" t="s">
        <v>9198</v>
      </c>
      <c r="G1040" s="272" t="s">
        <v>9198</v>
      </c>
      <c r="H1040" s="265" t="s">
        <v>10873</v>
      </c>
      <c r="I1040" s="290" t="s">
        <v>10874</v>
      </c>
      <c r="J1040" s="265" t="s">
        <v>10655</v>
      </c>
      <c r="K1040" s="265" t="s">
        <v>10655</v>
      </c>
    </row>
    <row r="1041" spans="1:11" s="75" customFormat="1" ht="14.55" customHeight="1" x14ac:dyDescent="0.25">
      <c r="A1041" s="272" t="s">
        <v>8816</v>
      </c>
      <c r="B1041" s="272" t="s">
        <v>10591</v>
      </c>
      <c r="C1041" s="272" t="s">
        <v>9961</v>
      </c>
      <c r="D1041" s="259" t="s">
        <v>9962</v>
      </c>
      <c r="E1041" s="265" t="s">
        <v>10655</v>
      </c>
      <c r="F1041" s="272" t="s">
        <v>9198</v>
      </c>
      <c r="G1041" s="272" t="s">
        <v>9197</v>
      </c>
      <c r="H1041" s="265" t="s">
        <v>10897</v>
      </c>
      <c r="I1041" s="290" t="s">
        <v>10898</v>
      </c>
      <c r="J1041" s="265" t="s">
        <v>10655</v>
      </c>
      <c r="K1041" s="265" t="s">
        <v>10655</v>
      </c>
    </row>
    <row r="1042" spans="1:11" s="75" customFormat="1" ht="14.55" customHeight="1" x14ac:dyDescent="0.25">
      <c r="A1042" s="272" t="s">
        <v>8816</v>
      </c>
      <c r="B1042" s="272" t="s">
        <v>10591</v>
      </c>
      <c r="C1042" s="272" t="s">
        <v>9961</v>
      </c>
      <c r="D1042" s="259" t="s">
        <v>9962</v>
      </c>
      <c r="E1042" s="265" t="s">
        <v>10655</v>
      </c>
      <c r="F1042" s="272" t="s">
        <v>9198</v>
      </c>
      <c r="G1042" s="272" t="s">
        <v>9197</v>
      </c>
      <c r="H1042" s="265" t="s">
        <v>10885</v>
      </c>
      <c r="I1042" s="290" t="s">
        <v>10886</v>
      </c>
      <c r="J1042" s="265" t="s">
        <v>10655</v>
      </c>
      <c r="K1042" s="265" t="s">
        <v>10655</v>
      </c>
    </row>
    <row r="1043" spans="1:11" s="75" customFormat="1" ht="14.55" customHeight="1" x14ac:dyDescent="0.25">
      <c r="A1043" s="272" t="s">
        <v>8816</v>
      </c>
      <c r="B1043" s="272" t="s">
        <v>10591</v>
      </c>
      <c r="C1043" s="272" t="s">
        <v>9961</v>
      </c>
      <c r="D1043" s="259" t="s">
        <v>9962</v>
      </c>
      <c r="E1043" s="265" t="s">
        <v>10655</v>
      </c>
      <c r="F1043" s="272" t="s">
        <v>9198</v>
      </c>
      <c r="G1043" s="272" t="s">
        <v>9197</v>
      </c>
      <c r="H1043" s="265" t="s">
        <v>10887</v>
      </c>
      <c r="I1043" s="290" t="s">
        <v>10888</v>
      </c>
      <c r="J1043" s="265" t="s">
        <v>10655</v>
      </c>
      <c r="K1043" s="265" t="s">
        <v>10655</v>
      </c>
    </row>
    <row r="1044" spans="1:11" s="75" customFormat="1" ht="14.55" customHeight="1" x14ac:dyDescent="0.25">
      <c r="A1044" s="272" t="s">
        <v>8816</v>
      </c>
      <c r="B1044" s="272" t="s">
        <v>10591</v>
      </c>
      <c r="C1044" s="272" t="s">
        <v>9961</v>
      </c>
      <c r="D1044" s="259" t="s">
        <v>9962</v>
      </c>
      <c r="E1044" s="265" t="s">
        <v>10655</v>
      </c>
      <c r="F1044" s="272" t="s">
        <v>9198</v>
      </c>
      <c r="G1044" s="272" t="s">
        <v>9197</v>
      </c>
      <c r="H1044" s="265" t="s">
        <v>10869</v>
      </c>
      <c r="I1044" s="290" t="s">
        <v>10870</v>
      </c>
      <c r="J1044" s="265" t="s">
        <v>10655</v>
      </c>
      <c r="K1044" s="265" t="s">
        <v>10655</v>
      </c>
    </row>
    <row r="1045" spans="1:11" s="75" customFormat="1" ht="14.55" customHeight="1" x14ac:dyDescent="0.25">
      <c r="A1045" s="272" t="s">
        <v>8816</v>
      </c>
      <c r="B1045" s="272" t="s">
        <v>10591</v>
      </c>
      <c r="C1045" s="272" t="s">
        <v>9961</v>
      </c>
      <c r="D1045" s="259" t="s">
        <v>9962</v>
      </c>
      <c r="E1045" s="265" t="s">
        <v>10655</v>
      </c>
      <c r="F1045" s="272" t="s">
        <v>9198</v>
      </c>
      <c r="G1045" s="272" t="s">
        <v>9197</v>
      </c>
      <c r="H1045" s="265" t="s">
        <v>10889</v>
      </c>
      <c r="I1045" s="290" t="s">
        <v>10890</v>
      </c>
      <c r="J1045" s="265" t="s">
        <v>10655</v>
      </c>
      <c r="K1045" s="265" t="s">
        <v>10655</v>
      </c>
    </row>
    <row r="1046" spans="1:11" s="75" customFormat="1" ht="14.55" customHeight="1" x14ac:dyDescent="0.25">
      <c r="A1046" s="272" t="s">
        <v>8816</v>
      </c>
      <c r="B1046" s="272" t="s">
        <v>10591</v>
      </c>
      <c r="C1046" s="272" t="s">
        <v>9961</v>
      </c>
      <c r="D1046" s="259" t="s">
        <v>9962</v>
      </c>
      <c r="E1046" s="265" t="s">
        <v>10655</v>
      </c>
      <c r="F1046" s="272" t="s">
        <v>9198</v>
      </c>
      <c r="G1046" s="272" t="s">
        <v>9197</v>
      </c>
      <c r="H1046" s="265" t="s">
        <v>10873</v>
      </c>
      <c r="I1046" s="290" t="s">
        <v>10874</v>
      </c>
      <c r="J1046" s="265" t="s">
        <v>10655</v>
      </c>
      <c r="K1046" s="265" t="s">
        <v>10655</v>
      </c>
    </row>
    <row r="1047" spans="1:11" s="75" customFormat="1" ht="14.55" customHeight="1" x14ac:dyDescent="0.25">
      <c r="A1047" s="272" t="s">
        <v>8816</v>
      </c>
      <c r="B1047" s="272" t="s">
        <v>10591</v>
      </c>
      <c r="C1047" s="272" t="s">
        <v>9963</v>
      </c>
      <c r="D1047" s="259" t="s">
        <v>9964</v>
      </c>
      <c r="E1047" s="265" t="s">
        <v>10655</v>
      </c>
      <c r="F1047" s="272" t="s">
        <v>9198</v>
      </c>
      <c r="G1047" s="272" t="s">
        <v>9197</v>
      </c>
      <c r="H1047" s="265" t="s">
        <v>10885</v>
      </c>
      <c r="I1047" s="290" t="s">
        <v>10886</v>
      </c>
      <c r="J1047" s="265" t="s">
        <v>10655</v>
      </c>
      <c r="K1047" s="265" t="s">
        <v>10655</v>
      </c>
    </row>
    <row r="1048" spans="1:11" s="75" customFormat="1" ht="14.55" customHeight="1" x14ac:dyDescent="0.25">
      <c r="A1048" s="272" t="s">
        <v>8816</v>
      </c>
      <c r="B1048" s="272" t="s">
        <v>10591</v>
      </c>
      <c r="C1048" s="272" t="s">
        <v>9963</v>
      </c>
      <c r="D1048" s="259" t="s">
        <v>9964</v>
      </c>
      <c r="E1048" s="265" t="s">
        <v>10655</v>
      </c>
      <c r="F1048" s="272" t="s">
        <v>9198</v>
      </c>
      <c r="G1048" s="272" t="s">
        <v>9197</v>
      </c>
      <c r="H1048" s="265" t="s">
        <v>10887</v>
      </c>
      <c r="I1048" s="290" t="s">
        <v>10888</v>
      </c>
      <c r="J1048" s="265" t="s">
        <v>10655</v>
      </c>
      <c r="K1048" s="265" t="s">
        <v>10655</v>
      </c>
    </row>
    <row r="1049" spans="1:11" s="75" customFormat="1" ht="14.55" customHeight="1" x14ac:dyDescent="0.25">
      <c r="A1049" s="272" t="s">
        <v>8816</v>
      </c>
      <c r="B1049" s="272" t="s">
        <v>10591</v>
      </c>
      <c r="C1049" s="272" t="s">
        <v>9963</v>
      </c>
      <c r="D1049" s="259" t="s">
        <v>9964</v>
      </c>
      <c r="E1049" s="265" t="s">
        <v>10655</v>
      </c>
      <c r="F1049" s="272" t="s">
        <v>9198</v>
      </c>
      <c r="G1049" s="272" t="s">
        <v>9197</v>
      </c>
      <c r="H1049" s="265" t="s">
        <v>10869</v>
      </c>
      <c r="I1049" s="290" t="s">
        <v>10870</v>
      </c>
      <c r="J1049" s="265" t="s">
        <v>10655</v>
      </c>
      <c r="K1049" s="265" t="s">
        <v>10655</v>
      </c>
    </row>
    <row r="1050" spans="1:11" s="75" customFormat="1" ht="14.55" customHeight="1" x14ac:dyDescent="0.25">
      <c r="A1050" s="272" t="s">
        <v>8816</v>
      </c>
      <c r="B1050" s="272" t="s">
        <v>10591</v>
      </c>
      <c r="C1050" s="272" t="s">
        <v>9963</v>
      </c>
      <c r="D1050" s="259" t="s">
        <v>9964</v>
      </c>
      <c r="E1050" s="265" t="s">
        <v>10655</v>
      </c>
      <c r="F1050" s="272" t="s">
        <v>9198</v>
      </c>
      <c r="G1050" s="272" t="s">
        <v>9197</v>
      </c>
      <c r="H1050" s="265" t="s">
        <v>10889</v>
      </c>
      <c r="I1050" s="290" t="s">
        <v>10890</v>
      </c>
      <c r="J1050" s="265" t="s">
        <v>10655</v>
      </c>
      <c r="K1050" s="265" t="s">
        <v>10655</v>
      </c>
    </row>
    <row r="1051" spans="1:11" s="75" customFormat="1" ht="14.55" customHeight="1" x14ac:dyDescent="0.25">
      <c r="A1051" s="272" t="s">
        <v>8816</v>
      </c>
      <c r="B1051" s="272" t="s">
        <v>10591</v>
      </c>
      <c r="C1051" s="272" t="s">
        <v>9963</v>
      </c>
      <c r="D1051" s="259" t="s">
        <v>9964</v>
      </c>
      <c r="E1051" s="265" t="s">
        <v>10655</v>
      </c>
      <c r="F1051" s="272" t="s">
        <v>9198</v>
      </c>
      <c r="G1051" s="272" t="s">
        <v>9197</v>
      </c>
      <c r="H1051" s="265" t="s">
        <v>10895</v>
      </c>
      <c r="I1051" s="290" t="s">
        <v>10896</v>
      </c>
      <c r="J1051" s="265" t="s">
        <v>10655</v>
      </c>
      <c r="K1051" s="265" t="s">
        <v>10655</v>
      </c>
    </row>
    <row r="1052" spans="1:11" s="75" customFormat="1" ht="14.55" customHeight="1" x14ac:dyDescent="0.25">
      <c r="A1052" s="272" t="s">
        <v>8816</v>
      </c>
      <c r="B1052" s="272" t="s">
        <v>10591</v>
      </c>
      <c r="C1052" s="272" t="s">
        <v>9963</v>
      </c>
      <c r="D1052" s="259" t="s">
        <v>9964</v>
      </c>
      <c r="E1052" s="265" t="s">
        <v>10655</v>
      </c>
      <c r="F1052" s="272" t="s">
        <v>9198</v>
      </c>
      <c r="G1052" s="272" t="s">
        <v>9197</v>
      </c>
      <c r="H1052" s="265" t="s">
        <v>10897</v>
      </c>
      <c r="I1052" s="290" t="s">
        <v>10898</v>
      </c>
      <c r="J1052" s="265" t="s">
        <v>10655</v>
      </c>
      <c r="K1052" s="265" t="s">
        <v>10655</v>
      </c>
    </row>
    <row r="1053" spans="1:11" s="75" customFormat="1" ht="14.55" customHeight="1" x14ac:dyDescent="0.25">
      <c r="A1053" s="272" t="s">
        <v>8816</v>
      </c>
      <c r="B1053" s="272" t="s">
        <v>10591</v>
      </c>
      <c r="C1053" s="272" t="s">
        <v>9963</v>
      </c>
      <c r="D1053" s="259" t="s">
        <v>9964</v>
      </c>
      <c r="E1053" s="265" t="s">
        <v>10655</v>
      </c>
      <c r="F1053" s="272" t="s">
        <v>9198</v>
      </c>
      <c r="G1053" s="272" t="s">
        <v>9197</v>
      </c>
      <c r="H1053" s="265" t="s">
        <v>10873</v>
      </c>
      <c r="I1053" s="290" t="s">
        <v>10874</v>
      </c>
      <c r="J1053" s="265" t="s">
        <v>10655</v>
      </c>
      <c r="K1053" s="265" t="s">
        <v>10655</v>
      </c>
    </row>
    <row r="1054" spans="1:11" s="75" customFormat="1" ht="14.55" customHeight="1" x14ac:dyDescent="0.25">
      <c r="A1054" s="272" t="s">
        <v>8816</v>
      </c>
      <c r="B1054" s="272" t="s">
        <v>10591</v>
      </c>
      <c r="C1054" s="272" t="s">
        <v>9965</v>
      </c>
      <c r="D1054" s="259" t="s">
        <v>9966</v>
      </c>
      <c r="E1054" s="265" t="s">
        <v>10655</v>
      </c>
      <c r="F1054" s="272" t="s">
        <v>9198</v>
      </c>
      <c r="G1054" s="272" t="s">
        <v>9197</v>
      </c>
      <c r="H1054" s="265" t="s">
        <v>10921</v>
      </c>
      <c r="I1054" s="290" t="s">
        <v>10922</v>
      </c>
      <c r="J1054" s="265" t="s">
        <v>10655</v>
      </c>
      <c r="K1054" s="265" t="s">
        <v>10655</v>
      </c>
    </row>
    <row r="1055" spans="1:11" s="75" customFormat="1" ht="14.55" customHeight="1" x14ac:dyDescent="0.25">
      <c r="A1055" s="272" t="s">
        <v>8816</v>
      </c>
      <c r="B1055" s="272" t="s">
        <v>10591</v>
      </c>
      <c r="C1055" s="272" t="s">
        <v>9965</v>
      </c>
      <c r="D1055" s="259" t="s">
        <v>9966</v>
      </c>
      <c r="E1055" s="265" t="s">
        <v>10655</v>
      </c>
      <c r="F1055" s="272" t="s">
        <v>9198</v>
      </c>
      <c r="G1055" s="272" t="s">
        <v>9197</v>
      </c>
      <c r="H1055" s="265" t="s">
        <v>10869</v>
      </c>
      <c r="I1055" s="290" t="s">
        <v>10870</v>
      </c>
      <c r="J1055" s="265" t="s">
        <v>10655</v>
      </c>
      <c r="K1055" s="265" t="s">
        <v>10655</v>
      </c>
    </row>
    <row r="1056" spans="1:11" s="75" customFormat="1" ht="14.55" customHeight="1" x14ac:dyDescent="0.25">
      <c r="A1056" s="272" t="s">
        <v>8816</v>
      </c>
      <c r="B1056" s="272" t="s">
        <v>10591</v>
      </c>
      <c r="C1056" s="272" t="s">
        <v>9965</v>
      </c>
      <c r="D1056" s="259" t="s">
        <v>9966</v>
      </c>
      <c r="E1056" s="265" t="s">
        <v>10655</v>
      </c>
      <c r="F1056" s="272" t="s">
        <v>9198</v>
      </c>
      <c r="G1056" s="272" t="s">
        <v>9197</v>
      </c>
      <c r="H1056" s="265" t="s">
        <v>10889</v>
      </c>
      <c r="I1056" s="290" t="s">
        <v>10890</v>
      </c>
      <c r="J1056" s="265" t="s">
        <v>10655</v>
      </c>
      <c r="K1056" s="265" t="s">
        <v>10655</v>
      </c>
    </row>
    <row r="1057" spans="1:11" s="75" customFormat="1" ht="14.55" customHeight="1" x14ac:dyDescent="0.25">
      <c r="A1057" s="272" t="s">
        <v>8816</v>
      </c>
      <c r="B1057" s="272" t="s">
        <v>10591</v>
      </c>
      <c r="C1057" s="272" t="s">
        <v>9965</v>
      </c>
      <c r="D1057" s="259" t="s">
        <v>9966</v>
      </c>
      <c r="E1057" s="265" t="s">
        <v>10655</v>
      </c>
      <c r="F1057" s="272" t="s">
        <v>9198</v>
      </c>
      <c r="G1057" s="272" t="s">
        <v>9197</v>
      </c>
      <c r="H1057" s="265" t="s">
        <v>10897</v>
      </c>
      <c r="I1057" s="290" t="s">
        <v>10898</v>
      </c>
      <c r="J1057" s="265" t="s">
        <v>10655</v>
      </c>
      <c r="K1057" s="265" t="s">
        <v>10655</v>
      </c>
    </row>
    <row r="1058" spans="1:11" s="75" customFormat="1" ht="14.55" customHeight="1" x14ac:dyDescent="0.25">
      <c r="A1058" s="272" t="s">
        <v>8816</v>
      </c>
      <c r="B1058" s="272" t="s">
        <v>10591</v>
      </c>
      <c r="C1058" s="272" t="s">
        <v>9965</v>
      </c>
      <c r="D1058" s="259" t="s">
        <v>9966</v>
      </c>
      <c r="E1058" s="265" t="s">
        <v>10655</v>
      </c>
      <c r="F1058" s="272" t="s">
        <v>9198</v>
      </c>
      <c r="G1058" s="272" t="s">
        <v>9197</v>
      </c>
      <c r="H1058" s="265" t="s">
        <v>10873</v>
      </c>
      <c r="I1058" s="290" t="s">
        <v>10874</v>
      </c>
      <c r="J1058" s="265" t="s">
        <v>10655</v>
      </c>
      <c r="K1058" s="265" t="s">
        <v>10655</v>
      </c>
    </row>
    <row r="1059" spans="1:11" s="75" customFormat="1" ht="14.55" customHeight="1" x14ac:dyDescent="0.25">
      <c r="A1059" s="272" t="s">
        <v>8816</v>
      </c>
      <c r="B1059" s="272" t="s">
        <v>10591</v>
      </c>
      <c r="C1059" s="272" t="s">
        <v>9967</v>
      </c>
      <c r="D1059" s="259" t="s">
        <v>9968</v>
      </c>
      <c r="E1059" s="265" t="s">
        <v>10655</v>
      </c>
      <c r="F1059" s="272" t="s">
        <v>9198</v>
      </c>
      <c r="G1059" s="272" t="s">
        <v>9198</v>
      </c>
      <c r="H1059" s="265" t="s">
        <v>10869</v>
      </c>
      <c r="I1059" s="290" t="s">
        <v>10870</v>
      </c>
      <c r="J1059" s="265" t="s">
        <v>10655</v>
      </c>
      <c r="K1059" s="265" t="s">
        <v>10655</v>
      </c>
    </row>
    <row r="1060" spans="1:11" s="75" customFormat="1" ht="14.55" customHeight="1" x14ac:dyDescent="0.25">
      <c r="A1060" s="272" t="s">
        <v>8816</v>
      </c>
      <c r="B1060" s="272" t="s">
        <v>10591</v>
      </c>
      <c r="C1060" s="272" t="s">
        <v>9967</v>
      </c>
      <c r="D1060" s="259" t="s">
        <v>9968</v>
      </c>
      <c r="E1060" s="265" t="s">
        <v>10655</v>
      </c>
      <c r="F1060" s="272" t="s">
        <v>9198</v>
      </c>
      <c r="G1060" s="272" t="s">
        <v>9198</v>
      </c>
      <c r="H1060" s="265" t="s">
        <v>10921</v>
      </c>
      <c r="I1060" s="290" t="s">
        <v>10922</v>
      </c>
      <c r="J1060" s="265" t="s">
        <v>10655</v>
      </c>
      <c r="K1060" s="265" t="s">
        <v>10655</v>
      </c>
    </row>
    <row r="1061" spans="1:11" s="75" customFormat="1" ht="14.55" customHeight="1" x14ac:dyDescent="0.25">
      <c r="A1061" s="272" t="s">
        <v>8816</v>
      </c>
      <c r="B1061" s="272" t="s">
        <v>10591</v>
      </c>
      <c r="C1061" s="272" t="s">
        <v>9967</v>
      </c>
      <c r="D1061" s="259" t="s">
        <v>9968</v>
      </c>
      <c r="E1061" s="265" t="s">
        <v>10655</v>
      </c>
      <c r="F1061" s="272" t="s">
        <v>9198</v>
      </c>
      <c r="G1061" s="272" t="s">
        <v>9198</v>
      </c>
      <c r="H1061" s="265" t="s">
        <v>10897</v>
      </c>
      <c r="I1061" s="290" t="s">
        <v>10898</v>
      </c>
      <c r="J1061" s="265" t="s">
        <v>10655</v>
      </c>
      <c r="K1061" s="265" t="s">
        <v>10655</v>
      </c>
    </row>
    <row r="1062" spans="1:11" s="75" customFormat="1" ht="14.55" customHeight="1" x14ac:dyDescent="0.25">
      <c r="A1062" s="272" t="s">
        <v>8816</v>
      </c>
      <c r="B1062" s="272" t="s">
        <v>10591</v>
      </c>
      <c r="C1062" s="272" t="s">
        <v>9967</v>
      </c>
      <c r="D1062" s="259" t="s">
        <v>9968</v>
      </c>
      <c r="E1062" s="265" t="s">
        <v>10655</v>
      </c>
      <c r="F1062" s="272" t="s">
        <v>9198</v>
      </c>
      <c r="G1062" s="272" t="s">
        <v>9198</v>
      </c>
      <c r="H1062" s="265" t="s">
        <v>10873</v>
      </c>
      <c r="I1062" s="290" t="s">
        <v>10874</v>
      </c>
      <c r="J1062" s="265" t="s">
        <v>10655</v>
      </c>
      <c r="K1062" s="265" t="s">
        <v>10655</v>
      </c>
    </row>
    <row r="1063" spans="1:11" s="75" customFormat="1" ht="14.55" customHeight="1" x14ac:dyDescent="0.25">
      <c r="A1063" s="272" t="s">
        <v>8816</v>
      </c>
      <c r="B1063" s="272" t="s">
        <v>10591</v>
      </c>
      <c r="C1063" s="272" t="s">
        <v>9969</v>
      </c>
      <c r="D1063" s="259" t="s">
        <v>9970</v>
      </c>
      <c r="E1063" s="265" t="s">
        <v>10655</v>
      </c>
      <c r="F1063" s="272" t="s">
        <v>9198</v>
      </c>
      <c r="G1063" s="272" t="s">
        <v>9197</v>
      </c>
      <c r="H1063" s="265" t="s">
        <v>10906</v>
      </c>
      <c r="I1063" s="290" t="s">
        <v>10907</v>
      </c>
      <c r="J1063" s="265" t="s">
        <v>10655</v>
      </c>
      <c r="K1063" s="265" t="s">
        <v>10655</v>
      </c>
    </row>
    <row r="1064" spans="1:11" s="75" customFormat="1" ht="14.55" customHeight="1" x14ac:dyDescent="0.25">
      <c r="A1064" s="272" t="s">
        <v>8816</v>
      </c>
      <c r="B1064" s="272" t="s">
        <v>10591</v>
      </c>
      <c r="C1064" s="272" t="s">
        <v>9969</v>
      </c>
      <c r="D1064" s="259" t="s">
        <v>9970</v>
      </c>
      <c r="E1064" s="265" t="s">
        <v>10655</v>
      </c>
      <c r="F1064" s="272" t="s">
        <v>9198</v>
      </c>
      <c r="G1064" s="272" t="s">
        <v>9197</v>
      </c>
      <c r="H1064" s="265" t="s">
        <v>10869</v>
      </c>
      <c r="I1064" s="290" t="s">
        <v>10870</v>
      </c>
      <c r="J1064" s="265" t="s">
        <v>10655</v>
      </c>
      <c r="K1064" s="265" t="s">
        <v>10655</v>
      </c>
    </row>
    <row r="1065" spans="1:11" s="75" customFormat="1" ht="14.55" customHeight="1" x14ac:dyDescent="0.25">
      <c r="A1065" s="272" t="s">
        <v>8816</v>
      </c>
      <c r="B1065" s="272" t="s">
        <v>10591</v>
      </c>
      <c r="C1065" s="272" t="s">
        <v>9969</v>
      </c>
      <c r="D1065" s="259" t="s">
        <v>9970</v>
      </c>
      <c r="E1065" s="265" t="s">
        <v>10655</v>
      </c>
      <c r="F1065" s="272" t="s">
        <v>9198</v>
      </c>
      <c r="G1065" s="272" t="s">
        <v>9197</v>
      </c>
      <c r="H1065" s="265" t="s">
        <v>10889</v>
      </c>
      <c r="I1065" s="290" t="s">
        <v>10890</v>
      </c>
      <c r="J1065" s="265" t="s">
        <v>10655</v>
      </c>
      <c r="K1065" s="265" t="s">
        <v>10655</v>
      </c>
    </row>
    <row r="1066" spans="1:11" s="75" customFormat="1" ht="14.55" customHeight="1" x14ac:dyDescent="0.25">
      <c r="A1066" s="272" t="s">
        <v>8816</v>
      </c>
      <c r="B1066" s="272" t="s">
        <v>10591</v>
      </c>
      <c r="C1066" s="272" t="s">
        <v>9969</v>
      </c>
      <c r="D1066" s="259" t="s">
        <v>9970</v>
      </c>
      <c r="E1066" s="265" t="s">
        <v>10655</v>
      </c>
      <c r="F1066" s="272" t="s">
        <v>9198</v>
      </c>
      <c r="G1066" s="272" t="s">
        <v>9197</v>
      </c>
      <c r="H1066" s="265" t="s">
        <v>10908</v>
      </c>
      <c r="I1066" s="290" t="s">
        <v>10909</v>
      </c>
      <c r="J1066" s="265" t="s">
        <v>10655</v>
      </c>
      <c r="K1066" s="265" t="s">
        <v>10655</v>
      </c>
    </row>
    <row r="1067" spans="1:11" s="75" customFormat="1" ht="14.55" customHeight="1" x14ac:dyDescent="0.25">
      <c r="A1067" s="272" t="s">
        <v>8816</v>
      </c>
      <c r="B1067" s="272" t="s">
        <v>10591</v>
      </c>
      <c r="C1067" s="272" t="s">
        <v>9969</v>
      </c>
      <c r="D1067" s="259" t="s">
        <v>9970</v>
      </c>
      <c r="E1067" s="265" t="s">
        <v>10655</v>
      </c>
      <c r="F1067" s="272" t="s">
        <v>9198</v>
      </c>
      <c r="G1067" s="272" t="s">
        <v>9197</v>
      </c>
      <c r="H1067" s="265" t="s">
        <v>10873</v>
      </c>
      <c r="I1067" s="290" t="s">
        <v>10874</v>
      </c>
      <c r="J1067" s="265" t="s">
        <v>10655</v>
      </c>
      <c r="K1067" s="265" t="s">
        <v>10655</v>
      </c>
    </row>
    <row r="1068" spans="1:11" s="75" customFormat="1" ht="14.55" customHeight="1" x14ac:dyDescent="0.25">
      <c r="A1068" s="272" t="s">
        <v>8816</v>
      </c>
      <c r="B1068" s="272" t="s">
        <v>10591</v>
      </c>
      <c r="C1068" s="272" t="s">
        <v>9971</v>
      </c>
      <c r="D1068" s="259" t="s">
        <v>9972</v>
      </c>
      <c r="E1068" s="265" t="s">
        <v>10655</v>
      </c>
      <c r="F1068" s="272" t="s">
        <v>9198</v>
      </c>
      <c r="G1068" s="272" t="s">
        <v>9197</v>
      </c>
      <c r="H1068" s="265" t="s">
        <v>10885</v>
      </c>
      <c r="I1068" s="290" t="s">
        <v>10886</v>
      </c>
      <c r="J1068" s="265" t="s">
        <v>10655</v>
      </c>
      <c r="K1068" s="265" t="s">
        <v>10655</v>
      </c>
    </row>
    <row r="1069" spans="1:11" s="75" customFormat="1" ht="14.55" customHeight="1" x14ac:dyDescent="0.25">
      <c r="A1069" s="272" t="s">
        <v>8816</v>
      </c>
      <c r="B1069" s="272" t="s">
        <v>10591</v>
      </c>
      <c r="C1069" s="272" t="s">
        <v>9971</v>
      </c>
      <c r="D1069" s="259" t="s">
        <v>9972</v>
      </c>
      <c r="E1069" s="265" t="s">
        <v>10655</v>
      </c>
      <c r="F1069" s="272" t="s">
        <v>9198</v>
      </c>
      <c r="G1069" s="272" t="s">
        <v>9197</v>
      </c>
      <c r="H1069" s="265" t="s">
        <v>10869</v>
      </c>
      <c r="I1069" s="290" t="s">
        <v>10870</v>
      </c>
      <c r="J1069" s="265" t="s">
        <v>10655</v>
      </c>
      <c r="K1069" s="265" t="s">
        <v>10655</v>
      </c>
    </row>
    <row r="1070" spans="1:11" s="75" customFormat="1" ht="14.55" customHeight="1" x14ac:dyDescent="0.25">
      <c r="A1070" s="272" t="s">
        <v>8816</v>
      </c>
      <c r="B1070" s="272" t="s">
        <v>10591</v>
      </c>
      <c r="C1070" s="272" t="s">
        <v>9971</v>
      </c>
      <c r="D1070" s="259" t="s">
        <v>9972</v>
      </c>
      <c r="E1070" s="265" t="s">
        <v>10655</v>
      </c>
      <c r="F1070" s="272" t="s">
        <v>9198</v>
      </c>
      <c r="G1070" s="272" t="s">
        <v>9197</v>
      </c>
      <c r="H1070" s="265" t="s">
        <v>10897</v>
      </c>
      <c r="I1070" s="290" t="s">
        <v>10898</v>
      </c>
      <c r="J1070" s="265" t="s">
        <v>10655</v>
      </c>
      <c r="K1070" s="265" t="s">
        <v>10655</v>
      </c>
    </row>
    <row r="1071" spans="1:11" s="75" customFormat="1" ht="14.55" customHeight="1" x14ac:dyDescent="0.25">
      <c r="A1071" s="272" t="s">
        <v>8816</v>
      </c>
      <c r="B1071" s="272" t="s">
        <v>10591</v>
      </c>
      <c r="C1071" s="272" t="s">
        <v>9971</v>
      </c>
      <c r="D1071" s="259" t="s">
        <v>9972</v>
      </c>
      <c r="E1071" s="265" t="s">
        <v>10655</v>
      </c>
      <c r="F1071" s="272" t="s">
        <v>9198</v>
      </c>
      <c r="G1071" s="272" t="s">
        <v>9197</v>
      </c>
      <c r="H1071" s="265" t="s">
        <v>10873</v>
      </c>
      <c r="I1071" s="290" t="s">
        <v>10874</v>
      </c>
      <c r="J1071" s="265" t="s">
        <v>10655</v>
      </c>
      <c r="K1071" s="265" t="s">
        <v>10655</v>
      </c>
    </row>
    <row r="1072" spans="1:11" s="75" customFormat="1" ht="14.55" customHeight="1" x14ac:dyDescent="0.25">
      <c r="A1072" s="297" t="s">
        <v>8816</v>
      </c>
      <c r="B1072" s="296" t="s">
        <v>10591</v>
      </c>
      <c r="C1072" s="275">
        <v>120991</v>
      </c>
      <c r="D1072" s="276" t="s">
        <v>9973</v>
      </c>
      <c r="E1072" s="275" t="s">
        <v>10655</v>
      </c>
      <c r="F1072" s="296" t="s">
        <v>9198</v>
      </c>
      <c r="G1072" s="296" t="s">
        <v>9197</v>
      </c>
      <c r="H1072" s="296" t="s">
        <v>10921</v>
      </c>
      <c r="I1072" s="276" t="s">
        <v>10922</v>
      </c>
      <c r="J1072" s="275" t="s">
        <v>10655</v>
      </c>
      <c r="K1072" s="275" t="s">
        <v>10655</v>
      </c>
    </row>
    <row r="1073" spans="1:11" s="75" customFormat="1" ht="14.55" customHeight="1" x14ac:dyDescent="0.25">
      <c r="A1073" s="297" t="s">
        <v>8816</v>
      </c>
      <c r="B1073" s="296" t="s">
        <v>10591</v>
      </c>
      <c r="C1073" s="275">
        <v>120991</v>
      </c>
      <c r="D1073" s="276" t="s">
        <v>9973</v>
      </c>
      <c r="E1073" s="275" t="s">
        <v>10655</v>
      </c>
      <c r="F1073" s="296" t="s">
        <v>9198</v>
      </c>
      <c r="G1073" s="296" t="s">
        <v>9197</v>
      </c>
      <c r="H1073" s="296" t="s">
        <v>10885</v>
      </c>
      <c r="I1073" s="276" t="s">
        <v>10886</v>
      </c>
      <c r="J1073" s="275" t="s">
        <v>10655</v>
      </c>
      <c r="K1073" s="275" t="s">
        <v>10655</v>
      </c>
    </row>
    <row r="1074" spans="1:11" s="75" customFormat="1" ht="14.55" customHeight="1" x14ac:dyDescent="0.25">
      <c r="A1074" s="297" t="s">
        <v>8816</v>
      </c>
      <c r="B1074" s="296" t="s">
        <v>10591</v>
      </c>
      <c r="C1074" s="275">
        <v>120991</v>
      </c>
      <c r="D1074" s="276" t="s">
        <v>9973</v>
      </c>
      <c r="E1074" s="275" t="s">
        <v>10655</v>
      </c>
      <c r="F1074" s="296" t="s">
        <v>9198</v>
      </c>
      <c r="G1074" s="296" t="s">
        <v>9197</v>
      </c>
      <c r="H1074" s="296" t="s">
        <v>10869</v>
      </c>
      <c r="I1074" s="276" t="s">
        <v>10870</v>
      </c>
      <c r="J1074" s="275" t="s">
        <v>10655</v>
      </c>
      <c r="K1074" s="275" t="s">
        <v>10655</v>
      </c>
    </row>
    <row r="1075" spans="1:11" s="75" customFormat="1" ht="14.55" customHeight="1" x14ac:dyDescent="0.25">
      <c r="A1075" s="297" t="s">
        <v>8816</v>
      </c>
      <c r="B1075" s="296" t="s">
        <v>10591</v>
      </c>
      <c r="C1075" s="275">
        <v>120991</v>
      </c>
      <c r="D1075" s="276" t="s">
        <v>9973</v>
      </c>
      <c r="E1075" s="275" t="s">
        <v>10655</v>
      </c>
      <c r="F1075" s="296" t="s">
        <v>9198</v>
      </c>
      <c r="G1075" s="296" t="s">
        <v>9197</v>
      </c>
      <c r="H1075" s="296" t="s">
        <v>10889</v>
      </c>
      <c r="I1075" s="276" t="s">
        <v>10890</v>
      </c>
      <c r="J1075" s="275" t="s">
        <v>10655</v>
      </c>
      <c r="K1075" s="275" t="s">
        <v>10655</v>
      </c>
    </row>
    <row r="1076" spans="1:11" s="75" customFormat="1" ht="14.55" customHeight="1" x14ac:dyDescent="0.25">
      <c r="A1076" s="297" t="s">
        <v>8816</v>
      </c>
      <c r="B1076" s="296" t="s">
        <v>10591</v>
      </c>
      <c r="C1076" s="275">
        <v>120991</v>
      </c>
      <c r="D1076" s="276" t="s">
        <v>9973</v>
      </c>
      <c r="E1076" s="275" t="s">
        <v>10655</v>
      </c>
      <c r="F1076" s="296" t="s">
        <v>9198</v>
      </c>
      <c r="G1076" s="296" t="s">
        <v>9197</v>
      </c>
      <c r="H1076" s="296" t="s">
        <v>10897</v>
      </c>
      <c r="I1076" s="276" t="s">
        <v>10898</v>
      </c>
      <c r="J1076" s="275" t="s">
        <v>10655</v>
      </c>
      <c r="K1076" s="275" t="s">
        <v>10655</v>
      </c>
    </row>
    <row r="1077" spans="1:11" s="75" customFormat="1" ht="14.55" customHeight="1" x14ac:dyDescent="0.25">
      <c r="A1077" s="297" t="s">
        <v>8816</v>
      </c>
      <c r="B1077" s="296" t="s">
        <v>10591</v>
      </c>
      <c r="C1077" s="275">
        <v>120991</v>
      </c>
      <c r="D1077" s="276" t="s">
        <v>9973</v>
      </c>
      <c r="E1077" s="275" t="s">
        <v>10655</v>
      </c>
      <c r="F1077" s="296" t="s">
        <v>9198</v>
      </c>
      <c r="G1077" s="296" t="s">
        <v>9197</v>
      </c>
      <c r="H1077" s="296" t="s">
        <v>10873</v>
      </c>
      <c r="I1077" s="276" t="s">
        <v>10874</v>
      </c>
      <c r="J1077" s="275" t="s">
        <v>10655</v>
      </c>
      <c r="K1077" s="275" t="s">
        <v>10655</v>
      </c>
    </row>
    <row r="1078" spans="1:11" s="75" customFormat="1" ht="14.55" customHeight="1" x14ac:dyDescent="0.25">
      <c r="A1078" s="272" t="s">
        <v>8816</v>
      </c>
      <c r="B1078" s="272" t="s">
        <v>10591</v>
      </c>
      <c r="C1078" s="272" t="s">
        <v>9974</v>
      </c>
      <c r="D1078" s="259" t="s">
        <v>9975</v>
      </c>
      <c r="E1078" s="265" t="s">
        <v>10655</v>
      </c>
      <c r="F1078" s="272" t="s">
        <v>9198</v>
      </c>
      <c r="G1078" s="272" t="s">
        <v>9197</v>
      </c>
      <c r="H1078" s="265" t="s">
        <v>10869</v>
      </c>
      <c r="I1078" s="290" t="s">
        <v>10870</v>
      </c>
      <c r="J1078" s="265" t="s">
        <v>10655</v>
      </c>
      <c r="K1078" s="265" t="s">
        <v>10655</v>
      </c>
    </row>
    <row r="1079" spans="1:11" s="75" customFormat="1" ht="14.55" customHeight="1" x14ac:dyDescent="0.25">
      <c r="A1079" s="272" t="s">
        <v>8816</v>
      </c>
      <c r="B1079" s="272" t="s">
        <v>10591</v>
      </c>
      <c r="C1079" s="272" t="s">
        <v>9974</v>
      </c>
      <c r="D1079" s="259" t="s">
        <v>9975</v>
      </c>
      <c r="E1079" s="265" t="s">
        <v>10655</v>
      </c>
      <c r="F1079" s="272" t="s">
        <v>9198</v>
      </c>
      <c r="G1079" s="272" t="s">
        <v>9197</v>
      </c>
      <c r="H1079" s="265" t="s">
        <v>10895</v>
      </c>
      <c r="I1079" s="290" t="s">
        <v>10896</v>
      </c>
      <c r="J1079" s="265" t="s">
        <v>10655</v>
      </c>
      <c r="K1079" s="265" t="s">
        <v>10655</v>
      </c>
    </row>
    <row r="1080" spans="1:11" s="75" customFormat="1" ht="14.55" customHeight="1" x14ac:dyDescent="0.25">
      <c r="A1080" s="272" t="s">
        <v>8816</v>
      </c>
      <c r="B1080" s="272" t="s">
        <v>10591</v>
      </c>
      <c r="C1080" s="272" t="s">
        <v>9974</v>
      </c>
      <c r="D1080" s="259" t="s">
        <v>9975</v>
      </c>
      <c r="E1080" s="265" t="s">
        <v>10655</v>
      </c>
      <c r="F1080" s="272" t="s">
        <v>9198</v>
      </c>
      <c r="G1080" s="272" t="s">
        <v>9197</v>
      </c>
      <c r="H1080" s="265" t="s">
        <v>10897</v>
      </c>
      <c r="I1080" s="290" t="s">
        <v>10898</v>
      </c>
      <c r="J1080" s="265" t="s">
        <v>10655</v>
      </c>
      <c r="K1080" s="265" t="s">
        <v>10655</v>
      </c>
    </row>
    <row r="1081" spans="1:11" s="75" customFormat="1" ht="14.55" customHeight="1" x14ac:dyDescent="0.25">
      <c r="A1081" s="272" t="s">
        <v>8816</v>
      </c>
      <c r="B1081" s="272" t="s">
        <v>10591</v>
      </c>
      <c r="C1081" s="272" t="s">
        <v>9974</v>
      </c>
      <c r="D1081" s="259" t="s">
        <v>9975</v>
      </c>
      <c r="E1081" s="265" t="s">
        <v>10655</v>
      </c>
      <c r="F1081" s="272" t="s">
        <v>9198</v>
      </c>
      <c r="G1081" s="272" t="s">
        <v>9197</v>
      </c>
      <c r="H1081" s="265" t="s">
        <v>10873</v>
      </c>
      <c r="I1081" s="290" t="s">
        <v>10874</v>
      </c>
      <c r="J1081" s="265" t="s">
        <v>10655</v>
      </c>
      <c r="K1081" s="265" t="s">
        <v>10655</v>
      </c>
    </row>
    <row r="1082" spans="1:11" s="75" customFormat="1" ht="14.55" customHeight="1" x14ac:dyDescent="0.25">
      <c r="A1082" s="272" t="s">
        <v>8816</v>
      </c>
      <c r="B1082" s="272" t="s">
        <v>10591</v>
      </c>
      <c r="C1082" s="272" t="s">
        <v>9976</v>
      </c>
      <c r="D1082" s="259" t="s">
        <v>9977</v>
      </c>
      <c r="E1082" s="265" t="s">
        <v>10655</v>
      </c>
      <c r="F1082" s="272" t="s">
        <v>9198</v>
      </c>
      <c r="G1082" s="272" t="s">
        <v>9197</v>
      </c>
      <c r="H1082" s="265" t="s">
        <v>10869</v>
      </c>
      <c r="I1082" s="290" t="s">
        <v>10870</v>
      </c>
      <c r="J1082" s="265" t="s">
        <v>10655</v>
      </c>
      <c r="K1082" s="265" t="s">
        <v>10655</v>
      </c>
    </row>
    <row r="1083" spans="1:11" s="75" customFormat="1" ht="14.55" customHeight="1" x14ac:dyDescent="0.25">
      <c r="A1083" s="272" t="s">
        <v>8816</v>
      </c>
      <c r="B1083" s="272" t="s">
        <v>10591</v>
      </c>
      <c r="C1083" s="272" t="s">
        <v>9976</v>
      </c>
      <c r="D1083" s="259" t="s">
        <v>9977</v>
      </c>
      <c r="E1083" s="265" t="s">
        <v>10655</v>
      </c>
      <c r="F1083" s="272" t="s">
        <v>9198</v>
      </c>
      <c r="G1083" s="272" t="s">
        <v>9197</v>
      </c>
      <c r="H1083" s="265" t="s">
        <v>10897</v>
      </c>
      <c r="I1083" s="290" t="s">
        <v>10898</v>
      </c>
      <c r="J1083" s="265" t="s">
        <v>10655</v>
      </c>
      <c r="K1083" s="265" t="s">
        <v>10655</v>
      </c>
    </row>
    <row r="1084" spans="1:11" s="75" customFormat="1" ht="14.55" customHeight="1" x14ac:dyDescent="0.25">
      <c r="A1084" s="272" t="s">
        <v>8816</v>
      </c>
      <c r="B1084" s="272" t="s">
        <v>10591</v>
      </c>
      <c r="C1084" s="272" t="s">
        <v>9976</v>
      </c>
      <c r="D1084" s="259" t="s">
        <v>9977</v>
      </c>
      <c r="E1084" s="265" t="s">
        <v>10655</v>
      </c>
      <c r="F1084" s="272" t="s">
        <v>9198</v>
      </c>
      <c r="G1084" s="272" t="s">
        <v>9197</v>
      </c>
      <c r="H1084" s="265" t="s">
        <v>10873</v>
      </c>
      <c r="I1084" s="290" t="s">
        <v>10874</v>
      </c>
      <c r="J1084" s="265" t="s">
        <v>10655</v>
      </c>
      <c r="K1084" s="265" t="s">
        <v>10655</v>
      </c>
    </row>
    <row r="1085" spans="1:11" s="75" customFormat="1" ht="14.55" customHeight="1" x14ac:dyDescent="0.25">
      <c r="A1085" s="272" t="s">
        <v>8816</v>
      </c>
      <c r="B1085" s="272" t="s">
        <v>10591</v>
      </c>
      <c r="C1085" s="272" t="s">
        <v>9978</v>
      </c>
      <c r="D1085" s="259" t="s">
        <v>9979</v>
      </c>
      <c r="E1085" s="265" t="s">
        <v>10655</v>
      </c>
      <c r="F1085" s="272" t="s">
        <v>9198</v>
      </c>
      <c r="G1085" s="272" t="s">
        <v>9197</v>
      </c>
      <c r="H1085" s="265" t="s">
        <v>10887</v>
      </c>
      <c r="I1085" s="290" t="s">
        <v>10888</v>
      </c>
      <c r="J1085" s="265" t="s">
        <v>10655</v>
      </c>
      <c r="K1085" s="265" t="s">
        <v>10655</v>
      </c>
    </row>
    <row r="1086" spans="1:11" s="75" customFormat="1" ht="14.55" customHeight="1" x14ac:dyDescent="0.25">
      <c r="A1086" s="272" t="s">
        <v>8816</v>
      </c>
      <c r="B1086" s="272" t="s">
        <v>10591</v>
      </c>
      <c r="C1086" s="272" t="s">
        <v>9978</v>
      </c>
      <c r="D1086" s="259" t="s">
        <v>9979</v>
      </c>
      <c r="E1086" s="265" t="s">
        <v>10655</v>
      </c>
      <c r="F1086" s="272" t="s">
        <v>9198</v>
      </c>
      <c r="G1086" s="272" t="s">
        <v>9197</v>
      </c>
      <c r="H1086" s="265" t="s">
        <v>10869</v>
      </c>
      <c r="I1086" s="290" t="s">
        <v>10870</v>
      </c>
      <c r="J1086" s="265" t="s">
        <v>10655</v>
      </c>
      <c r="K1086" s="265" t="s">
        <v>10655</v>
      </c>
    </row>
    <row r="1087" spans="1:11" s="75" customFormat="1" ht="14.55" customHeight="1" x14ac:dyDescent="0.25">
      <c r="A1087" s="272" t="s">
        <v>8816</v>
      </c>
      <c r="B1087" s="272" t="s">
        <v>10591</v>
      </c>
      <c r="C1087" s="272" t="s">
        <v>9978</v>
      </c>
      <c r="D1087" s="263" t="s">
        <v>9979</v>
      </c>
      <c r="E1087" s="265" t="s">
        <v>10655</v>
      </c>
      <c r="F1087" s="272" t="s">
        <v>9198</v>
      </c>
      <c r="G1087" s="272" t="s">
        <v>9197</v>
      </c>
      <c r="H1087" s="272" t="s">
        <v>10889</v>
      </c>
      <c r="I1087" s="290" t="s">
        <v>10890</v>
      </c>
      <c r="J1087" s="265" t="s">
        <v>10655</v>
      </c>
      <c r="K1087" s="265" t="s">
        <v>10655</v>
      </c>
    </row>
    <row r="1088" spans="1:11" s="75" customFormat="1" ht="14.55" customHeight="1" x14ac:dyDescent="0.25">
      <c r="A1088" s="272" t="s">
        <v>8816</v>
      </c>
      <c r="B1088" s="272" t="s">
        <v>10591</v>
      </c>
      <c r="C1088" s="272" t="s">
        <v>9978</v>
      </c>
      <c r="D1088" s="259" t="s">
        <v>9979</v>
      </c>
      <c r="E1088" s="265" t="s">
        <v>10655</v>
      </c>
      <c r="F1088" s="272" t="s">
        <v>9198</v>
      </c>
      <c r="G1088" s="272" t="s">
        <v>9197</v>
      </c>
      <c r="H1088" s="265" t="s">
        <v>10895</v>
      </c>
      <c r="I1088" s="290" t="s">
        <v>10896</v>
      </c>
      <c r="J1088" s="265" t="s">
        <v>10655</v>
      </c>
      <c r="K1088" s="265" t="s">
        <v>10655</v>
      </c>
    </row>
    <row r="1089" spans="1:11" s="75" customFormat="1" ht="14.55" customHeight="1" x14ac:dyDescent="0.25">
      <c r="A1089" s="272" t="s">
        <v>8816</v>
      </c>
      <c r="B1089" s="272" t="s">
        <v>10591</v>
      </c>
      <c r="C1089" s="272" t="s">
        <v>9978</v>
      </c>
      <c r="D1089" s="259" t="s">
        <v>9979</v>
      </c>
      <c r="E1089" s="265" t="s">
        <v>10655</v>
      </c>
      <c r="F1089" s="272" t="s">
        <v>9198</v>
      </c>
      <c r="G1089" s="272" t="s">
        <v>9197</v>
      </c>
      <c r="H1089" s="265" t="s">
        <v>10897</v>
      </c>
      <c r="I1089" s="290" t="s">
        <v>10898</v>
      </c>
      <c r="J1089" s="265" t="s">
        <v>10655</v>
      </c>
      <c r="K1089" s="265" t="s">
        <v>10655</v>
      </c>
    </row>
    <row r="1090" spans="1:11" s="75" customFormat="1" ht="14.55" customHeight="1" x14ac:dyDescent="0.25">
      <c r="A1090" s="272" t="s">
        <v>8816</v>
      </c>
      <c r="B1090" s="272" t="s">
        <v>10591</v>
      </c>
      <c r="C1090" s="272" t="s">
        <v>9978</v>
      </c>
      <c r="D1090" s="259" t="s">
        <v>9979</v>
      </c>
      <c r="E1090" s="265" t="s">
        <v>10655</v>
      </c>
      <c r="F1090" s="272" t="s">
        <v>9198</v>
      </c>
      <c r="G1090" s="272" t="s">
        <v>9197</v>
      </c>
      <c r="H1090" s="265" t="s">
        <v>10873</v>
      </c>
      <c r="I1090" s="290" t="s">
        <v>10874</v>
      </c>
      <c r="J1090" s="265" t="s">
        <v>10655</v>
      </c>
      <c r="K1090" s="265" t="s">
        <v>10655</v>
      </c>
    </row>
    <row r="1091" spans="1:11" s="75" customFormat="1" ht="14.55" customHeight="1" x14ac:dyDescent="0.25">
      <c r="A1091" s="272" t="s">
        <v>8816</v>
      </c>
      <c r="B1091" s="272" t="s">
        <v>10591</v>
      </c>
      <c r="C1091" s="272" t="s">
        <v>9980</v>
      </c>
      <c r="D1091" s="259" t="s">
        <v>9981</v>
      </c>
      <c r="E1091" s="265" t="s">
        <v>10655</v>
      </c>
      <c r="F1091" s="272" t="s">
        <v>9198</v>
      </c>
      <c r="G1091" s="272" t="s">
        <v>9197</v>
      </c>
      <c r="H1091" s="265" t="s">
        <v>10895</v>
      </c>
      <c r="I1091" s="290" t="s">
        <v>10896</v>
      </c>
      <c r="J1091" s="265" t="s">
        <v>10655</v>
      </c>
      <c r="K1091" s="265" t="s">
        <v>10655</v>
      </c>
    </row>
    <row r="1092" spans="1:11" s="75" customFormat="1" ht="14.55" customHeight="1" x14ac:dyDescent="0.25">
      <c r="A1092" s="272" t="s">
        <v>8816</v>
      </c>
      <c r="B1092" s="272" t="s">
        <v>10591</v>
      </c>
      <c r="C1092" s="272" t="s">
        <v>9980</v>
      </c>
      <c r="D1092" s="259" t="s">
        <v>9981</v>
      </c>
      <c r="E1092" s="265" t="s">
        <v>10655</v>
      </c>
      <c r="F1092" s="272" t="s">
        <v>9198</v>
      </c>
      <c r="G1092" s="272" t="s">
        <v>9197</v>
      </c>
      <c r="H1092" s="265" t="s">
        <v>10897</v>
      </c>
      <c r="I1092" s="290" t="s">
        <v>10898</v>
      </c>
      <c r="J1092" s="265" t="s">
        <v>10655</v>
      </c>
      <c r="K1092" s="265" t="s">
        <v>10655</v>
      </c>
    </row>
    <row r="1093" spans="1:11" s="75" customFormat="1" ht="14.55" customHeight="1" x14ac:dyDescent="0.25">
      <c r="A1093" s="272" t="s">
        <v>8816</v>
      </c>
      <c r="B1093" s="272" t="s">
        <v>10591</v>
      </c>
      <c r="C1093" s="272" t="s">
        <v>9980</v>
      </c>
      <c r="D1093" s="259" t="s">
        <v>9981</v>
      </c>
      <c r="E1093" s="265" t="s">
        <v>10655</v>
      </c>
      <c r="F1093" s="272" t="s">
        <v>9198</v>
      </c>
      <c r="G1093" s="272" t="s">
        <v>9197</v>
      </c>
      <c r="H1093" s="265" t="s">
        <v>10873</v>
      </c>
      <c r="I1093" s="290" t="s">
        <v>10874</v>
      </c>
      <c r="J1093" s="265" t="s">
        <v>10655</v>
      </c>
      <c r="K1093" s="265" t="s">
        <v>10655</v>
      </c>
    </row>
    <row r="1094" spans="1:11" s="75" customFormat="1" ht="14.55" customHeight="1" x14ac:dyDescent="0.25">
      <c r="A1094" s="272" t="s">
        <v>8816</v>
      </c>
      <c r="B1094" s="272" t="s">
        <v>10591</v>
      </c>
      <c r="C1094" s="272" t="s">
        <v>9982</v>
      </c>
      <c r="D1094" s="259" t="s">
        <v>9983</v>
      </c>
      <c r="E1094" s="265" t="s">
        <v>10655</v>
      </c>
      <c r="F1094" s="272" t="s">
        <v>9198</v>
      </c>
      <c r="G1094" s="272" t="s">
        <v>9197</v>
      </c>
      <c r="H1094" s="265" t="s">
        <v>10869</v>
      </c>
      <c r="I1094" s="290" t="s">
        <v>10870</v>
      </c>
      <c r="J1094" s="265" t="s">
        <v>10655</v>
      </c>
      <c r="K1094" s="265" t="s">
        <v>10655</v>
      </c>
    </row>
    <row r="1095" spans="1:11" s="75" customFormat="1" ht="14.55" customHeight="1" x14ac:dyDescent="0.25">
      <c r="A1095" s="272" t="s">
        <v>8816</v>
      </c>
      <c r="B1095" s="272" t="s">
        <v>10591</v>
      </c>
      <c r="C1095" s="272" t="s">
        <v>9982</v>
      </c>
      <c r="D1095" s="259" t="s">
        <v>9983</v>
      </c>
      <c r="E1095" s="265" t="s">
        <v>10655</v>
      </c>
      <c r="F1095" s="272" t="s">
        <v>9198</v>
      </c>
      <c r="G1095" s="272" t="s">
        <v>9197</v>
      </c>
      <c r="H1095" s="265" t="s">
        <v>10895</v>
      </c>
      <c r="I1095" s="290" t="s">
        <v>10896</v>
      </c>
      <c r="J1095" s="265" t="s">
        <v>10655</v>
      </c>
      <c r="K1095" s="265" t="s">
        <v>10655</v>
      </c>
    </row>
    <row r="1096" spans="1:11" s="75" customFormat="1" ht="14.55" customHeight="1" x14ac:dyDescent="0.25">
      <c r="A1096" s="272" t="s">
        <v>8816</v>
      </c>
      <c r="B1096" s="272" t="s">
        <v>10591</v>
      </c>
      <c r="C1096" s="272" t="s">
        <v>9982</v>
      </c>
      <c r="D1096" s="259" t="s">
        <v>9983</v>
      </c>
      <c r="E1096" s="265" t="s">
        <v>10655</v>
      </c>
      <c r="F1096" s="272" t="s">
        <v>9198</v>
      </c>
      <c r="G1096" s="272" t="s">
        <v>9197</v>
      </c>
      <c r="H1096" s="265" t="s">
        <v>10897</v>
      </c>
      <c r="I1096" s="290" t="s">
        <v>10898</v>
      </c>
      <c r="J1096" s="265" t="s">
        <v>10655</v>
      </c>
      <c r="K1096" s="265" t="s">
        <v>10655</v>
      </c>
    </row>
    <row r="1097" spans="1:11" s="75" customFormat="1" ht="14.55" customHeight="1" x14ac:dyDescent="0.25">
      <c r="A1097" s="272" t="s">
        <v>8816</v>
      </c>
      <c r="B1097" s="272" t="s">
        <v>10591</v>
      </c>
      <c r="C1097" s="272" t="s">
        <v>9982</v>
      </c>
      <c r="D1097" s="259" t="s">
        <v>9983</v>
      </c>
      <c r="E1097" s="265" t="s">
        <v>10655</v>
      </c>
      <c r="F1097" s="272" t="s">
        <v>9198</v>
      </c>
      <c r="G1097" s="272" t="s">
        <v>9197</v>
      </c>
      <c r="H1097" s="265" t="s">
        <v>10873</v>
      </c>
      <c r="I1097" s="290" t="s">
        <v>10874</v>
      </c>
      <c r="J1097" s="265" t="s">
        <v>10655</v>
      </c>
      <c r="K1097" s="265" t="s">
        <v>10655</v>
      </c>
    </row>
    <row r="1098" spans="1:11" s="75" customFormat="1" ht="14.55" customHeight="1" x14ac:dyDescent="0.25">
      <c r="A1098" s="272" t="s">
        <v>8816</v>
      </c>
      <c r="B1098" s="272" t="s">
        <v>10591</v>
      </c>
      <c r="C1098" s="272" t="s">
        <v>9984</v>
      </c>
      <c r="D1098" s="259" t="s">
        <v>9985</v>
      </c>
      <c r="E1098" s="265" t="s">
        <v>10655</v>
      </c>
      <c r="F1098" s="272" t="s">
        <v>9198</v>
      </c>
      <c r="G1098" s="272" t="s">
        <v>9197</v>
      </c>
      <c r="H1098" s="265" t="s">
        <v>10921</v>
      </c>
      <c r="I1098" s="290" t="s">
        <v>10922</v>
      </c>
      <c r="J1098" s="265" t="s">
        <v>10655</v>
      </c>
      <c r="K1098" s="265" t="s">
        <v>10655</v>
      </c>
    </row>
    <row r="1099" spans="1:11" s="75" customFormat="1" ht="14.55" customHeight="1" x14ac:dyDescent="0.25">
      <c r="A1099" s="272" t="s">
        <v>8816</v>
      </c>
      <c r="B1099" s="272" t="s">
        <v>10591</v>
      </c>
      <c r="C1099" s="272" t="s">
        <v>9984</v>
      </c>
      <c r="D1099" s="259" t="s">
        <v>9985</v>
      </c>
      <c r="E1099" s="265" t="s">
        <v>10655</v>
      </c>
      <c r="F1099" s="272" t="s">
        <v>9198</v>
      </c>
      <c r="G1099" s="272" t="s">
        <v>9197</v>
      </c>
      <c r="H1099" s="265" t="s">
        <v>10885</v>
      </c>
      <c r="I1099" s="290" t="s">
        <v>10886</v>
      </c>
      <c r="J1099" s="265" t="s">
        <v>10655</v>
      </c>
      <c r="K1099" s="265" t="s">
        <v>10655</v>
      </c>
    </row>
    <row r="1100" spans="1:11" s="75" customFormat="1" ht="14.55" customHeight="1" x14ac:dyDescent="0.25">
      <c r="A1100" s="272" t="s">
        <v>8816</v>
      </c>
      <c r="B1100" s="272" t="s">
        <v>10591</v>
      </c>
      <c r="C1100" s="272" t="s">
        <v>9984</v>
      </c>
      <c r="D1100" s="259" t="s">
        <v>9985</v>
      </c>
      <c r="E1100" s="265" t="s">
        <v>10655</v>
      </c>
      <c r="F1100" s="272" t="s">
        <v>9198</v>
      </c>
      <c r="G1100" s="272" t="s">
        <v>9197</v>
      </c>
      <c r="H1100" s="265" t="s">
        <v>10887</v>
      </c>
      <c r="I1100" s="290" t="s">
        <v>10888</v>
      </c>
      <c r="J1100" s="265" t="s">
        <v>10655</v>
      </c>
      <c r="K1100" s="265" t="s">
        <v>10655</v>
      </c>
    </row>
    <row r="1101" spans="1:11" s="75" customFormat="1" ht="14.55" customHeight="1" x14ac:dyDescent="0.25">
      <c r="A1101" s="272" t="s">
        <v>8816</v>
      </c>
      <c r="B1101" s="272" t="s">
        <v>10591</v>
      </c>
      <c r="C1101" s="272" t="s">
        <v>9984</v>
      </c>
      <c r="D1101" s="259" t="s">
        <v>9985</v>
      </c>
      <c r="E1101" s="265" t="s">
        <v>10655</v>
      </c>
      <c r="F1101" s="272" t="s">
        <v>9198</v>
      </c>
      <c r="G1101" s="272" t="s">
        <v>9197</v>
      </c>
      <c r="H1101" s="265" t="s">
        <v>10869</v>
      </c>
      <c r="I1101" s="290" t="s">
        <v>10870</v>
      </c>
      <c r="J1101" s="265" t="s">
        <v>10655</v>
      </c>
      <c r="K1101" s="265" t="s">
        <v>10655</v>
      </c>
    </row>
    <row r="1102" spans="1:11" s="75" customFormat="1" ht="14.55" customHeight="1" x14ac:dyDescent="0.25">
      <c r="A1102" s="272" t="s">
        <v>8816</v>
      </c>
      <c r="B1102" s="272" t="s">
        <v>10591</v>
      </c>
      <c r="C1102" s="272" t="s">
        <v>9984</v>
      </c>
      <c r="D1102" s="259" t="s">
        <v>9985</v>
      </c>
      <c r="E1102" s="265" t="s">
        <v>10655</v>
      </c>
      <c r="F1102" s="272" t="s">
        <v>9198</v>
      </c>
      <c r="G1102" s="272" t="s">
        <v>9197</v>
      </c>
      <c r="H1102" s="265" t="s">
        <v>10889</v>
      </c>
      <c r="I1102" s="290" t="s">
        <v>10890</v>
      </c>
      <c r="J1102" s="265" t="s">
        <v>10655</v>
      </c>
      <c r="K1102" s="265" t="s">
        <v>10655</v>
      </c>
    </row>
    <row r="1103" spans="1:11" s="75" customFormat="1" ht="14.55" customHeight="1" x14ac:dyDescent="0.25">
      <c r="A1103" s="272" t="s">
        <v>8816</v>
      </c>
      <c r="B1103" s="272" t="s">
        <v>10591</v>
      </c>
      <c r="C1103" s="272" t="s">
        <v>9984</v>
      </c>
      <c r="D1103" s="259" t="s">
        <v>9985</v>
      </c>
      <c r="E1103" s="265" t="s">
        <v>10655</v>
      </c>
      <c r="F1103" s="272" t="s">
        <v>9198</v>
      </c>
      <c r="G1103" s="272" t="s">
        <v>9197</v>
      </c>
      <c r="H1103" s="265" t="s">
        <v>10895</v>
      </c>
      <c r="I1103" s="290" t="s">
        <v>10896</v>
      </c>
      <c r="J1103" s="265" t="s">
        <v>10655</v>
      </c>
      <c r="K1103" s="265" t="s">
        <v>10655</v>
      </c>
    </row>
    <row r="1104" spans="1:11" s="75" customFormat="1" ht="14.55" customHeight="1" x14ac:dyDescent="0.25">
      <c r="A1104" s="272" t="s">
        <v>8816</v>
      </c>
      <c r="B1104" s="272" t="s">
        <v>10591</v>
      </c>
      <c r="C1104" s="272" t="s">
        <v>9984</v>
      </c>
      <c r="D1104" s="259" t="s">
        <v>9985</v>
      </c>
      <c r="E1104" s="265" t="s">
        <v>10655</v>
      </c>
      <c r="F1104" s="272" t="s">
        <v>9198</v>
      </c>
      <c r="G1104" s="272" t="s">
        <v>9197</v>
      </c>
      <c r="H1104" s="265" t="s">
        <v>10897</v>
      </c>
      <c r="I1104" s="290" t="s">
        <v>10898</v>
      </c>
      <c r="J1104" s="265" t="s">
        <v>10655</v>
      </c>
      <c r="K1104" s="265" t="s">
        <v>10655</v>
      </c>
    </row>
    <row r="1105" spans="1:11" s="75" customFormat="1" ht="14.55" customHeight="1" x14ac:dyDescent="0.25">
      <c r="A1105" s="272" t="s">
        <v>8816</v>
      </c>
      <c r="B1105" s="272" t="s">
        <v>10591</v>
      </c>
      <c r="C1105" s="272" t="s">
        <v>9984</v>
      </c>
      <c r="D1105" s="259" t="s">
        <v>9985</v>
      </c>
      <c r="E1105" s="265" t="s">
        <v>10655</v>
      </c>
      <c r="F1105" s="272" t="s">
        <v>9198</v>
      </c>
      <c r="G1105" s="272" t="s">
        <v>9197</v>
      </c>
      <c r="H1105" s="265" t="s">
        <v>10873</v>
      </c>
      <c r="I1105" s="290" t="s">
        <v>10874</v>
      </c>
      <c r="J1105" s="265" t="s">
        <v>10655</v>
      </c>
      <c r="K1105" s="265" t="s">
        <v>10655</v>
      </c>
    </row>
    <row r="1106" spans="1:11" s="75" customFormat="1" ht="14.55" customHeight="1" x14ac:dyDescent="0.25">
      <c r="A1106" s="272" t="s">
        <v>8816</v>
      </c>
      <c r="B1106" s="272" t="s">
        <v>10591</v>
      </c>
      <c r="C1106" s="272" t="s">
        <v>9986</v>
      </c>
      <c r="D1106" s="259" t="s">
        <v>9987</v>
      </c>
      <c r="E1106" s="265" t="s">
        <v>10655</v>
      </c>
      <c r="F1106" s="272" t="s">
        <v>9198</v>
      </c>
      <c r="G1106" s="272" t="s">
        <v>9198</v>
      </c>
      <c r="H1106" s="265" t="s">
        <v>10869</v>
      </c>
      <c r="I1106" s="290" t="s">
        <v>10870</v>
      </c>
      <c r="J1106" s="265" t="s">
        <v>10655</v>
      </c>
      <c r="K1106" s="265" t="s">
        <v>10655</v>
      </c>
    </row>
    <row r="1107" spans="1:11" s="75" customFormat="1" ht="14.55" customHeight="1" x14ac:dyDescent="0.25">
      <c r="A1107" s="272" t="s">
        <v>8816</v>
      </c>
      <c r="B1107" s="272" t="s">
        <v>10591</v>
      </c>
      <c r="C1107" s="272" t="s">
        <v>9986</v>
      </c>
      <c r="D1107" s="259" t="s">
        <v>9987</v>
      </c>
      <c r="E1107" s="265" t="s">
        <v>10655</v>
      </c>
      <c r="F1107" s="272" t="s">
        <v>9198</v>
      </c>
      <c r="G1107" s="272" t="s">
        <v>9198</v>
      </c>
      <c r="H1107" s="265" t="s">
        <v>10895</v>
      </c>
      <c r="I1107" s="290" t="s">
        <v>10896</v>
      </c>
      <c r="J1107" s="265" t="s">
        <v>10655</v>
      </c>
      <c r="K1107" s="265" t="s">
        <v>10655</v>
      </c>
    </row>
    <row r="1108" spans="1:11" s="75" customFormat="1" ht="14.55" customHeight="1" x14ac:dyDescent="0.25">
      <c r="A1108" s="272" t="s">
        <v>8816</v>
      </c>
      <c r="B1108" s="272" t="s">
        <v>10591</v>
      </c>
      <c r="C1108" s="272" t="s">
        <v>9986</v>
      </c>
      <c r="D1108" s="259" t="s">
        <v>9987</v>
      </c>
      <c r="E1108" s="265" t="s">
        <v>10655</v>
      </c>
      <c r="F1108" s="272" t="s">
        <v>9198</v>
      </c>
      <c r="G1108" s="272" t="s">
        <v>9198</v>
      </c>
      <c r="H1108" s="265" t="s">
        <v>10873</v>
      </c>
      <c r="I1108" s="290" t="s">
        <v>10874</v>
      </c>
      <c r="J1108" s="265" t="s">
        <v>10655</v>
      </c>
      <c r="K1108" s="265" t="s">
        <v>10655</v>
      </c>
    </row>
    <row r="1109" spans="1:11" s="75" customFormat="1" ht="14.55" customHeight="1" x14ac:dyDescent="0.25">
      <c r="A1109" s="272" t="s">
        <v>8816</v>
      </c>
      <c r="B1109" s="272" t="s">
        <v>10591</v>
      </c>
      <c r="C1109" s="272" t="s">
        <v>9988</v>
      </c>
      <c r="D1109" s="259" t="s">
        <v>9989</v>
      </c>
      <c r="E1109" s="265" t="s">
        <v>10655</v>
      </c>
      <c r="F1109" s="272" t="s">
        <v>9198</v>
      </c>
      <c r="G1109" s="272" t="s">
        <v>9197</v>
      </c>
      <c r="H1109" s="265" t="s">
        <v>10895</v>
      </c>
      <c r="I1109" s="290" t="s">
        <v>10896</v>
      </c>
      <c r="J1109" s="265" t="s">
        <v>10655</v>
      </c>
      <c r="K1109" s="265" t="s">
        <v>10655</v>
      </c>
    </row>
    <row r="1110" spans="1:11" s="75" customFormat="1" ht="14.55" customHeight="1" x14ac:dyDescent="0.25">
      <c r="A1110" s="272" t="s">
        <v>8816</v>
      </c>
      <c r="B1110" s="272" t="s">
        <v>10591</v>
      </c>
      <c r="C1110" s="272" t="s">
        <v>9988</v>
      </c>
      <c r="D1110" s="259" t="s">
        <v>9989</v>
      </c>
      <c r="E1110" s="265" t="s">
        <v>10655</v>
      </c>
      <c r="F1110" s="272" t="s">
        <v>9198</v>
      </c>
      <c r="G1110" s="272" t="s">
        <v>9197</v>
      </c>
      <c r="H1110" s="265" t="s">
        <v>10873</v>
      </c>
      <c r="I1110" s="290" t="s">
        <v>10874</v>
      </c>
      <c r="J1110" s="265" t="s">
        <v>10655</v>
      </c>
      <c r="K1110" s="265" t="s">
        <v>10655</v>
      </c>
    </row>
    <row r="1111" spans="1:11" s="75" customFormat="1" ht="14.55" customHeight="1" x14ac:dyDescent="0.25">
      <c r="A1111" s="297" t="s">
        <v>8816</v>
      </c>
      <c r="B1111" s="296" t="s">
        <v>10591</v>
      </c>
      <c r="C1111" s="275">
        <v>121043</v>
      </c>
      <c r="D1111" s="276" t="s">
        <v>9991</v>
      </c>
      <c r="E1111" s="275" t="s">
        <v>10655</v>
      </c>
      <c r="F1111" s="296" t="s">
        <v>9198</v>
      </c>
      <c r="G1111" s="296" t="s">
        <v>9197</v>
      </c>
      <c r="H1111" s="296" t="s">
        <v>10869</v>
      </c>
      <c r="I1111" s="276" t="s">
        <v>10870</v>
      </c>
      <c r="J1111" s="275" t="s">
        <v>10655</v>
      </c>
      <c r="K1111" s="275" t="s">
        <v>10655</v>
      </c>
    </row>
    <row r="1112" spans="1:11" s="75" customFormat="1" ht="14.55" customHeight="1" x14ac:dyDescent="0.25">
      <c r="A1112" s="297" t="s">
        <v>8816</v>
      </c>
      <c r="B1112" s="296" t="s">
        <v>10591</v>
      </c>
      <c r="C1112" s="275">
        <v>121043</v>
      </c>
      <c r="D1112" s="276" t="s">
        <v>9991</v>
      </c>
      <c r="E1112" s="275" t="s">
        <v>10655</v>
      </c>
      <c r="F1112" s="296" t="s">
        <v>9198</v>
      </c>
      <c r="G1112" s="296" t="s">
        <v>9197</v>
      </c>
      <c r="H1112" s="296" t="s">
        <v>10889</v>
      </c>
      <c r="I1112" s="276" t="s">
        <v>10890</v>
      </c>
      <c r="J1112" s="275" t="s">
        <v>10655</v>
      </c>
      <c r="K1112" s="275" t="s">
        <v>10655</v>
      </c>
    </row>
    <row r="1113" spans="1:11" s="75" customFormat="1" ht="14.55" customHeight="1" x14ac:dyDescent="0.25">
      <c r="A1113" s="297" t="s">
        <v>8816</v>
      </c>
      <c r="B1113" s="296" t="s">
        <v>10591</v>
      </c>
      <c r="C1113" s="275">
        <v>121043</v>
      </c>
      <c r="D1113" s="276" t="s">
        <v>9991</v>
      </c>
      <c r="E1113" s="275" t="s">
        <v>10655</v>
      </c>
      <c r="F1113" s="296" t="s">
        <v>9198</v>
      </c>
      <c r="G1113" s="296" t="s">
        <v>9197</v>
      </c>
      <c r="H1113" s="296" t="s">
        <v>10895</v>
      </c>
      <c r="I1113" s="276" t="s">
        <v>10896</v>
      </c>
      <c r="J1113" s="275" t="s">
        <v>10655</v>
      </c>
      <c r="K1113" s="275" t="s">
        <v>10655</v>
      </c>
    </row>
    <row r="1114" spans="1:11" s="75" customFormat="1" ht="14.55" customHeight="1" x14ac:dyDescent="0.25">
      <c r="A1114" s="297" t="s">
        <v>8816</v>
      </c>
      <c r="B1114" s="296" t="s">
        <v>10591</v>
      </c>
      <c r="C1114" s="275">
        <v>121043</v>
      </c>
      <c r="D1114" s="276" t="s">
        <v>9991</v>
      </c>
      <c r="E1114" s="275" t="s">
        <v>10655</v>
      </c>
      <c r="F1114" s="296" t="s">
        <v>9198</v>
      </c>
      <c r="G1114" s="296" t="s">
        <v>9197</v>
      </c>
      <c r="H1114" s="296" t="s">
        <v>10873</v>
      </c>
      <c r="I1114" s="276" t="s">
        <v>10874</v>
      </c>
      <c r="J1114" s="275" t="s">
        <v>10655</v>
      </c>
      <c r="K1114" s="275" t="s">
        <v>10655</v>
      </c>
    </row>
    <row r="1115" spans="1:11" s="75" customFormat="1" ht="14.55" customHeight="1" x14ac:dyDescent="0.25">
      <c r="A1115" s="272" t="s">
        <v>8816</v>
      </c>
      <c r="B1115" s="272" t="s">
        <v>10591</v>
      </c>
      <c r="C1115" s="272" t="s">
        <v>9992</v>
      </c>
      <c r="D1115" s="259" t="s">
        <v>9993</v>
      </c>
      <c r="E1115" s="265" t="s">
        <v>10655</v>
      </c>
      <c r="F1115" s="272" t="s">
        <v>9198</v>
      </c>
      <c r="G1115" s="272" t="s">
        <v>9197</v>
      </c>
      <c r="H1115" s="265" t="s">
        <v>10869</v>
      </c>
      <c r="I1115" s="290" t="s">
        <v>10870</v>
      </c>
      <c r="J1115" s="265" t="s">
        <v>10655</v>
      </c>
      <c r="K1115" s="265" t="s">
        <v>10655</v>
      </c>
    </row>
    <row r="1116" spans="1:11" s="75" customFormat="1" ht="14.55" customHeight="1" x14ac:dyDescent="0.25">
      <c r="A1116" s="272" t="s">
        <v>8816</v>
      </c>
      <c r="B1116" s="272" t="s">
        <v>10591</v>
      </c>
      <c r="C1116" s="272" t="s">
        <v>9992</v>
      </c>
      <c r="D1116" s="259" t="s">
        <v>9993</v>
      </c>
      <c r="E1116" s="265" t="s">
        <v>10655</v>
      </c>
      <c r="F1116" s="272" t="s">
        <v>9198</v>
      </c>
      <c r="G1116" s="272" t="s">
        <v>9197</v>
      </c>
      <c r="H1116" s="265" t="s">
        <v>10895</v>
      </c>
      <c r="I1116" s="290" t="s">
        <v>10896</v>
      </c>
      <c r="J1116" s="265" t="s">
        <v>10655</v>
      </c>
      <c r="K1116" s="265" t="s">
        <v>10655</v>
      </c>
    </row>
    <row r="1117" spans="1:11" s="75" customFormat="1" ht="14.55" customHeight="1" x14ac:dyDescent="0.25">
      <c r="A1117" s="272" t="s">
        <v>8816</v>
      </c>
      <c r="B1117" s="272" t="s">
        <v>10591</v>
      </c>
      <c r="C1117" s="272" t="s">
        <v>9992</v>
      </c>
      <c r="D1117" s="259" t="s">
        <v>9993</v>
      </c>
      <c r="E1117" s="265" t="s">
        <v>10655</v>
      </c>
      <c r="F1117" s="272" t="s">
        <v>9198</v>
      </c>
      <c r="G1117" s="272" t="s">
        <v>9197</v>
      </c>
      <c r="H1117" s="265" t="s">
        <v>10897</v>
      </c>
      <c r="I1117" s="290" t="s">
        <v>10898</v>
      </c>
      <c r="J1117" s="265" t="s">
        <v>10655</v>
      </c>
      <c r="K1117" s="265" t="s">
        <v>10655</v>
      </c>
    </row>
    <row r="1118" spans="1:11" s="75" customFormat="1" ht="14.55" customHeight="1" x14ac:dyDescent="0.25">
      <c r="A1118" s="272" t="s">
        <v>8816</v>
      </c>
      <c r="B1118" s="272" t="s">
        <v>10591</v>
      </c>
      <c r="C1118" s="272" t="s">
        <v>9992</v>
      </c>
      <c r="D1118" s="259" t="s">
        <v>9993</v>
      </c>
      <c r="E1118" s="265" t="s">
        <v>10655</v>
      </c>
      <c r="F1118" s="272" t="s">
        <v>9198</v>
      </c>
      <c r="G1118" s="272" t="s">
        <v>9197</v>
      </c>
      <c r="H1118" s="265" t="s">
        <v>10873</v>
      </c>
      <c r="I1118" s="290" t="s">
        <v>10874</v>
      </c>
      <c r="J1118" s="265" t="s">
        <v>10655</v>
      </c>
      <c r="K1118" s="265" t="s">
        <v>10655</v>
      </c>
    </row>
    <row r="1119" spans="1:11" s="75" customFormat="1" ht="14.55" customHeight="1" x14ac:dyDescent="0.25">
      <c r="A1119" s="272" t="s">
        <v>8816</v>
      </c>
      <c r="B1119" s="272" t="s">
        <v>10591</v>
      </c>
      <c r="C1119" s="272" t="s">
        <v>9994</v>
      </c>
      <c r="D1119" s="259" t="s">
        <v>9995</v>
      </c>
      <c r="E1119" s="265" t="s">
        <v>10655</v>
      </c>
      <c r="F1119" s="272" t="s">
        <v>9198</v>
      </c>
      <c r="G1119" s="272" t="s">
        <v>9197</v>
      </c>
      <c r="H1119" s="265" t="s">
        <v>10869</v>
      </c>
      <c r="I1119" s="290" t="s">
        <v>10870</v>
      </c>
      <c r="J1119" s="265" t="s">
        <v>10655</v>
      </c>
      <c r="K1119" s="265" t="s">
        <v>10655</v>
      </c>
    </row>
    <row r="1120" spans="1:11" s="75" customFormat="1" ht="14.55" customHeight="1" x14ac:dyDescent="0.25">
      <c r="A1120" s="272" t="s">
        <v>8816</v>
      </c>
      <c r="B1120" s="272" t="s">
        <v>10591</v>
      </c>
      <c r="C1120" s="272" t="s">
        <v>9994</v>
      </c>
      <c r="D1120" s="259" t="s">
        <v>9995</v>
      </c>
      <c r="E1120" s="265" t="s">
        <v>10655</v>
      </c>
      <c r="F1120" s="272" t="s">
        <v>9198</v>
      </c>
      <c r="G1120" s="272" t="s">
        <v>9197</v>
      </c>
      <c r="H1120" s="265" t="s">
        <v>10897</v>
      </c>
      <c r="I1120" s="290" t="s">
        <v>10898</v>
      </c>
      <c r="J1120" s="265" t="s">
        <v>10655</v>
      </c>
      <c r="K1120" s="265" t="s">
        <v>10655</v>
      </c>
    </row>
    <row r="1121" spans="1:11" s="75" customFormat="1" ht="14.55" customHeight="1" x14ac:dyDescent="0.25">
      <c r="A1121" s="272" t="s">
        <v>8816</v>
      </c>
      <c r="B1121" s="272" t="s">
        <v>10591</v>
      </c>
      <c r="C1121" s="272" t="s">
        <v>9994</v>
      </c>
      <c r="D1121" s="259" t="s">
        <v>9995</v>
      </c>
      <c r="E1121" s="265" t="s">
        <v>10655</v>
      </c>
      <c r="F1121" s="272" t="s">
        <v>9198</v>
      </c>
      <c r="G1121" s="272" t="s">
        <v>9197</v>
      </c>
      <c r="H1121" s="265" t="s">
        <v>10873</v>
      </c>
      <c r="I1121" s="290" t="s">
        <v>10874</v>
      </c>
      <c r="J1121" s="265" t="s">
        <v>10655</v>
      </c>
      <c r="K1121" s="265" t="s">
        <v>10655</v>
      </c>
    </row>
    <row r="1122" spans="1:11" s="75" customFormat="1" ht="14.55" customHeight="1" x14ac:dyDescent="0.25">
      <c r="A1122" s="272" t="s">
        <v>8816</v>
      </c>
      <c r="B1122" s="272" t="s">
        <v>10591</v>
      </c>
      <c r="C1122" s="272" t="s">
        <v>9996</v>
      </c>
      <c r="D1122" s="259" t="s">
        <v>9997</v>
      </c>
      <c r="E1122" s="265" t="s">
        <v>10655</v>
      </c>
      <c r="F1122" s="272" t="s">
        <v>9198</v>
      </c>
      <c r="G1122" s="272" t="s">
        <v>9197</v>
      </c>
      <c r="H1122" s="265" t="s">
        <v>10869</v>
      </c>
      <c r="I1122" s="290" t="s">
        <v>10870</v>
      </c>
      <c r="J1122" s="265" t="s">
        <v>10655</v>
      </c>
      <c r="K1122" s="265" t="s">
        <v>10655</v>
      </c>
    </row>
    <row r="1123" spans="1:11" s="75" customFormat="1" ht="14.55" customHeight="1" x14ac:dyDescent="0.25">
      <c r="A1123" s="272" t="s">
        <v>8816</v>
      </c>
      <c r="B1123" s="272" t="s">
        <v>10591</v>
      </c>
      <c r="C1123" s="272" t="s">
        <v>9996</v>
      </c>
      <c r="D1123" s="259" t="s">
        <v>9997</v>
      </c>
      <c r="E1123" s="265" t="s">
        <v>10655</v>
      </c>
      <c r="F1123" s="272" t="s">
        <v>9198</v>
      </c>
      <c r="G1123" s="272" t="s">
        <v>9197</v>
      </c>
      <c r="H1123" s="265" t="s">
        <v>10895</v>
      </c>
      <c r="I1123" s="290" t="s">
        <v>10896</v>
      </c>
      <c r="J1123" s="265" t="s">
        <v>10655</v>
      </c>
      <c r="K1123" s="265" t="s">
        <v>10655</v>
      </c>
    </row>
    <row r="1124" spans="1:11" s="75" customFormat="1" ht="14.55" customHeight="1" x14ac:dyDescent="0.25">
      <c r="A1124" s="272" t="s">
        <v>8816</v>
      </c>
      <c r="B1124" s="272" t="s">
        <v>10591</v>
      </c>
      <c r="C1124" s="272" t="s">
        <v>9996</v>
      </c>
      <c r="D1124" s="259" t="s">
        <v>9997</v>
      </c>
      <c r="E1124" s="265" t="s">
        <v>10655</v>
      </c>
      <c r="F1124" s="272" t="s">
        <v>9198</v>
      </c>
      <c r="G1124" s="272" t="s">
        <v>9197</v>
      </c>
      <c r="H1124" s="265" t="s">
        <v>10897</v>
      </c>
      <c r="I1124" s="290" t="s">
        <v>10898</v>
      </c>
      <c r="J1124" s="265" t="s">
        <v>10655</v>
      </c>
      <c r="K1124" s="265" t="s">
        <v>10655</v>
      </c>
    </row>
    <row r="1125" spans="1:11" s="75" customFormat="1" ht="14.55" customHeight="1" x14ac:dyDescent="0.25">
      <c r="A1125" s="272" t="s">
        <v>8816</v>
      </c>
      <c r="B1125" s="272" t="s">
        <v>10591</v>
      </c>
      <c r="C1125" s="272" t="s">
        <v>9996</v>
      </c>
      <c r="D1125" s="259" t="s">
        <v>9997</v>
      </c>
      <c r="E1125" s="265" t="s">
        <v>10655</v>
      </c>
      <c r="F1125" s="272" t="s">
        <v>9198</v>
      </c>
      <c r="G1125" s="272" t="s">
        <v>9197</v>
      </c>
      <c r="H1125" s="265" t="s">
        <v>10873</v>
      </c>
      <c r="I1125" s="290" t="s">
        <v>10874</v>
      </c>
      <c r="J1125" s="265" t="s">
        <v>10655</v>
      </c>
      <c r="K1125" s="265" t="s">
        <v>10655</v>
      </c>
    </row>
    <row r="1126" spans="1:11" s="75" customFormat="1" ht="14.55" customHeight="1" x14ac:dyDescent="0.25">
      <c r="A1126" s="272" t="s">
        <v>8816</v>
      </c>
      <c r="B1126" s="272" t="s">
        <v>10591</v>
      </c>
      <c r="C1126" s="272" t="s">
        <v>9998</v>
      </c>
      <c r="D1126" s="259" t="s">
        <v>9999</v>
      </c>
      <c r="E1126" s="265" t="s">
        <v>10655</v>
      </c>
      <c r="F1126" s="272" t="s">
        <v>9198</v>
      </c>
      <c r="G1126" s="272" t="s">
        <v>9197</v>
      </c>
      <c r="H1126" s="265" t="s">
        <v>10895</v>
      </c>
      <c r="I1126" s="290" t="s">
        <v>10896</v>
      </c>
      <c r="J1126" s="265" t="s">
        <v>10655</v>
      </c>
      <c r="K1126" s="265" t="s">
        <v>10655</v>
      </c>
    </row>
    <row r="1127" spans="1:11" s="75" customFormat="1" ht="14.55" customHeight="1" x14ac:dyDescent="0.25">
      <c r="A1127" s="272" t="s">
        <v>8816</v>
      </c>
      <c r="B1127" s="272" t="s">
        <v>10591</v>
      </c>
      <c r="C1127" s="272" t="s">
        <v>9998</v>
      </c>
      <c r="D1127" s="259" t="s">
        <v>9999</v>
      </c>
      <c r="E1127" s="265" t="s">
        <v>10655</v>
      </c>
      <c r="F1127" s="272" t="s">
        <v>9198</v>
      </c>
      <c r="G1127" s="272" t="s">
        <v>9197</v>
      </c>
      <c r="H1127" s="265" t="s">
        <v>10873</v>
      </c>
      <c r="I1127" s="290" t="s">
        <v>10874</v>
      </c>
      <c r="J1127" s="265" t="s">
        <v>10655</v>
      </c>
      <c r="K1127" s="265" t="s">
        <v>10655</v>
      </c>
    </row>
    <row r="1128" spans="1:11" s="75" customFormat="1" ht="14.55" customHeight="1" x14ac:dyDescent="0.25">
      <c r="A1128" s="272" t="s">
        <v>8816</v>
      </c>
      <c r="B1128" s="272" t="s">
        <v>10591</v>
      </c>
      <c r="C1128" s="272" t="s">
        <v>10000</v>
      </c>
      <c r="D1128" s="259" t="s">
        <v>10001</v>
      </c>
      <c r="E1128" s="265" t="s">
        <v>10655</v>
      </c>
      <c r="F1128" s="272" t="s">
        <v>9198</v>
      </c>
      <c r="G1128" s="272" t="s">
        <v>9197</v>
      </c>
      <c r="H1128" s="265" t="s">
        <v>10906</v>
      </c>
      <c r="I1128" s="290" t="s">
        <v>10907</v>
      </c>
      <c r="J1128" s="265" t="s">
        <v>10655</v>
      </c>
      <c r="K1128" s="265" t="s">
        <v>10655</v>
      </c>
    </row>
    <row r="1129" spans="1:11" s="75" customFormat="1" ht="14.55" customHeight="1" x14ac:dyDescent="0.25">
      <c r="A1129" s="272" t="s">
        <v>8816</v>
      </c>
      <c r="B1129" s="272" t="s">
        <v>10591</v>
      </c>
      <c r="C1129" s="272" t="s">
        <v>10000</v>
      </c>
      <c r="D1129" s="259" t="s">
        <v>10001</v>
      </c>
      <c r="E1129" s="265" t="s">
        <v>10655</v>
      </c>
      <c r="F1129" s="272" t="s">
        <v>9198</v>
      </c>
      <c r="G1129" s="272" t="s">
        <v>9197</v>
      </c>
      <c r="H1129" s="265" t="s">
        <v>10895</v>
      </c>
      <c r="I1129" s="290" t="s">
        <v>10896</v>
      </c>
      <c r="J1129" s="265" t="s">
        <v>10655</v>
      </c>
      <c r="K1129" s="265" t="s">
        <v>10655</v>
      </c>
    </row>
    <row r="1130" spans="1:11" s="75" customFormat="1" ht="14.55" customHeight="1" x14ac:dyDescent="0.25">
      <c r="A1130" s="272" t="s">
        <v>8816</v>
      </c>
      <c r="B1130" s="272" t="s">
        <v>10591</v>
      </c>
      <c r="C1130" s="272" t="s">
        <v>10000</v>
      </c>
      <c r="D1130" s="259" t="s">
        <v>10001</v>
      </c>
      <c r="E1130" s="265" t="s">
        <v>10655</v>
      </c>
      <c r="F1130" s="272" t="s">
        <v>9198</v>
      </c>
      <c r="G1130" s="272" t="s">
        <v>9197</v>
      </c>
      <c r="H1130" s="265" t="s">
        <v>10908</v>
      </c>
      <c r="I1130" s="290" t="s">
        <v>10909</v>
      </c>
      <c r="J1130" s="265" t="s">
        <v>10655</v>
      </c>
      <c r="K1130" s="265" t="s">
        <v>10655</v>
      </c>
    </row>
    <row r="1131" spans="1:11" s="75" customFormat="1" ht="14.55" customHeight="1" x14ac:dyDescent="0.25">
      <c r="A1131" s="272" t="s">
        <v>8816</v>
      </c>
      <c r="B1131" s="272" t="s">
        <v>10591</v>
      </c>
      <c r="C1131" s="272" t="s">
        <v>10000</v>
      </c>
      <c r="D1131" s="259" t="s">
        <v>10001</v>
      </c>
      <c r="E1131" s="265" t="s">
        <v>10655</v>
      </c>
      <c r="F1131" s="272" t="s">
        <v>9198</v>
      </c>
      <c r="G1131" s="272" t="s">
        <v>9197</v>
      </c>
      <c r="H1131" s="265" t="s">
        <v>10873</v>
      </c>
      <c r="I1131" s="290" t="s">
        <v>10874</v>
      </c>
      <c r="J1131" s="265" t="s">
        <v>10655</v>
      </c>
      <c r="K1131" s="265" t="s">
        <v>10655</v>
      </c>
    </row>
    <row r="1132" spans="1:11" s="75" customFormat="1" ht="14.55" customHeight="1" x14ac:dyDescent="0.25">
      <c r="A1132" s="272" t="s">
        <v>8816</v>
      </c>
      <c r="B1132" s="272" t="s">
        <v>10591</v>
      </c>
      <c r="C1132" s="272" t="s">
        <v>10002</v>
      </c>
      <c r="D1132" s="259" t="s">
        <v>10003</v>
      </c>
      <c r="E1132" s="265" t="s">
        <v>10655</v>
      </c>
      <c r="F1132" s="272" t="s">
        <v>9198</v>
      </c>
      <c r="G1132" s="272" t="s">
        <v>9197</v>
      </c>
      <c r="H1132" s="265" t="s">
        <v>10869</v>
      </c>
      <c r="I1132" s="290" t="s">
        <v>10870</v>
      </c>
      <c r="J1132" s="265" t="s">
        <v>10655</v>
      </c>
      <c r="K1132" s="265" t="s">
        <v>10655</v>
      </c>
    </row>
    <row r="1133" spans="1:11" s="75" customFormat="1" ht="14.55" customHeight="1" x14ac:dyDescent="0.25">
      <c r="A1133" s="272" t="s">
        <v>8816</v>
      </c>
      <c r="B1133" s="272" t="s">
        <v>10591</v>
      </c>
      <c r="C1133" s="272" t="s">
        <v>10002</v>
      </c>
      <c r="D1133" s="259" t="s">
        <v>10003</v>
      </c>
      <c r="E1133" s="265" t="s">
        <v>10655</v>
      </c>
      <c r="F1133" s="272" t="s">
        <v>9198</v>
      </c>
      <c r="G1133" s="272" t="s">
        <v>9197</v>
      </c>
      <c r="H1133" s="265" t="s">
        <v>10895</v>
      </c>
      <c r="I1133" s="290" t="s">
        <v>10896</v>
      </c>
      <c r="J1133" s="265" t="s">
        <v>10655</v>
      </c>
      <c r="K1133" s="265" t="s">
        <v>10655</v>
      </c>
    </row>
    <row r="1134" spans="1:11" s="75" customFormat="1" ht="14.55" customHeight="1" x14ac:dyDescent="0.25">
      <c r="A1134" s="272" t="s">
        <v>8816</v>
      </c>
      <c r="B1134" s="272" t="s">
        <v>10591</v>
      </c>
      <c r="C1134" s="272" t="s">
        <v>10002</v>
      </c>
      <c r="D1134" s="259" t="s">
        <v>10003</v>
      </c>
      <c r="E1134" s="265" t="s">
        <v>10655</v>
      </c>
      <c r="F1134" s="272" t="s">
        <v>9198</v>
      </c>
      <c r="G1134" s="272" t="s">
        <v>9197</v>
      </c>
      <c r="H1134" s="265" t="s">
        <v>10873</v>
      </c>
      <c r="I1134" s="290" t="s">
        <v>10874</v>
      </c>
      <c r="J1134" s="265" t="s">
        <v>10655</v>
      </c>
      <c r="K1134" s="265" t="s">
        <v>10655</v>
      </c>
    </row>
    <row r="1135" spans="1:11" s="75" customFormat="1" ht="14.55" customHeight="1" x14ac:dyDescent="0.25">
      <c r="A1135" s="272" t="s">
        <v>8816</v>
      </c>
      <c r="B1135" s="272" t="s">
        <v>10591</v>
      </c>
      <c r="C1135" s="272" t="s">
        <v>10004</v>
      </c>
      <c r="D1135" s="259" t="s">
        <v>10005</v>
      </c>
      <c r="E1135" s="265" t="s">
        <v>10655</v>
      </c>
      <c r="F1135" s="272" t="s">
        <v>9198</v>
      </c>
      <c r="G1135" s="272" t="s">
        <v>9197</v>
      </c>
      <c r="H1135" s="265" t="s">
        <v>10869</v>
      </c>
      <c r="I1135" s="290" t="s">
        <v>10870</v>
      </c>
      <c r="J1135" s="265" t="s">
        <v>10655</v>
      </c>
      <c r="K1135" s="265" t="s">
        <v>10655</v>
      </c>
    </row>
    <row r="1136" spans="1:11" s="75" customFormat="1" ht="14.55" customHeight="1" x14ac:dyDescent="0.25">
      <c r="A1136" s="272" t="s">
        <v>8816</v>
      </c>
      <c r="B1136" s="272" t="s">
        <v>10591</v>
      </c>
      <c r="C1136" s="272" t="s">
        <v>10004</v>
      </c>
      <c r="D1136" s="259" t="s">
        <v>10005</v>
      </c>
      <c r="E1136" s="265" t="s">
        <v>10655</v>
      </c>
      <c r="F1136" s="272" t="s">
        <v>9198</v>
      </c>
      <c r="G1136" s="272" t="s">
        <v>9197</v>
      </c>
      <c r="H1136" s="265" t="s">
        <v>10897</v>
      </c>
      <c r="I1136" s="290" t="s">
        <v>10898</v>
      </c>
      <c r="J1136" s="265" t="s">
        <v>10655</v>
      </c>
      <c r="K1136" s="265" t="s">
        <v>10655</v>
      </c>
    </row>
    <row r="1137" spans="1:11" s="75" customFormat="1" ht="14.55" customHeight="1" x14ac:dyDescent="0.25">
      <c r="A1137" s="272" t="s">
        <v>8816</v>
      </c>
      <c r="B1137" s="272" t="s">
        <v>10591</v>
      </c>
      <c r="C1137" s="272" t="s">
        <v>10004</v>
      </c>
      <c r="D1137" s="259" t="s">
        <v>10005</v>
      </c>
      <c r="E1137" s="265" t="s">
        <v>10655</v>
      </c>
      <c r="F1137" s="272" t="s">
        <v>9198</v>
      </c>
      <c r="G1137" s="272" t="s">
        <v>9197</v>
      </c>
      <c r="H1137" s="265" t="s">
        <v>10873</v>
      </c>
      <c r="I1137" s="290" t="s">
        <v>10874</v>
      </c>
      <c r="J1137" s="265" t="s">
        <v>10655</v>
      </c>
      <c r="K1137" s="265" t="s">
        <v>10655</v>
      </c>
    </row>
    <row r="1138" spans="1:11" s="75" customFormat="1" ht="14.55" customHeight="1" x14ac:dyDescent="0.25">
      <c r="A1138" s="272" t="s">
        <v>8816</v>
      </c>
      <c r="B1138" s="272" t="s">
        <v>10591</v>
      </c>
      <c r="C1138" s="272" t="s">
        <v>10006</v>
      </c>
      <c r="D1138" s="259" t="s">
        <v>10007</v>
      </c>
      <c r="E1138" s="265" t="s">
        <v>10655</v>
      </c>
      <c r="F1138" s="272" t="s">
        <v>9198</v>
      </c>
      <c r="G1138" s="272" t="s">
        <v>9197</v>
      </c>
      <c r="H1138" s="265" t="s">
        <v>10921</v>
      </c>
      <c r="I1138" s="290" t="s">
        <v>10922</v>
      </c>
      <c r="J1138" s="265" t="s">
        <v>10655</v>
      </c>
      <c r="K1138" s="265" t="s">
        <v>10655</v>
      </c>
    </row>
    <row r="1139" spans="1:11" s="75" customFormat="1" ht="14.55" customHeight="1" x14ac:dyDescent="0.25">
      <c r="A1139" s="272" t="s">
        <v>8816</v>
      </c>
      <c r="B1139" s="272" t="s">
        <v>10591</v>
      </c>
      <c r="C1139" s="272" t="s">
        <v>10006</v>
      </c>
      <c r="D1139" s="259" t="s">
        <v>10007</v>
      </c>
      <c r="E1139" s="265" t="s">
        <v>10655</v>
      </c>
      <c r="F1139" s="272" t="s">
        <v>9198</v>
      </c>
      <c r="G1139" s="272" t="s">
        <v>9197</v>
      </c>
      <c r="H1139" s="265" t="s">
        <v>10897</v>
      </c>
      <c r="I1139" s="290" t="s">
        <v>10898</v>
      </c>
      <c r="J1139" s="265" t="s">
        <v>10655</v>
      </c>
      <c r="K1139" s="265" t="s">
        <v>10655</v>
      </c>
    </row>
    <row r="1140" spans="1:11" s="75" customFormat="1" ht="14.55" customHeight="1" x14ac:dyDescent="0.25">
      <c r="A1140" s="272" t="s">
        <v>8816</v>
      </c>
      <c r="B1140" s="272" t="s">
        <v>10591</v>
      </c>
      <c r="C1140" s="272" t="s">
        <v>10006</v>
      </c>
      <c r="D1140" s="259" t="s">
        <v>10007</v>
      </c>
      <c r="E1140" s="265" t="s">
        <v>10655</v>
      </c>
      <c r="F1140" s="272" t="s">
        <v>9198</v>
      </c>
      <c r="G1140" s="272" t="s">
        <v>9197</v>
      </c>
      <c r="H1140" s="265" t="s">
        <v>10873</v>
      </c>
      <c r="I1140" s="290" t="s">
        <v>10874</v>
      </c>
      <c r="J1140" s="265" t="s">
        <v>10655</v>
      </c>
      <c r="K1140" s="265" t="s">
        <v>10655</v>
      </c>
    </row>
    <row r="1141" spans="1:11" s="75" customFormat="1" ht="14.55" customHeight="1" x14ac:dyDescent="0.25">
      <c r="A1141" s="272" t="s">
        <v>8816</v>
      </c>
      <c r="B1141" s="272" t="s">
        <v>10591</v>
      </c>
      <c r="C1141" s="272" t="s">
        <v>10008</v>
      </c>
      <c r="D1141" s="259" t="s">
        <v>10009</v>
      </c>
      <c r="E1141" s="265" t="s">
        <v>10655</v>
      </c>
      <c r="F1141" s="272" t="s">
        <v>9198</v>
      </c>
      <c r="G1141" s="272" t="s">
        <v>9197</v>
      </c>
      <c r="H1141" s="265" t="s">
        <v>10921</v>
      </c>
      <c r="I1141" s="290" t="s">
        <v>10922</v>
      </c>
      <c r="J1141" s="265" t="s">
        <v>10655</v>
      </c>
      <c r="K1141" s="265" t="s">
        <v>10655</v>
      </c>
    </row>
    <row r="1142" spans="1:11" s="75" customFormat="1" ht="14.55" customHeight="1" x14ac:dyDescent="0.25">
      <c r="A1142" s="272" t="s">
        <v>8816</v>
      </c>
      <c r="B1142" s="272" t="s">
        <v>10591</v>
      </c>
      <c r="C1142" s="272" t="s">
        <v>10008</v>
      </c>
      <c r="D1142" s="259" t="s">
        <v>10009</v>
      </c>
      <c r="E1142" s="265" t="s">
        <v>10655</v>
      </c>
      <c r="F1142" s="272" t="s">
        <v>9198</v>
      </c>
      <c r="G1142" s="272" t="s">
        <v>9197</v>
      </c>
      <c r="H1142" s="265" t="s">
        <v>10897</v>
      </c>
      <c r="I1142" s="290" t="s">
        <v>10898</v>
      </c>
      <c r="J1142" s="265" t="s">
        <v>10655</v>
      </c>
      <c r="K1142" s="265" t="s">
        <v>10655</v>
      </c>
    </row>
    <row r="1143" spans="1:11" s="75" customFormat="1" ht="14.55" customHeight="1" x14ac:dyDescent="0.25">
      <c r="A1143" s="272" t="s">
        <v>8816</v>
      </c>
      <c r="B1143" s="272" t="s">
        <v>10591</v>
      </c>
      <c r="C1143" s="272" t="s">
        <v>10008</v>
      </c>
      <c r="D1143" s="259" t="s">
        <v>10009</v>
      </c>
      <c r="E1143" s="265" t="s">
        <v>10655</v>
      </c>
      <c r="F1143" s="272" t="s">
        <v>9198</v>
      </c>
      <c r="G1143" s="272" t="s">
        <v>9197</v>
      </c>
      <c r="H1143" s="265" t="s">
        <v>10873</v>
      </c>
      <c r="I1143" s="290" t="s">
        <v>10874</v>
      </c>
      <c r="J1143" s="265" t="s">
        <v>10655</v>
      </c>
      <c r="K1143" s="265" t="s">
        <v>10655</v>
      </c>
    </row>
    <row r="1144" spans="1:11" s="75" customFormat="1" ht="14.55" customHeight="1" x14ac:dyDescent="0.25">
      <c r="A1144" s="272" t="s">
        <v>8816</v>
      </c>
      <c r="B1144" s="272" t="s">
        <v>10591</v>
      </c>
      <c r="C1144" s="272" t="s">
        <v>10010</v>
      </c>
      <c r="D1144" s="259" t="s">
        <v>10011</v>
      </c>
      <c r="E1144" s="265" t="s">
        <v>10655</v>
      </c>
      <c r="F1144" s="272" t="s">
        <v>9198</v>
      </c>
      <c r="G1144" s="272" t="s">
        <v>9197</v>
      </c>
      <c r="H1144" s="265" t="s">
        <v>10869</v>
      </c>
      <c r="I1144" s="290" t="s">
        <v>10870</v>
      </c>
      <c r="J1144" s="265" t="s">
        <v>10655</v>
      </c>
      <c r="K1144" s="265" t="s">
        <v>10655</v>
      </c>
    </row>
    <row r="1145" spans="1:11" s="75" customFormat="1" ht="14.55" customHeight="1" x14ac:dyDescent="0.25">
      <c r="A1145" s="272" t="s">
        <v>8816</v>
      </c>
      <c r="B1145" s="272" t="s">
        <v>10591</v>
      </c>
      <c r="C1145" s="272" t="s">
        <v>10010</v>
      </c>
      <c r="D1145" s="259" t="s">
        <v>10011</v>
      </c>
      <c r="E1145" s="265" t="s">
        <v>10655</v>
      </c>
      <c r="F1145" s="272" t="s">
        <v>9198</v>
      </c>
      <c r="G1145" s="272" t="s">
        <v>9197</v>
      </c>
      <c r="H1145" s="265" t="s">
        <v>10871</v>
      </c>
      <c r="I1145" s="290" t="s">
        <v>10872</v>
      </c>
      <c r="J1145" s="265" t="s">
        <v>10655</v>
      </c>
      <c r="K1145" s="265" t="s">
        <v>10655</v>
      </c>
    </row>
    <row r="1146" spans="1:11" s="75" customFormat="1" ht="14.55" customHeight="1" x14ac:dyDescent="0.25">
      <c r="A1146" s="272" t="s">
        <v>8816</v>
      </c>
      <c r="B1146" s="272" t="s">
        <v>10591</v>
      </c>
      <c r="C1146" s="272" t="s">
        <v>10010</v>
      </c>
      <c r="D1146" s="259" t="s">
        <v>10011</v>
      </c>
      <c r="E1146" s="265" t="s">
        <v>10655</v>
      </c>
      <c r="F1146" s="272" t="s">
        <v>9198</v>
      </c>
      <c r="G1146" s="272" t="s">
        <v>9197</v>
      </c>
      <c r="H1146" s="265" t="s">
        <v>10897</v>
      </c>
      <c r="I1146" s="290" t="s">
        <v>10898</v>
      </c>
      <c r="J1146" s="265" t="s">
        <v>10655</v>
      </c>
      <c r="K1146" s="265" t="s">
        <v>10655</v>
      </c>
    </row>
    <row r="1147" spans="1:11" s="75" customFormat="1" ht="14.55" customHeight="1" x14ac:dyDescent="0.25">
      <c r="A1147" s="272" t="s">
        <v>8816</v>
      </c>
      <c r="B1147" s="272" t="s">
        <v>10591</v>
      </c>
      <c r="C1147" s="272" t="s">
        <v>10010</v>
      </c>
      <c r="D1147" s="259" t="s">
        <v>10011</v>
      </c>
      <c r="E1147" s="265" t="s">
        <v>10655</v>
      </c>
      <c r="F1147" s="272" t="s">
        <v>9198</v>
      </c>
      <c r="G1147" s="272" t="s">
        <v>9197</v>
      </c>
      <c r="H1147" s="265" t="s">
        <v>10873</v>
      </c>
      <c r="I1147" s="290" t="s">
        <v>10874</v>
      </c>
      <c r="J1147" s="265" t="s">
        <v>10655</v>
      </c>
      <c r="K1147" s="265" t="s">
        <v>10655</v>
      </c>
    </row>
    <row r="1148" spans="1:11" s="75" customFormat="1" ht="14.55" customHeight="1" x14ac:dyDescent="0.25">
      <c r="A1148" s="272" t="s">
        <v>8816</v>
      </c>
      <c r="B1148" s="272" t="s">
        <v>10591</v>
      </c>
      <c r="C1148" s="272" t="s">
        <v>10012</v>
      </c>
      <c r="D1148" s="259" t="s">
        <v>10013</v>
      </c>
      <c r="E1148" s="265" t="s">
        <v>10655</v>
      </c>
      <c r="F1148" s="272" t="s">
        <v>9198</v>
      </c>
      <c r="G1148" s="272" t="s">
        <v>9197</v>
      </c>
      <c r="H1148" s="265" t="s">
        <v>10921</v>
      </c>
      <c r="I1148" s="290" t="s">
        <v>10922</v>
      </c>
      <c r="J1148" s="265" t="s">
        <v>10655</v>
      </c>
      <c r="K1148" s="265" t="s">
        <v>10655</v>
      </c>
    </row>
    <row r="1149" spans="1:11" s="75" customFormat="1" ht="14.55" customHeight="1" x14ac:dyDescent="0.25">
      <c r="A1149" s="272" t="s">
        <v>8816</v>
      </c>
      <c r="B1149" s="272" t="s">
        <v>10591</v>
      </c>
      <c r="C1149" s="272" t="s">
        <v>10012</v>
      </c>
      <c r="D1149" s="259" t="s">
        <v>10013</v>
      </c>
      <c r="E1149" s="265" t="s">
        <v>10655</v>
      </c>
      <c r="F1149" s="272" t="s">
        <v>9198</v>
      </c>
      <c r="G1149" s="272" t="s">
        <v>9197</v>
      </c>
      <c r="H1149" s="265" t="s">
        <v>10869</v>
      </c>
      <c r="I1149" s="290" t="s">
        <v>10870</v>
      </c>
      <c r="J1149" s="265" t="s">
        <v>10655</v>
      </c>
      <c r="K1149" s="265" t="s">
        <v>10655</v>
      </c>
    </row>
    <row r="1150" spans="1:11" s="75" customFormat="1" ht="14.55" customHeight="1" x14ac:dyDescent="0.25">
      <c r="A1150" s="272" t="s">
        <v>8816</v>
      </c>
      <c r="B1150" s="272" t="s">
        <v>10591</v>
      </c>
      <c r="C1150" s="272" t="s">
        <v>10012</v>
      </c>
      <c r="D1150" s="259" t="s">
        <v>10013</v>
      </c>
      <c r="E1150" s="265" t="s">
        <v>10655</v>
      </c>
      <c r="F1150" s="272" t="s">
        <v>9198</v>
      </c>
      <c r="G1150" s="272" t="s">
        <v>9197</v>
      </c>
      <c r="H1150" s="265" t="s">
        <v>10897</v>
      </c>
      <c r="I1150" s="290" t="s">
        <v>10898</v>
      </c>
      <c r="J1150" s="265" t="s">
        <v>10655</v>
      </c>
      <c r="K1150" s="265" t="s">
        <v>10655</v>
      </c>
    </row>
    <row r="1151" spans="1:11" s="75" customFormat="1" ht="14.55" customHeight="1" x14ac:dyDescent="0.25">
      <c r="A1151" s="272" t="s">
        <v>8816</v>
      </c>
      <c r="B1151" s="272" t="s">
        <v>10591</v>
      </c>
      <c r="C1151" s="272" t="s">
        <v>10012</v>
      </c>
      <c r="D1151" s="259" t="s">
        <v>10013</v>
      </c>
      <c r="E1151" s="265" t="s">
        <v>10655</v>
      </c>
      <c r="F1151" s="272" t="s">
        <v>9198</v>
      </c>
      <c r="G1151" s="272" t="s">
        <v>9197</v>
      </c>
      <c r="H1151" s="265" t="s">
        <v>10873</v>
      </c>
      <c r="I1151" s="290" t="s">
        <v>10874</v>
      </c>
      <c r="J1151" s="265" t="s">
        <v>10655</v>
      </c>
      <c r="K1151" s="265" t="s">
        <v>10655</v>
      </c>
    </row>
    <row r="1152" spans="1:11" s="75" customFormat="1" ht="14.55" customHeight="1" x14ac:dyDescent="0.25">
      <c r="A1152" s="272" t="s">
        <v>8816</v>
      </c>
      <c r="B1152" s="272" t="s">
        <v>10591</v>
      </c>
      <c r="C1152" s="272" t="s">
        <v>10014</v>
      </c>
      <c r="D1152" s="259" t="s">
        <v>10015</v>
      </c>
      <c r="E1152" s="265" t="s">
        <v>10655</v>
      </c>
      <c r="F1152" s="272" t="s">
        <v>9198</v>
      </c>
      <c r="G1152" s="272" t="s">
        <v>9197</v>
      </c>
      <c r="H1152" s="265" t="s">
        <v>10921</v>
      </c>
      <c r="I1152" s="290" t="s">
        <v>10922</v>
      </c>
      <c r="J1152" s="265" t="s">
        <v>10655</v>
      </c>
      <c r="K1152" s="265" t="s">
        <v>10655</v>
      </c>
    </row>
    <row r="1153" spans="1:11" s="75" customFormat="1" ht="14.55" customHeight="1" x14ac:dyDescent="0.25">
      <c r="A1153" s="272" t="s">
        <v>8816</v>
      </c>
      <c r="B1153" s="272" t="s">
        <v>10591</v>
      </c>
      <c r="C1153" s="272" t="s">
        <v>10014</v>
      </c>
      <c r="D1153" s="259" t="s">
        <v>10015</v>
      </c>
      <c r="E1153" s="265" t="s">
        <v>10655</v>
      </c>
      <c r="F1153" s="272" t="s">
        <v>9198</v>
      </c>
      <c r="G1153" s="272" t="s">
        <v>9197</v>
      </c>
      <c r="H1153" s="265" t="s">
        <v>10885</v>
      </c>
      <c r="I1153" s="290" t="s">
        <v>10886</v>
      </c>
      <c r="J1153" s="265" t="s">
        <v>10655</v>
      </c>
      <c r="K1153" s="265" t="s">
        <v>10655</v>
      </c>
    </row>
    <row r="1154" spans="1:11" s="75" customFormat="1" ht="14.55" customHeight="1" x14ac:dyDescent="0.25">
      <c r="A1154" s="272" t="s">
        <v>8816</v>
      </c>
      <c r="B1154" s="272" t="s">
        <v>10591</v>
      </c>
      <c r="C1154" s="272" t="s">
        <v>10014</v>
      </c>
      <c r="D1154" s="259" t="s">
        <v>10015</v>
      </c>
      <c r="E1154" s="265" t="s">
        <v>10655</v>
      </c>
      <c r="F1154" s="272" t="s">
        <v>9198</v>
      </c>
      <c r="G1154" s="272" t="s">
        <v>9197</v>
      </c>
      <c r="H1154" s="265" t="s">
        <v>10887</v>
      </c>
      <c r="I1154" s="290" t="s">
        <v>10888</v>
      </c>
      <c r="J1154" s="265" t="s">
        <v>10655</v>
      </c>
      <c r="K1154" s="265" t="s">
        <v>10655</v>
      </c>
    </row>
    <row r="1155" spans="1:11" s="75" customFormat="1" ht="14.55" customHeight="1" x14ac:dyDescent="0.25">
      <c r="A1155" s="272" t="s">
        <v>8816</v>
      </c>
      <c r="B1155" s="272" t="s">
        <v>10591</v>
      </c>
      <c r="C1155" s="272" t="s">
        <v>10014</v>
      </c>
      <c r="D1155" s="259" t="s">
        <v>10015</v>
      </c>
      <c r="E1155" s="265" t="s">
        <v>10655</v>
      </c>
      <c r="F1155" s="272" t="s">
        <v>9198</v>
      </c>
      <c r="G1155" s="272" t="s">
        <v>9197</v>
      </c>
      <c r="H1155" s="265" t="s">
        <v>10869</v>
      </c>
      <c r="I1155" s="290" t="s">
        <v>10870</v>
      </c>
      <c r="J1155" s="265" t="s">
        <v>10655</v>
      </c>
      <c r="K1155" s="265" t="s">
        <v>10655</v>
      </c>
    </row>
    <row r="1156" spans="1:11" s="75" customFormat="1" ht="14.55" customHeight="1" x14ac:dyDescent="0.25">
      <c r="A1156" s="272" t="s">
        <v>8816</v>
      </c>
      <c r="B1156" s="272" t="s">
        <v>10591</v>
      </c>
      <c r="C1156" s="272" t="s">
        <v>10014</v>
      </c>
      <c r="D1156" s="259" t="s">
        <v>10015</v>
      </c>
      <c r="E1156" s="265" t="s">
        <v>10655</v>
      </c>
      <c r="F1156" s="272" t="s">
        <v>9198</v>
      </c>
      <c r="G1156" s="272" t="s">
        <v>9197</v>
      </c>
      <c r="H1156" s="265" t="s">
        <v>10889</v>
      </c>
      <c r="I1156" s="290" t="s">
        <v>10890</v>
      </c>
      <c r="J1156" s="265" t="s">
        <v>10655</v>
      </c>
      <c r="K1156" s="265" t="s">
        <v>10655</v>
      </c>
    </row>
    <row r="1157" spans="1:11" s="75" customFormat="1" ht="14.55" customHeight="1" x14ac:dyDescent="0.25">
      <c r="A1157" s="272" t="s">
        <v>8816</v>
      </c>
      <c r="B1157" s="272" t="s">
        <v>10591</v>
      </c>
      <c r="C1157" s="272" t="s">
        <v>10014</v>
      </c>
      <c r="D1157" s="259" t="s">
        <v>10015</v>
      </c>
      <c r="E1157" s="265" t="s">
        <v>10655</v>
      </c>
      <c r="F1157" s="272" t="s">
        <v>9198</v>
      </c>
      <c r="G1157" s="272" t="s">
        <v>9197</v>
      </c>
      <c r="H1157" s="265" t="s">
        <v>10897</v>
      </c>
      <c r="I1157" s="290" t="s">
        <v>10898</v>
      </c>
      <c r="J1157" s="265" t="s">
        <v>10655</v>
      </c>
      <c r="K1157" s="265" t="s">
        <v>10655</v>
      </c>
    </row>
    <row r="1158" spans="1:11" s="75" customFormat="1" ht="14.55" customHeight="1" x14ac:dyDescent="0.25">
      <c r="A1158" s="272" t="s">
        <v>8816</v>
      </c>
      <c r="B1158" s="272" t="s">
        <v>10591</v>
      </c>
      <c r="C1158" s="272" t="s">
        <v>10014</v>
      </c>
      <c r="D1158" s="259" t="s">
        <v>10015</v>
      </c>
      <c r="E1158" s="265" t="s">
        <v>10655</v>
      </c>
      <c r="F1158" s="272" t="s">
        <v>9198</v>
      </c>
      <c r="G1158" s="272" t="s">
        <v>9197</v>
      </c>
      <c r="H1158" s="265" t="s">
        <v>10873</v>
      </c>
      <c r="I1158" s="290" t="s">
        <v>10874</v>
      </c>
      <c r="J1158" s="265" t="s">
        <v>10655</v>
      </c>
      <c r="K1158" s="265" t="s">
        <v>10655</v>
      </c>
    </row>
    <row r="1159" spans="1:11" s="75" customFormat="1" ht="14.55" customHeight="1" x14ac:dyDescent="0.25">
      <c r="A1159" s="272" t="s">
        <v>8816</v>
      </c>
      <c r="B1159" s="272" t="s">
        <v>10591</v>
      </c>
      <c r="C1159" s="272" t="s">
        <v>10016</v>
      </c>
      <c r="D1159" s="259" t="s">
        <v>10017</v>
      </c>
      <c r="E1159" s="265" t="s">
        <v>10655</v>
      </c>
      <c r="F1159" s="272" t="s">
        <v>9198</v>
      </c>
      <c r="G1159" s="272" t="s">
        <v>9197</v>
      </c>
      <c r="H1159" s="265" t="s">
        <v>10921</v>
      </c>
      <c r="I1159" s="290" t="s">
        <v>10922</v>
      </c>
      <c r="J1159" s="265" t="s">
        <v>10655</v>
      </c>
      <c r="K1159" s="265" t="s">
        <v>10655</v>
      </c>
    </row>
    <row r="1160" spans="1:11" s="75" customFormat="1" ht="14.55" customHeight="1" x14ac:dyDescent="0.25">
      <c r="A1160" s="272" t="s">
        <v>8816</v>
      </c>
      <c r="B1160" s="272" t="s">
        <v>10591</v>
      </c>
      <c r="C1160" s="272" t="s">
        <v>10016</v>
      </c>
      <c r="D1160" s="259" t="s">
        <v>10017</v>
      </c>
      <c r="E1160" s="265" t="s">
        <v>10655</v>
      </c>
      <c r="F1160" s="272" t="s">
        <v>9198</v>
      </c>
      <c r="G1160" s="272" t="s">
        <v>9197</v>
      </c>
      <c r="H1160" s="265" t="s">
        <v>10897</v>
      </c>
      <c r="I1160" s="290" t="s">
        <v>10898</v>
      </c>
      <c r="J1160" s="265" t="s">
        <v>10655</v>
      </c>
      <c r="K1160" s="265" t="s">
        <v>10655</v>
      </c>
    </row>
    <row r="1161" spans="1:11" s="75" customFormat="1" ht="14.55" customHeight="1" x14ac:dyDescent="0.25">
      <c r="A1161" s="272" t="s">
        <v>8816</v>
      </c>
      <c r="B1161" s="272" t="s">
        <v>10591</v>
      </c>
      <c r="C1161" s="272" t="s">
        <v>10016</v>
      </c>
      <c r="D1161" s="259" t="s">
        <v>10017</v>
      </c>
      <c r="E1161" s="265" t="s">
        <v>10655</v>
      </c>
      <c r="F1161" s="272" t="s">
        <v>9198</v>
      </c>
      <c r="G1161" s="272" t="s">
        <v>9197</v>
      </c>
      <c r="H1161" s="265" t="s">
        <v>10873</v>
      </c>
      <c r="I1161" s="290" t="s">
        <v>10874</v>
      </c>
      <c r="J1161" s="265" t="s">
        <v>10655</v>
      </c>
      <c r="K1161" s="265" t="s">
        <v>10655</v>
      </c>
    </row>
    <row r="1162" spans="1:11" s="75" customFormat="1" ht="14.55" customHeight="1" x14ac:dyDescent="0.25">
      <c r="A1162" s="272" t="s">
        <v>8816</v>
      </c>
      <c r="B1162" s="272" t="s">
        <v>10591</v>
      </c>
      <c r="C1162" s="272" t="s">
        <v>10018</v>
      </c>
      <c r="D1162" s="259" t="s">
        <v>10019</v>
      </c>
      <c r="E1162" s="265" t="s">
        <v>10655</v>
      </c>
      <c r="F1162" s="272" t="s">
        <v>9198</v>
      </c>
      <c r="G1162" s="272" t="s">
        <v>9197</v>
      </c>
      <c r="H1162" s="265" t="s">
        <v>10921</v>
      </c>
      <c r="I1162" s="290" t="s">
        <v>10922</v>
      </c>
      <c r="J1162" s="265" t="s">
        <v>10655</v>
      </c>
      <c r="K1162" s="265" t="s">
        <v>10655</v>
      </c>
    </row>
    <row r="1163" spans="1:11" s="75" customFormat="1" ht="14.55" customHeight="1" x14ac:dyDescent="0.25">
      <c r="A1163" s="272" t="s">
        <v>8816</v>
      </c>
      <c r="B1163" s="272" t="s">
        <v>10591</v>
      </c>
      <c r="C1163" s="272" t="s">
        <v>10018</v>
      </c>
      <c r="D1163" s="259" t="s">
        <v>10019</v>
      </c>
      <c r="E1163" s="265" t="s">
        <v>10655</v>
      </c>
      <c r="F1163" s="272" t="s">
        <v>9198</v>
      </c>
      <c r="G1163" s="272" t="s">
        <v>9197</v>
      </c>
      <c r="H1163" s="265" t="s">
        <v>10885</v>
      </c>
      <c r="I1163" s="290" t="s">
        <v>10886</v>
      </c>
      <c r="J1163" s="265" t="s">
        <v>10655</v>
      </c>
      <c r="K1163" s="265" t="s">
        <v>10655</v>
      </c>
    </row>
    <row r="1164" spans="1:11" s="75" customFormat="1" ht="14.55" customHeight="1" x14ac:dyDescent="0.25">
      <c r="A1164" s="272" t="s">
        <v>8816</v>
      </c>
      <c r="B1164" s="272" t="s">
        <v>10591</v>
      </c>
      <c r="C1164" s="272" t="s">
        <v>10018</v>
      </c>
      <c r="D1164" s="259" t="s">
        <v>10019</v>
      </c>
      <c r="E1164" s="265" t="s">
        <v>10655</v>
      </c>
      <c r="F1164" s="272" t="s">
        <v>9198</v>
      </c>
      <c r="G1164" s="272" t="s">
        <v>9197</v>
      </c>
      <c r="H1164" s="265" t="s">
        <v>10887</v>
      </c>
      <c r="I1164" s="290" t="s">
        <v>10888</v>
      </c>
      <c r="J1164" s="265" t="s">
        <v>10655</v>
      </c>
      <c r="K1164" s="265" t="s">
        <v>10655</v>
      </c>
    </row>
    <row r="1165" spans="1:11" s="75" customFormat="1" ht="14.55" customHeight="1" x14ac:dyDescent="0.25">
      <c r="A1165" s="272" t="s">
        <v>8816</v>
      </c>
      <c r="B1165" s="272" t="s">
        <v>10591</v>
      </c>
      <c r="C1165" s="272" t="s">
        <v>10018</v>
      </c>
      <c r="D1165" s="259" t="s">
        <v>10019</v>
      </c>
      <c r="E1165" s="265" t="s">
        <v>10655</v>
      </c>
      <c r="F1165" s="272" t="s">
        <v>9198</v>
      </c>
      <c r="G1165" s="272" t="s">
        <v>9197</v>
      </c>
      <c r="H1165" s="265" t="s">
        <v>10869</v>
      </c>
      <c r="I1165" s="290" t="s">
        <v>10870</v>
      </c>
      <c r="J1165" s="265" t="s">
        <v>10655</v>
      </c>
      <c r="K1165" s="265" t="s">
        <v>10655</v>
      </c>
    </row>
    <row r="1166" spans="1:11" s="75" customFormat="1" ht="14.55" customHeight="1" x14ac:dyDescent="0.25">
      <c r="A1166" s="272" t="s">
        <v>8816</v>
      </c>
      <c r="B1166" s="272" t="s">
        <v>10591</v>
      </c>
      <c r="C1166" s="272" t="s">
        <v>10018</v>
      </c>
      <c r="D1166" s="259" t="s">
        <v>10019</v>
      </c>
      <c r="E1166" s="265" t="s">
        <v>10655</v>
      </c>
      <c r="F1166" s="272" t="s">
        <v>9198</v>
      </c>
      <c r="G1166" s="272" t="s">
        <v>9197</v>
      </c>
      <c r="H1166" s="265" t="s">
        <v>10889</v>
      </c>
      <c r="I1166" s="290" t="s">
        <v>10890</v>
      </c>
      <c r="J1166" s="265" t="s">
        <v>10655</v>
      </c>
      <c r="K1166" s="265" t="s">
        <v>10655</v>
      </c>
    </row>
    <row r="1167" spans="1:11" s="75" customFormat="1" ht="14.55" customHeight="1" x14ac:dyDescent="0.25">
      <c r="A1167" s="272" t="s">
        <v>8816</v>
      </c>
      <c r="B1167" s="272" t="s">
        <v>10591</v>
      </c>
      <c r="C1167" s="272" t="s">
        <v>10018</v>
      </c>
      <c r="D1167" s="259" t="s">
        <v>10019</v>
      </c>
      <c r="E1167" s="265" t="s">
        <v>10655</v>
      </c>
      <c r="F1167" s="272" t="s">
        <v>9198</v>
      </c>
      <c r="G1167" s="272" t="s">
        <v>9197</v>
      </c>
      <c r="H1167" s="265" t="s">
        <v>10897</v>
      </c>
      <c r="I1167" s="290" t="s">
        <v>10898</v>
      </c>
      <c r="J1167" s="265" t="s">
        <v>10655</v>
      </c>
      <c r="K1167" s="265" t="s">
        <v>10655</v>
      </c>
    </row>
    <row r="1168" spans="1:11" s="75" customFormat="1" ht="14.55" customHeight="1" x14ac:dyDescent="0.25">
      <c r="A1168" s="272" t="s">
        <v>8816</v>
      </c>
      <c r="B1168" s="272" t="s">
        <v>10591</v>
      </c>
      <c r="C1168" s="272" t="s">
        <v>10018</v>
      </c>
      <c r="D1168" s="259" t="s">
        <v>10019</v>
      </c>
      <c r="E1168" s="265" t="s">
        <v>10655</v>
      </c>
      <c r="F1168" s="272" t="s">
        <v>9198</v>
      </c>
      <c r="G1168" s="272" t="s">
        <v>9197</v>
      </c>
      <c r="H1168" s="265" t="s">
        <v>10873</v>
      </c>
      <c r="I1168" s="290" t="s">
        <v>10874</v>
      </c>
      <c r="J1168" s="265" t="s">
        <v>10655</v>
      </c>
      <c r="K1168" s="265" t="s">
        <v>10655</v>
      </c>
    </row>
    <row r="1169" spans="1:11" s="75" customFormat="1" ht="14.55" customHeight="1" x14ac:dyDescent="0.25">
      <c r="A1169" s="272" t="s">
        <v>8816</v>
      </c>
      <c r="B1169" s="272" t="s">
        <v>10591</v>
      </c>
      <c r="C1169" s="272" t="s">
        <v>10020</v>
      </c>
      <c r="D1169" s="259" t="s">
        <v>10021</v>
      </c>
      <c r="E1169" s="265" t="s">
        <v>10655</v>
      </c>
      <c r="F1169" s="272" t="s">
        <v>9198</v>
      </c>
      <c r="G1169" s="272" t="s">
        <v>9197</v>
      </c>
      <c r="H1169" s="265" t="s">
        <v>10921</v>
      </c>
      <c r="I1169" s="290" t="s">
        <v>10922</v>
      </c>
      <c r="J1169" s="265" t="s">
        <v>10655</v>
      </c>
      <c r="K1169" s="265" t="s">
        <v>10655</v>
      </c>
    </row>
    <row r="1170" spans="1:11" s="75" customFormat="1" ht="14.55" customHeight="1" x14ac:dyDescent="0.25">
      <c r="A1170" s="272" t="s">
        <v>8816</v>
      </c>
      <c r="B1170" s="272" t="s">
        <v>10591</v>
      </c>
      <c r="C1170" s="272" t="s">
        <v>10020</v>
      </c>
      <c r="D1170" s="259" t="s">
        <v>10021</v>
      </c>
      <c r="E1170" s="265" t="s">
        <v>10655</v>
      </c>
      <c r="F1170" s="272" t="s">
        <v>9198</v>
      </c>
      <c r="G1170" s="272" t="s">
        <v>9197</v>
      </c>
      <c r="H1170" s="265" t="s">
        <v>10887</v>
      </c>
      <c r="I1170" s="290" t="s">
        <v>10888</v>
      </c>
      <c r="J1170" s="265" t="s">
        <v>10655</v>
      </c>
      <c r="K1170" s="265" t="s">
        <v>10655</v>
      </c>
    </row>
    <row r="1171" spans="1:11" s="75" customFormat="1" ht="14.55" customHeight="1" x14ac:dyDescent="0.25">
      <c r="A1171" s="272" t="s">
        <v>8816</v>
      </c>
      <c r="B1171" s="272" t="s">
        <v>10591</v>
      </c>
      <c r="C1171" s="272" t="s">
        <v>10020</v>
      </c>
      <c r="D1171" s="259" t="s">
        <v>10021</v>
      </c>
      <c r="E1171" s="265" t="s">
        <v>10655</v>
      </c>
      <c r="F1171" s="272" t="s">
        <v>9198</v>
      </c>
      <c r="G1171" s="272" t="s">
        <v>9197</v>
      </c>
      <c r="H1171" s="265" t="s">
        <v>10869</v>
      </c>
      <c r="I1171" s="290" t="s">
        <v>10870</v>
      </c>
      <c r="J1171" s="265" t="s">
        <v>10655</v>
      </c>
      <c r="K1171" s="265" t="s">
        <v>10655</v>
      </c>
    </row>
    <row r="1172" spans="1:11" s="75" customFormat="1" ht="14.55" customHeight="1" x14ac:dyDescent="0.25">
      <c r="A1172" s="272" t="s">
        <v>8816</v>
      </c>
      <c r="B1172" s="272" t="s">
        <v>10591</v>
      </c>
      <c r="C1172" s="272" t="s">
        <v>10020</v>
      </c>
      <c r="D1172" s="259" t="s">
        <v>10021</v>
      </c>
      <c r="E1172" s="265" t="s">
        <v>10655</v>
      </c>
      <c r="F1172" s="272" t="s">
        <v>9198</v>
      </c>
      <c r="G1172" s="272" t="s">
        <v>9197</v>
      </c>
      <c r="H1172" s="265" t="s">
        <v>10889</v>
      </c>
      <c r="I1172" s="290" t="s">
        <v>10890</v>
      </c>
      <c r="J1172" s="265" t="s">
        <v>10655</v>
      </c>
      <c r="K1172" s="265" t="s">
        <v>10655</v>
      </c>
    </row>
    <row r="1173" spans="1:11" s="75" customFormat="1" ht="14.55" customHeight="1" x14ac:dyDescent="0.25">
      <c r="A1173" s="272" t="s">
        <v>8816</v>
      </c>
      <c r="B1173" s="272" t="s">
        <v>10591</v>
      </c>
      <c r="C1173" s="272" t="s">
        <v>10020</v>
      </c>
      <c r="D1173" s="259" t="s">
        <v>10021</v>
      </c>
      <c r="E1173" s="265" t="s">
        <v>10655</v>
      </c>
      <c r="F1173" s="272" t="s">
        <v>9198</v>
      </c>
      <c r="G1173" s="272" t="s">
        <v>9197</v>
      </c>
      <c r="H1173" s="265" t="s">
        <v>10897</v>
      </c>
      <c r="I1173" s="290" t="s">
        <v>10898</v>
      </c>
      <c r="J1173" s="265" t="s">
        <v>10655</v>
      </c>
      <c r="K1173" s="265" t="s">
        <v>10655</v>
      </c>
    </row>
    <row r="1174" spans="1:11" s="75" customFormat="1" ht="14.55" customHeight="1" x14ac:dyDescent="0.25">
      <c r="A1174" s="272" t="s">
        <v>8816</v>
      </c>
      <c r="B1174" s="272" t="s">
        <v>10591</v>
      </c>
      <c r="C1174" s="272" t="s">
        <v>10020</v>
      </c>
      <c r="D1174" s="259" t="s">
        <v>10021</v>
      </c>
      <c r="E1174" s="265" t="s">
        <v>10655</v>
      </c>
      <c r="F1174" s="272" t="s">
        <v>9198</v>
      </c>
      <c r="G1174" s="272" t="s">
        <v>9197</v>
      </c>
      <c r="H1174" s="265" t="s">
        <v>10873</v>
      </c>
      <c r="I1174" s="290" t="s">
        <v>10874</v>
      </c>
      <c r="J1174" s="265" t="s">
        <v>10655</v>
      </c>
      <c r="K1174" s="265" t="s">
        <v>10655</v>
      </c>
    </row>
    <row r="1175" spans="1:11" s="75" customFormat="1" ht="14.55" customHeight="1" x14ac:dyDescent="0.25">
      <c r="A1175" s="272" t="s">
        <v>8816</v>
      </c>
      <c r="B1175" s="272" t="s">
        <v>10591</v>
      </c>
      <c r="C1175" s="272" t="s">
        <v>10022</v>
      </c>
      <c r="D1175" s="259" t="s">
        <v>10023</v>
      </c>
      <c r="E1175" s="265" t="s">
        <v>10655</v>
      </c>
      <c r="F1175" s="272" t="s">
        <v>9198</v>
      </c>
      <c r="G1175" s="272" t="s">
        <v>9197</v>
      </c>
      <c r="H1175" s="265" t="s">
        <v>10921</v>
      </c>
      <c r="I1175" s="290" t="s">
        <v>10922</v>
      </c>
      <c r="J1175" s="265" t="s">
        <v>10655</v>
      </c>
      <c r="K1175" s="265" t="s">
        <v>10655</v>
      </c>
    </row>
    <row r="1176" spans="1:11" s="75" customFormat="1" ht="14.55" customHeight="1" x14ac:dyDescent="0.25">
      <c r="A1176" s="272" t="s">
        <v>8816</v>
      </c>
      <c r="B1176" s="272" t="s">
        <v>10591</v>
      </c>
      <c r="C1176" s="272" t="s">
        <v>10022</v>
      </c>
      <c r="D1176" s="259" t="s">
        <v>10023</v>
      </c>
      <c r="E1176" s="265" t="s">
        <v>10655</v>
      </c>
      <c r="F1176" s="272" t="s">
        <v>9198</v>
      </c>
      <c r="G1176" s="272" t="s">
        <v>9197</v>
      </c>
      <c r="H1176" s="265" t="s">
        <v>10869</v>
      </c>
      <c r="I1176" s="290" t="s">
        <v>10870</v>
      </c>
      <c r="J1176" s="265" t="s">
        <v>10655</v>
      </c>
      <c r="K1176" s="265" t="s">
        <v>10655</v>
      </c>
    </row>
    <row r="1177" spans="1:11" s="75" customFormat="1" ht="14.55" customHeight="1" x14ac:dyDescent="0.25">
      <c r="A1177" s="272" t="s">
        <v>8816</v>
      </c>
      <c r="B1177" s="272" t="s">
        <v>10591</v>
      </c>
      <c r="C1177" s="272" t="s">
        <v>10022</v>
      </c>
      <c r="D1177" s="259" t="s">
        <v>10023</v>
      </c>
      <c r="E1177" s="265" t="s">
        <v>10655</v>
      </c>
      <c r="F1177" s="272" t="s">
        <v>9198</v>
      </c>
      <c r="G1177" s="272" t="s">
        <v>9197</v>
      </c>
      <c r="H1177" s="265" t="s">
        <v>10897</v>
      </c>
      <c r="I1177" s="290" t="s">
        <v>10898</v>
      </c>
      <c r="J1177" s="265" t="s">
        <v>10655</v>
      </c>
      <c r="K1177" s="265" t="s">
        <v>10655</v>
      </c>
    </row>
    <row r="1178" spans="1:11" s="75" customFormat="1" ht="14.55" customHeight="1" x14ac:dyDescent="0.25">
      <c r="A1178" s="272" t="s">
        <v>8816</v>
      </c>
      <c r="B1178" s="272" t="s">
        <v>10591</v>
      </c>
      <c r="C1178" s="272" t="s">
        <v>10022</v>
      </c>
      <c r="D1178" s="259" t="s">
        <v>10023</v>
      </c>
      <c r="E1178" s="265" t="s">
        <v>10655</v>
      </c>
      <c r="F1178" s="272" t="s">
        <v>9198</v>
      </c>
      <c r="G1178" s="272" t="s">
        <v>9197</v>
      </c>
      <c r="H1178" s="265" t="s">
        <v>10873</v>
      </c>
      <c r="I1178" s="290" t="s">
        <v>10874</v>
      </c>
      <c r="J1178" s="265" t="s">
        <v>10655</v>
      </c>
      <c r="K1178" s="265" t="s">
        <v>10655</v>
      </c>
    </row>
    <row r="1179" spans="1:11" s="75" customFormat="1" ht="14.55" customHeight="1" x14ac:dyDescent="0.25">
      <c r="A1179" s="272" t="s">
        <v>8816</v>
      </c>
      <c r="B1179" s="272" t="s">
        <v>10591</v>
      </c>
      <c r="C1179" s="272" t="s">
        <v>10024</v>
      </c>
      <c r="D1179" s="259" t="s">
        <v>10025</v>
      </c>
      <c r="E1179" s="265" t="s">
        <v>10655</v>
      </c>
      <c r="F1179" s="272" t="s">
        <v>9198</v>
      </c>
      <c r="G1179" s="272" t="s">
        <v>9197</v>
      </c>
      <c r="H1179" s="265" t="s">
        <v>10906</v>
      </c>
      <c r="I1179" s="290" t="s">
        <v>10907</v>
      </c>
      <c r="J1179" s="265" t="s">
        <v>10655</v>
      </c>
      <c r="K1179" s="265" t="s">
        <v>10655</v>
      </c>
    </row>
    <row r="1180" spans="1:11" s="75" customFormat="1" ht="14.55" customHeight="1" x14ac:dyDescent="0.25">
      <c r="A1180" s="272" t="s">
        <v>8816</v>
      </c>
      <c r="B1180" s="272" t="s">
        <v>10591</v>
      </c>
      <c r="C1180" s="272" t="s">
        <v>10024</v>
      </c>
      <c r="D1180" s="259" t="s">
        <v>10025</v>
      </c>
      <c r="E1180" s="265" t="s">
        <v>10655</v>
      </c>
      <c r="F1180" s="272" t="s">
        <v>9198</v>
      </c>
      <c r="G1180" s="272" t="s">
        <v>9197</v>
      </c>
      <c r="H1180" s="265" t="s">
        <v>10921</v>
      </c>
      <c r="I1180" s="290" t="s">
        <v>10922</v>
      </c>
      <c r="J1180" s="265" t="s">
        <v>10655</v>
      </c>
      <c r="K1180" s="265" t="s">
        <v>10655</v>
      </c>
    </row>
    <row r="1181" spans="1:11" s="75" customFormat="1" ht="14.55" customHeight="1" x14ac:dyDescent="0.25">
      <c r="A1181" s="272" t="s">
        <v>8816</v>
      </c>
      <c r="B1181" s="272" t="s">
        <v>10591</v>
      </c>
      <c r="C1181" s="272" t="s">
        <v>10024</v>
      </c>
      <c r="D1181" s="259" t="s">
        <v>10025</v>
      </c>
      <c r="E1181" s="265" t="s">
        <v>10655</v>
      </c>
      <c r="F1181" s="272" t="s">
        <v>9198</v>
      </c>
      <c r="G1181" s="272" t="s">
        <v>9197</v>
      </c>
      <c r="H1181" s="265" t="s">
        <v>10869</v>
      </c>
      <c r="I1181" s="290" t="s">
        <v>10870</v>
      </c>
      <c r="J1181" s="265" t="s">
        <v>10655</v>
      </c>
      <c r="K1181" s="265" t="s">
        <v>10655</v>
      </c>
    </row>
    <row r="1182" spans="1:11" s="75" customFormat="1" ht="14.55" customHeight="1" x14ac:dyDescent="0.25">
      <c r="A1182" s="272" t="s">
        <v>8816</v>
      </c>
      <c r="B1182" s="272" t="s">
        <v>10591</v>
      </c>
      <c r="C1182" s="272" t="s">
        <v>10024</v>
      </c>
      <c r="D1182" s="259" t="s">
        <v>10025</v>
      </c>
      <c r="E1182" s="265" t="s">
        <v>10655</v>
      </c>
      <c r="F1182" s="272" t="s">
        <v>9198</v>
      </c>
      <c r="G1182" s="272" t="s">
        <v>9197</v>
      </c>
      <c r="H1182" s="265" t="s">
        <v>10908</v>
      </c>
      <c r="I1182" s="290" t="s">
        <v>10909</v>
      </c>
      <c r="J1182" s="265" t="s">
        <v>10655</v>
      </c>
      <c r="K1182" s="265" t="s">
        <v>10655</v>
      </c>
    </row>
    <row r="1183" spans="1:11" s="75" customFormat="1" ht="14.55" customHeight="1" x14ac:dyDescent="0.25">
      <c r="A1183" s="272" t="s">
        <v>8816</v>
      </c>
      <c r="B1183" s="272" t="s">
        <v>10591</v>
      </c>
      <c r="C1183" s="272" t="s">
        <v>10024</v>
      </c>
      <c r="D1183" s="259" t="s">
        <v>10025</v>
      </c>
      <c r="E1183" s="265" t="s">
        <v>10655</v>
      </c>
      <c r="F1183" s="272" t="s">
        <v>9198</v>
      </c>
      <c r="G1183" s="272" t="s">
        <v>9197</v>
      </c>
      <c r="H1183" s="265" t="s">
        <v>10897</v>
      </c>
      <c r="I1183" s="290" t="s">
        <v>10898</v>
      </c>
      <c r="J1183" s="265" t="s">
        <v>10655</v>
      </c>
      <c r="K1183" s="265" t="s">
        <v>10655</v>
      </c>
    </row>
    <row r="1184" spans="1:11" s="75" customFormat="1" ht="14.55" customHeight="1" x14ac:dyDescent="0.25">
      <c r="A1184" s="272" t="s">
        <v>8816</v>
      </c>
      <c r="B1184" s="272" t="s">
        <v>10591</v>
      </c>
      <c r="C1184" s="272" t="s">
        <v>10024</v>
      </c>
      <c r="D1184" s="259" t="s">
        <v>10025</v>
      </c>
      <c r="E1184" s="265" t="s">
        <v>10655</v>
      </c>
      <c r="F1184" s="272" t="s">
        <v>9198</v>
      </c>
      <c r="G1184" s="272" t="s">
        <v>9197</v>
      </c>
      <c r="H1184" s="265" t="s">
        <v>10873</v>
      </c>
      <c r="I1184" s="290" t="s">
        <v>10874</v>
      </c>
      <c r="J1184" s="265" t="s">
        <v>10655</v>
      </c>
      <c r="K1184" s="265" t="s">
        <v>10655</v>
      </c>
    </row>
    <row r="1185" spans="1:11" s="75" customFormat="1" ht="14.55" customHeight="1" x14ac:dyDescent="0.25">
      <c r="A1185" s="272" t="s">
        <v>8816</v>
      </c>
      <c r="B1185" s="272" t="s">
        <v>10591</v>
      </c>
      <c r="C1185" s="272" t="s">
        <v>10026</v>
      </c>
      <c r="D1185" s="259" t="s">
        <v>10027</v>
      </c>
      <c r="E1185" s="265" t="s">
        <v>10655</v>
      </c>
      <c r="F1185" s="272" t="s">
        <v>9198</v>
      </c>
      <c r="G1185" s="272" t="s">
        <v>9197</v>
      </c>
      <c r="H1185" s="265" t="s">
        <v>10921</v>
      </c>
      <c r="I1185" s="290" t="s">
        <v>10922</v>
      </c>
      <c r="J1185" s="265" t="s">
        <v>10655</v>
      </c>
      <c r="K1185" s="265" t="s">
        <v>10655</v>
      </c>
    </row>
    <row r="1186" spans="1:11" s="75" customFormat="1" ht="14.55" customHeight="1" x14ac:dyDescent="0.25">
      <c r="A1186" s="272" t="s">
        <v>8816</v>
      </c>
      <c r="B1186" s="272" t="s">
        <v>10591</v>
      </c>
      <c r="C1186" s="272" t="s">
        <v>10026</v>
      </c>
      <c r="D1186" s="259" t="s">
        <v>10027</v>
      </c>
      <c r="E1186" s="265" t="s">
        <v>10655</v>
      </c>
      <c r="F1186" s="272" t="s">
        <v>9198</v>
      </c>
      <c r="G1186" s="272" t="s">
        <v>9197</v>
      </c>
      <c r="H1186" s="265" t="s">
        <v>10897</v>
      </c>
      <c r="I1186" s="290" t="s">
        <v>10898</v>
      </c>
      <c r="J1186" s="265" t="s">
        <v>10655</v>
      </c>
      <c r="K1186" s="265" t="s">
        <v>10655</v>
      </c>
    </row>
    <row r="1187" spans="1:11" s="75" customFormat="1" ht="14.55" customHeight="1" x14ac:dyDescent="0.25">
      <c r="A1187" s="272" t="s">
        <v>8816</v>
      </c>
      <c r="B1187" s="272" t="s">
        <v>10591</v>
      </c>
      <c r="C1187" s="272" t="s">
        <v>10026</v>
      </c>
      <c r="D1187" s="259" t="s">
        <v>10027</v>
      </c>
      <c r="E1187" s="265" t="s">
        <v>10655</v>
      </c>
      <c r="F1187" s="272" t="s">
        <v>9198</v>
      </c>
      <c r="G1187" s="272" t="s">
        <v>9197</v>
      </c>
      <c r="H1187" s="265" t="s">
        <v>10873</v>
      </c>
      <c r="I1187" s="290" t="s">
        <v>10874</v>
      </c>
      <c r="J1187" s="265" t="s">
        <v>10655</v>
      </c>
      <c r="K1187" s="265" t="s">
        <v>10655</v>
      </c>
    </row>
    <row r="1188" spans="1:11" s="75" customFormat="1" ht="14.55" customHeight="1" x14ac:dyDescent="0.25">
      <c r="A1188" s="272" t="s">
        <v>8816</v>
      </c>
      <c r="B1188" s="272" t="s">
        <v>10591</v>
      </c>
      <c r="C1188" s="272" t="s">
        <v>10028</v>
      </c>
      <c r="D1188" s="259" t="s">
        <v>10029</v>
      </c>
      <c r="E1188" s="265" t="s">
        <v>10655</v>
      </c>
      <c r="F1188" s="272" t="s">
        <v>9198</v>
      </c>
      <c r="G1188" s="272" t="s">
        <v>9197</v>
      </c>
      <c r="H1188" s="265" t="s">
        <v>10921</v>
      </c>
      <c r="I1188" s="290" t="s">
        <v>10922</v>
      </c>
      <c r="J1188" s="265" t="s">
        <v>10655</v>
      </c>
      <c r="K1188" s="265" t="s">
        <v>10655</v>
      </c>
    </row>
    <row r="1189" spans="1:11" s="75" customFormat="1" ht="14.55" customHeight="1" x14ac:dyDescent="0.25">
      <c r="A1189" s="272" t="s">
        <v>8816</v>
      </c>
      <c r="B1189" s="272" t="s">
        <v>10591</v>
      </c>
      <c r="C1189" s="272" t="s">
        <v>10028</v>
      </c>
      <c r="D1189" s="259" t="s">
        <v>10029</v>
      </c>
      <c r="E1189" s="265" t="s">
        <v>10655</v>
      </c>
      <c r="F1189" s="272" t="s">
        <v>9198</v>
      </c>
      <c r="G1189" s="272" t="s">
        <v>9197</v>
      </c>
      <c r="H1189" s="265" t="s">
        <v>10869</v>
      </c>
      <c r="I1189" s="290" t="s">
        <v>10870</v>
      </c>
      <c r="J1189" s="265" t="s">
        <v>10655</v>
      </c>
      <c r="K1189" s="265" t="s">
        <v>10655</v>
      </c>
    </row>
    <row r="1190" spans="1:11" s="75" customFormat="1" ht="14.55" customHeight="1" x14ac:dyDescent="0.25">
      <c r="A1190" s="272" t="s">
        <v>8816</v>
      </c>
      <c r="B1190" s="272" t="s">
        <v>10591</v>
      </c>
      <c r="C1190" s="272" t="s">
        <v>10028</v>
      </c>
      <c r="D1190" s="259" t="s">
        <v>10029</v>
      </c>
      <c r="E1190" s="265" t="s">
        <v>10655</v>
      </c>
      <c r="F1190" s="272" t="s">
        <v>9198</v>
      </c>
      <c r="G1190" s="272" t="s">
        <v>9197</v>
      </c>
      <c r="H1190" s="265" t="s">
        <v>10897</v>
      </c>
      <c r="I1190" s="290" t="s">
        <v>10898</v>
      </c>
      <c r="J1190" s="265" t="s">
        <v>10655</v>
      </c>
      <c r="K1190" s="265" t="s">
        <v>10655</v>
      </c>
    </row>
    <row r="1191" spans="1:11" s="75" customFormat="1" ht="14.55" customHeight="1" x14ac:dyDescent="0.25">
      <c r="A1191" s="272" t="s">
        <v>8816</v>
      </c>
      <c r="B1191" s="272" t="s">
        <v>10591</v>
      </c>
      <c r="C1191" s="272" t="s">
        <v>10028</v>
      </c>
      <c r="D1191" s="259" t="s">
        <v>10029</v>
      </c>
      <c r="E1191" s="265" t="s">
        <v>10655</v>
      </c>
      <c r="F1191" s="272" t="s">
        <v>9198</v>
      </c>
      <c r="G1191" s="272" t="s">
        <v>9197</v>
      </c>
      <c r="H1191" s="265" t="s">
        <v>10873</v>
      </c>
      <c r="I1191" s="290" t="s">
        <v>10874</v>
      </c>
      <c r="J1191" s="265" t="s">
        <v>10655</v>
      </c>
      <c r="K1191" s="265" t="s">
        <v>10655</v>
      </c>
    </row>
    <row r="1192" spans="1:11" s="75" customFormat="1" ht="14.55" customHeight="1" x14ac:dyDescent="0.25">
      <c r="A1192" s="272" t="s">
        <v>8816</v>
      </c>
      <c r="B1192" s="272" t="s">
        <v>10591</v>
      </c>
      <c r="C1192" s="272" t="s">
        <v>10030</v>
      </c>
      <c r="D1192" s="259" t="s">
        <v>10031</v>
      </c>
      <c r="E1192" s="265" t="s">
        <v>10655</v>
      </c>
      <c r="F1192" s="272" t="s">
        <v>9198</v>
      </c>
      <c r="G1192" s="272" t="s">
        <v>9197</v>
      </c>
      <c r="H1192" s="265" t="s">
        <v>10897</v>
      </c>
      <c r="I1192" s="290" t="s">
        <v>10898</v>
      </c>
      <c r="J1192" s="265" t="s">
        <v>10655</v>
      </c>
      <c r="K1192" s="265" t="s">
        <v>10655</v>
      </c>
    </row>
    <row r="1193" spans="1:11" s="75" customFormat="1" ht="14.55" customHeight="1" x14ac:dyDescent="0.25">
      <c r="A1193" s="272" t="s">
        <v>8816</v>
      </c>
      <c r="B1193" s="272" t="s">
        <v>10591</v>
      </c>
      <c r="C1193" s="272" t="s">
        <v>10030</v>
      </c>
      <c r="D1193" s="259" t="s">
        <v>10031</v>
      </c>
      <c r="E1193" s="265" t="s">
        <v>10655</v>
      </c>
      <c r="F1193" s="272" t="s">
        <v>9198</v>
      </c>
      <c r="G1193" s="272" t="s">
        <v>9197</v>
      </c>
      <c r="H1193" s="265" t="s">
        <v>10873</v>
      </c>
      <c r="I1193" s="290" t="s">
        <v>10874</v>
      </c>
      <c r="J1193" s="265" t="s">
        <v>10655</v>
      </c>
      <c r="K1193" s="265" t="s">
        <v>10655</v>
      </c>
    </row>
    <row r="1194" spans="1:11" s="75" customFormat="1" ht="14.55" customHeight="1" x14ac:dyDescent="0.25">
      <c r="A1194" s="272" t="s">
        <v>8816</v>
      </c>
      <c r="B1194" s="272" t="s">
        <v>10591</v>
      </c>
      <c r="C1194" s="272" t="s">
        <v>10032</v>
      </c>
      <c r="D1194" s="259" t="s">
        <v>10033</v>
      </c>
      <c r="E1194" s="265" t="s">
        <v>10655</v>
      </c>
      <c r="F1194" s="272" t="s">
        <v>9198</v>
      </c>
      <c r="G1194" s="272" t="s">
        <v>9197</v>
      </c>
      <c r="H1194" s="265" t="s">
        <v>10897</v>
      </c>
      <c r="I1194" s="290" t="s">
        <v>10898</v>
      </c>
      <c r="J1194" s="265" t="s">
        <v>10655</v>
      </c>
      <c r="K1194" s="265" t="s">
        <v>10655</v>
      </c>
    </row>
    <row r="1195" spans="1:11" s="75" customFormat="1" ht="14.55" customHeight="1" x14ac:dyDescent="0.25">
      <c r="A1195" s="272" t="s">
        <v>8816</v>
      </c>
      <c r="B1195" s="272" t="s">
        <v>10591</v>
      </c>
      <c r="C1195" s="272" t="s">
        <v>10032</v>
      </c>
      <c r="D1195" s="259" t="s">
        <v>10033</v>
      </c>
      <c r="E1195" s="265" t="s">
        <v>10655</v>
      </c>
      <c r="F1195" s="272" t="s">
        <v>9198</v>
      </c>
      <c r="G1195" s="272" t="s">
        <v>9197</v>
      </c>
      <c r="H1195" s="265" t="s">
        <v>10873</v>
      </c>
      <c r="I1195" s="290" t="s">
        <v>10874</v>
      </c>
      <c r="J1195" s="265" t="s">
        <v>10655</v>
      </c>
      <c r="K1195" s="265" t="s">
        <v>10655</v>
      </c>
    </row>
    <row r="1196" spans="1:11" s="75" customFormat="1" ht="14.55" customHeight="1" x14ac:dyDescent="0.25">
      <c r="A1196" s="272" t="s">
        <v>8816</v>
      </c>
      <c r="B1196" s="272" t="s">
        <v>10591</v>
      </c>
      <c r="C1196" s="272" t="s">
        <v>10034</v>
      </c>
      <c r="D1196" s="259" t="s">
        <v>10035</v>
      </c>
      <c r="E1196" s="265" t="s">
        <v>10655</v>
      </c>
      <c r="F1196" s="272" t="s">
        <v>9198</v>
      </c>
      <c r="G1196" s="272" t="s">
        <v>9197</v>
      </c>
      <c r="H1196" s="265" t="s">
        <v>10897</v>
      </c>
      <c r="I1196" s="290" t="s">
        <v>10898</v>
      </c>
      <c r="J1196" s="265" t="s">
        <v>10655</v>
      </c>
      <c r="K1196" s="265" t="s">
        <v>10655</v>
      </c>
    </row>
    <row r="1197" spans="1:11" s="75" customFormat="1" ht="14.55" customHeight="1" x14ac:dyDescent="0.25">
      <c r="A1197" s="272" t="s">
        <v>8816</v>
      </c>
      <c r="B1197" s="272" t="s">
        <v>10591</v>
      </c>
      <c r="C1197" s="272" t="s">
        <v>10034</v>
      </c>
      <c r="D1197" s="259" t="s">
        <v>10035</v>
      </c>
      <c r="E1197" s="265" t="s">
        <v>10655</v>
      </c>
      <c r="F1197" s="272" t="s">
        <v>9198</v>
      </c>
      <c r="G1197" s="272" t="s">
        <v>9197</v>
      </c>
      <c r="H1197" s="265" t="s">
        <v>10873</v>
      </c>
      <c r="I1197" s="290" t="s">
        <v>10874</v>
      </c>
      <c r="J1197" s="265" t="s">
        <v>10655</v>
      </c>
      <c r="K1197" s="265" t="s">
        <v>10655</v>
      </c>
    </row>
    <row r="1198" spans="1:11" s="75" customFormat="1" ht="14.55" customHeight="1" x14ac:dyDescent="0.25">
      <c r="A1198" s="272" t="s">
        <v>8816</v>
      </c>
      <c r="B1198" s="272" t="s">
        <v>10591</v>
      </c>
      <c r="C1198" s="272" t="s">
        <v>10036</v>
      </c>
      <c r="D1198" s="259" t="s">
        <v>10037</v>
      </c>
      <c r="E1198" s="265" t="s">
        <v>10655</v>
      </c>
      <c r="F1198" s="272" t="s">
        <v>9198</v>
      </c>
      <c r="G1198" s="272" t="s">
        <v>9197</v>
      </c>
      <c r="H1198" s="265" t="s">
        <v>10897</v>
      </c>
      <c r="I1198" s="290" t="s">
        <v>10898</v>
      </c>
      <c r="J1198" s="265" t="s">
        <v>10655</v>
      </c>
      <c r="K1198" s="265" t="s">
        <v>10655</v>
      </c>
    </row>
    <row r="1199" spans="1:11" s="75" customFormat="1" ht="14.55" customHeight="1" x14ac:dyDescent="0.25">
      <c r="A1199" s="272" t="s">
        <v>8816</v>
      </c>
      <c r="B1199" s="272" t="s">
        <v>10591</v>
      </c>
      <c r="C1199" s="272" t="s">
        <v>10036</v>
      </c>
      <c r="D1199" s="259" t="s">
        <v>10037</v>
      </c>
      <c r="E1199" s="265" t="s">
        <v>10655</v>
      </c>
      <c r="F1199" s="272" t="s">
        <v>9198</v>
      </c>
      <c r="G1199" s="272" t="s">
        <v>9197</v>
      </c>
      <c r="H1199" s="265" t="s">
        <v>10873</v>
      </c>
      <c r="I1199" s="290" t="s">
        <v>10874</v>
      </c>
      <c r="J1199" s="265" t="s">
        <v>10655</v>
      </c>
      <c r="K1199" s="265" t="s">
        <v>10655</v>
      </c>
    </row>
    <row r="1200" spans="1:11" s="75" customFormat="1" ht="14.55" customHeight="1" x14ac:dyDescent="0.25">
      <c r="A1200" s="272" t="s">
        <v>8816</v>
      </c>
      <c r="B1200" s="272" t="s">
        <v>10591</v>
      </c>
      <c r="C1200" s="272" t="s">
        <v>10038</v>
      </c>
      <c r="D1200" s="259" t="s">
        <v>10039</v>
      </c>
      <c r="E1200" s="265" t="s">
        <v>10655</v>
      </c>
      <c r="F1200" s="272" t="s">
        <v>9198</v>
      </c>
      <c r="G1200" s="272" t="s">
        <v>9197</v>
      </c>
      <c r="H1200" s="265" t="s">
        <v>10897</v>
      </c>
      <c r="I1200" s="290" t="s">
        <v>10898</v>
      </c>
      <c r="J1200" s="265" t="s">
        <v>10655</v>
      </c>
      <c r="K1200" s="265" t="s">
        <v>10655</v>
      </c>
    </row>
    <row r="1201" spans="1:11" s="75" customFormat="1" ht="14.55" customHeight="1" x14ac:dyDescent="0.25">
      <c r="A1201" s="272" t="s">
        <v>8816</v>
      </c>
      <c r="B1201" s="272" t="s">
        <v>10591</v>
      </c>
      <c r="C1201" s="272" t="s">
        <v>10038</v>
      </c>
      <c r="D1201" s="259" t="s">
        <v>10039</v>
      </c>
      <c r="E1201" s="265" t="s">
        <v>10655</v>
      </c>
      <c r="F1201" s="272" t="s">
        <v>9198</v>
      </c>
      <c r="G1201" s="272" t="s">
        <v>9197</v>
      </c>
      <c r="H1201" s="265" t="s">
        <v>10873</v>
      </c>
      <c r="I1201" s="290" t="s">
        <v>10874</v>
      </c>
      <c r="J1201" s="265" t="s">
        <v>10655</v>
      </c>
      <c r="K1201" s="265" t="s">
        <v>10655</v>
      </c>
    </row>
    <row r="1202" spans="1:11" s="75" customFormat="1" ht="14.55" customHeight="1" x14ac:dyDescent="0.25">
      <c r="A1202" s="272" t="s">
        <v>8816</v>
      </c>
      <c r="B1202" s="272" t="s">
        <v>10591</v>
      </c>
      <c r="C1202" s="272" t="s">
        <v>10040</v>
      </c>
      <c r="D1202" s="259" t="s">
        <v>10041</v>
      </c>
      <c r="E1202" s="265" t="s">
        <v>10655</v>
      </c>
      <c r="F1202" s="272" t="s">
        <v>9198</v>
      </c>
      <c r="G1202" s="272" t="s">
        <v>9197</v>
      </c>
      <c r="H1202" s="265" t="s">
        <v>10897</v>
      </c>
      <c r="I1202" s="290" t="s">
        <v>10898</v>
      </c>
      <c r="J1202" s="265" t="s">
        <v>10655</v>
      </c>
      <c r="K1202" s="265" t="s">
        <v>10655</v>
      </c>
    </row>
    <row r="1203" spans="1:11" s="75" customFormat="1" ht="14.55" customHeight="1" x14ac:dyDescent="0.25">
      <c r="A1203" s="272" t="s">
        <v>8816</v>
      </c>
      <c r="B1203" s="272" t="s">
        <v>10591</v>
      </c>
      <c r="C1203" s="272" t="s">
        <v>10040</v>
      </c>
      <c r="D1203" s="259" t="s">
        <v>10041</v>
      </c>
      <c r="E1203" s="265" t="s">
        <v>10655</v>
      </c>
      <c r="F1203" s="272" t="s">
        <v>9198</v>
      </c>
      <c r="G1203" s="272" t="s">
        <v>9197</v>
      </c>
      <c r="H1203" s="265" t="s">
        <v>10873</v>
      </c>
      <c r="I1203" s="290" t="s">
        <v>10874</v>
      </c>
      <c r="J1203" s="265" t="s">
        <v>10655</v>
      </c>
      <c r="K1203" s="265" t="s">
        <v>10655</v>
      </c>
    </row>
    <row r="1204" spans="1:11" s="75" customFormat="1" ht="14.55" customHeight="1" x14ac:dyDescent="0.25">
      <c r="A1204" s="272" t="s">
        <v>8816</v>
      </c>
      <c r="B1204" s="272" t="s">
        <v>10591</v>
      </c>
      <c r="C1204" s="272" t="s">
        <v>10042</v>
      </c>
      <c r="D1204" s="259" t="s">
        <v>10043</v>
      </c>
      <c r="E1204" s="265" t="s">
        <v>10655</v>
      </c>
      <c r="F1204" s="272" t="s">
        <v>9198</v>
      </c>
      <c r="G1204" s="272" t="s">
        <v>9197</v>
      </c>
      <c r="H1204" s="265" t="s">
        <v>10897</v>
      </c>
      <c r="I1204" s="290" t="s">
        <v>10898</v>
      </c>
      <c r="J1204" s="265" t="s">
        <v>10655</v>
      </c>
      <c r="K1204" s="265" t="s">
        <v>10655</v>
      </c>
    </row>
    <row r="1205" spans="1:11" s="75" customFormat="1" ht="14.55" customHeight="1" x14ac:dyDescent="0.25">
      <c r="A1205" s="272" t="s">
        <v>8816</v>
      </c>
      <c r="B1205" s="272" t="s">
        <v>10591</v>
      </c>
      <c r="C1205" s="272" t="s">
        <v>10042</v>
      </c>
      <c r="D1205" s="259" t="s">
        <v>10043</v>
      </c>
      <c r="E1205" s="265" t="s">
        <v>10655</v>
      </c>
      <c r="F1205" s="272" t="s">
        <v>9198</v>
      </c>
      <c r="G1205" s="272" t="s">
        <v>9197</v>
      </c>
      <c r="H1205" s="265" t="s">
        <v>10873</v>
      </c>
      <c r="I1205" s="290" t="s">
        <v>10874</v>
      </c>
      <c r="J1205" s="265" t="s">
        <v>10655</v>
      </c>
      <c r="K1205" s="265" t="s">
        <v>10655</v>
      </c>
    </row>
    <row r="1206" spans="1:11" s="75" customFormat="1" ht="14.55" customHeight="1" x14ac:dyDescent="0.25">
      <c r="A1206" s="272" t="s">
        <v>8816</v>
      </c>
      <c r="B1206" s="272" t="s">
        <v>10591</v>
      </c>
      <c r="C1206" s="272" t="s">
        <v>10044</v>
      </c>
      <c r="D1206" s="259" t="s">
        <v>10045</v>
      </c>
      <c r="E1206" s="265" t="s">
        <v>10655</v>
      </c>
      <c r="F1206" s="272" t="s">
        <v>9198</v>
      </c>
      <c r="G1206" s="272" t="s">
        <v>9198</v>
      </c>
      <c r="H1206" s="265" t="s">
        <v>10897</v>
      </c>
      <c r="I1206" s="290" t="s">
        <v>10898</v>
      </c>
      <c r="J1206" s="265" t="s">
        <v>10655</v>
      </c>
      <c r="K1206" s="265" t="s">
        <v>10655</v>
      </c>
    </row>
    <row r="1207" spans="1:11" s="75" customFormat="1" ht="14.55" customHeight="1" x14ac:dyDescent="0.25">
      <c r="A1207" s="272" t="s">
        <v>8816</v>
      </c>
      <c r="B1207" s="272" t="s">
        <v>10591</v>
      </c>
      <c r="C1207" s="272" t="s">
        <v>10044</v>
      </c>
      <c r="D1207" s="259" t="s">
        <v>10045</v>
      </c>
      <c r="E1207" s="265" t="s">
        <v>10655</v>
      </c>
      <c r="F1207" s="272" t="s">
        <v>9198</v>
      </c>
      <c r="G1207" s="272" t="s">
        <v>9198</v>
      </c>
      <c r="H1207" s="265" t="s">
        <v>10873</v>
      </c>
      <c r="I1207" s="290" t="s">
        <v>10874</v>
      </c>
      <c r="J1207" s="265" t="s">
        <v>10655</v>
      </c>
      <c r="K1207" s="265" t="s">
        <v>10655</v>
      </c>
    </row>
    <row r="1208" spans="1:11" s="75" customFormat="1" ht="14.55" customHeight="1" x14ac:dyDescent="0.25">
      <c r="A1208" s="272" t="s">
        <v>8816</v>
      </c>
      <c r="B1208" s="272" t="s">
        <v>10591</v>
      </c>
      <c r="C1208" s="272" t="s">
        <v>10046</v>
      </c>
      <c r="D1208" s="259" t="s">
        <v>10047</v>
      </c>
      <c r="E1208" s="265" t="s">
        <v>10655</v>
      </c>
      <c r="F1208" s="272" t="s">
        <v>9198</v>
      </c>
      <c r="G1208" s="272" t="s">
        <v>9197</v>
      </c>
      <c r="H1208" s="265" t="s">
        <v>10887</v>
      </c>
      <c r="I1208" s="290" t="s">
        <v>10888</v>
      </c>
      <c r="J1208" s="265" t="s">
        <v>10655</v>
      </c>
      <c r="K1208" s="265" t="s">
        <v>10655</v>
      </c>
    </row>
    <row r="1209" spans="1:11" s="75" customFormat="1" ht="14.55" customHeight="1" x14ac:dyDescent="0.25">
      <c r="A1209" s="272" t="s">
        <v>8816</v>
      </c>
      <c r="B1209" s="272" t="s">
        <v>10591</v>
      </c>
      <c r="C1209" s="272" t="s">
        <v>10046</v>
      </c>
      <c r="D1209" s="259" t="s">
        <v>10047</v>
      </c>
      <c r="E1209" s="265" t="s">
        <v>10655</v>
      </c>
      <c r="F1209" s="272" t="s">
        <v>9198</v>
      </c>
      <c r="G1209" s="272" t="s">
        <v>9197</v>
      </c>
      <c r="H1209" s="265" t="s">
        <v>10895</v>
      </c>
      <c r="I1209" s="290" t="s">
        <v>10896</v>
      </c>
      <c r="J1209" s="265" t="s">
        <v>10655</v>
      </c>
      <c r="K1209" s="265" t="s">
        <v>10655</v>
      </c>
    </row>
    <row r="1210" spans="1:11" s="75" customFormat="1" ht="14.55" customHeight="1" x14ac:dyDescent="0.25">
      <c r="A1210" s="272" t="s">
        <v>8816</v>
      </c>
      <c r="B1210" s="272" t="s">
        <v>10591</v>
      </c>
      <c r="C1210" s="272" t="s">
        <v>10046</v>
      </c>
      <c r="D1210" s="259" t="s">
        <v>10047</v>
      </c>
      <c r="E1210" s="265" t="s">
        <v>10655</v>
      </c>
      <c r="F1210" s="272" t="s">
        <v>9198</v>
      </c>
      <c r="G1210" s="272" t="s">
        <v>9197</v>
      </c>
      <c r="H1210" s="265" t="s">
        <v>10897</v>
      </c>
      <c r="I1210" s="290" t="s">
        <v>10898</v>
      </c>
      <c r="J1210" s="265" t="s">
        <v>10655</v>
      </c>
      <c r="K1210" s="265" t="s">
        <v>10655</v>
      </c>
    </row>
    <row r="1211" spans="1:11" s="75" customFormat="1" ht="14.55" customHeight="1" x14ac:dyDescent="0.25">
      <c r="A1211" s="272" t="s">
        <v>8816</v>
      </c>
      <c r="B1211" s="272" t="s">
        <v>10591</v>
      </c>
      <c r="C1211" s="272" t="s">
        <v>10046</v>
      </c>
      <c r="D1211" s="259" t="s">
        <v>10047</v>
      </c>
      <c r="E1211" s="265" t="s">
        <v>10655</v>
      </c>
      <c r="F1211" s="272" t="s">
        <v>9198</v>
      </c>
      <c r="G1211" s="272" t="s">
        <v>9197</v>
      </c>
      <c r="H1211" s="265" t="s">
        <v>10873</v>
      </c>
      <c r="I1211" s="290" t="s">
        <v>10874</v>
      </c>
      <c r="J1211" s="265" t="s">
        <v>10655</v>
      </c>
      <c r="K1211" s="265" t="s">
        <v>10655</v>
      </c>
    </row>
    <row r="1212" spans="1:11" s="75" customFormat="1" ht="14.55" customHeight="1" x14ac:dyDescent="0.25">
      <c r="A1212" s="272" t="s">
        <v>8816</v>
      </c>
      <c r="B1212" s="272" t="s">
        <v>10591</v>
      </c>
      <c r="C1212" s="272" t="s">
        <v>10048</v>
      </c>
      <c r="D1212" s="259" t="s">
        <v>10049</v>
      </c>
      <c r="E1212" s="265" t="s">
        <v>10655</v>
      </c>
      <c r="F1212" s="272" t="s">
        <v>9198</v>
      </c>
      <c r="G1212" s="272" t="s">
        <v>9197</v>
      </c>
      <c r="H1212" s="265" t="s">
        <v>10911</v>
      </c>
      <c r="I1212" s="290" t="s">
        <v>10912</v>
      </c>
      <c r="J1212" s="265" t="s">
        <v>10655</v>
      </c>
      <c r="K1212" s="265" t="s">
        <v>10655</v>
      </c>
    </row>
    <row r="1213" spans="1:11" s="75" customFormat="1" ht="14.55" customHeight="1" x14ac:dyDescent="0.25">
      <c r="A1213" s="272" t="s">
        <v>8816</v>
      </c>
      <c r="B1213" s="272" t="s">
        <v>10591</v>
      </c>
      <c r="C1213" s="272" t="s">
        <v>10050</v>
      </c>
      <c r="D1213" s="259" t="s">
        <v>10051</v>
      </c>
      <c r="E1213" s="265" t="s">
        <v>10655</v>
      </c>
      <c r="F1213" s="272" t="s">
        <v>9198</v>
      </c>
      <c r="G1213" s="272" t="s">
        <v>9197</v>
      </c>
      <c r="H1213" s="265" t="s">
        <v>10911</v>
      </c>
      <c r="I1213" s="290" t="s">
        <v>10912</v>
      </c>
      <c r="J1213" s="265" t="s">
        <v>10655</v>
      </c>
      <c r="K1213" s="265" t="s">
        <v>10655</v>
      </c>
    </row>
    <row r="1214" spans="1:11" s="75" customFormat="1" ht="14.55" customHeight="1" x14ac:dyDescent="0.25">
      <c r="A1214" s="272" t="s">
        <v>8816</v>
      </c>
      <c r="B1214" s="272" t="s">
        <v>10591</v>
      </c>
      <c r="C1214" s="272" t="s">
        <v>10052</v>
      </c>
      <c r="D1214" s="259" t="s">
        <v>10053</v>
      </c>
      <c r="E1214" s="265" t="s">
        <v>10655</v>
      </c>
      <c r="F1214" s="272" t="s">
        <v>9198</v>
      </c>
      <c r="G1214" s="272" t="s">
        <v>9197</v>
      </c>
      <c r="H1214" s="265" t="s">
        <v>10923</v>
      </c>
      <c r="I1214" s="290" t="s">
        <v>10924</v>
      </c>
      <c r="J1214" s="265" t="s">
        <v>10655</v>
      </c>
      <c r="K1214" s="265" t="s">
        <v>10655</v>
      </c>
    </row>
    <row r="1215" spans="1:11" s="75" customFormat="1" ht="14.55" customHeight="1" x14ac:dyDescent="0.25">
      <c r="A1215" s="272" t="s">
        <v>8816</v>
      </c>
      <c r="B1215" s="272" t="s">
        <v>10591</v>
      </c>
      <c r="C1215" s="272" t="s">
        <v>10054</v>
      </c>
      <c r="D1215" s="259" t="s">
        <v>10055</v>
      </c>
      <c r="E1215" s="265" t="s">
        <v>10655</v>
      </c>
      <c r="F1215" s="272" t="s">
        <v>9198</v>
      </c>
      <c r="G1215" s="272" t="s">
        <v>9197</v>
      </c>
      <c r="H1215" s="265" t="s">
        <v>10923</v>
      </c>
      <c r="I1215" s="290" t="s">
        <v>10924</v>
      </c>
      <c r="J1215" s="265" t="s">
        <v>10655</v>
      </c>
      <c r="K1215" s="265" t="s">
        <v>10655</v>
      </c>
    </row>
    <row r="1216" spans="1:11" s="75" customFormat="1" ht="14.55" customHeight="1" x14ac:dyDescent="0.25">
      <c r="A1216" s="272" t="s">
        <v>8816</v>
      </c>
      <c r="B1216" s="272" t="s">
        <v>10591</v>
      </c>
      <c r="C1216" s="272" t="s">
        <v>10056</v>
      </c>
      <c r="D1216" s="259" t="s">
        <v>10057</v>
      </c>
      <c r="E1216" s="265" t="s">
        <v>10655</v>
      </c>
      <c r="F1216" s="272" t="s">
        <v>9198</v>
      </c>
      <c r="G1216" s="272" t="s">
        <v>9198</v>
      </c>
      <c r="H1216" s="265" t="s">
        <v>10923</v>
      </c>
      <c r="I1216" s="290" t="s">
        <v>10924</v>
      </c>
      <c r="J1216" s="265" t="s">
        <v>10655</v>
      </c>
      <c r="K1216" s="265" t="s">
        <v>10655</v>
      </c>
    </row>
    <row r="1217" spans="1:11" s="75" customFormat="1" ht="14.55" customHeight="1" x14ac:dyDescent="0.25">
      <c r="A1217" s="272" t="s">
        <v>8816</v>
      </c>
      <c r="B1217" s="272" t="s">
        <v>10591</v>
      </c>
      <c r="C1217" s="272" t="s">
        <v>10058</v>
      </c>
      <c r="D1217" s="259" t="s">
        <v>10059</v>
      </c>
      <c r="E1217" s="265" t="s">
        <v>10655</v>
      </c>
      <c r="F1217" s="272" t="s">
        <v>9198</v>
      </c>
      <c r="G1217" s="272" t="s">
        <v>9197</v>
      </c>
      <c r="H1217" s="265" t="s">
        <v>10925</v>
      </c>
      <c r="I1217" s="290" t="s">
        <v>10926</v>
      </c>
      <c r="J1217" s="265" t="s">
        <v>10655</v>
      </c>
      <c r="K1217" s="265" t="s">
        <v>10655</v>
      </c>
    </row>
    <row r="1218" spans="1:11" s="75" customFormat="1" ht="14.55" customHeight="1" x14ac:dyDescent="0.25">
      <c r="A1218" s="272" t="s">
        <v>8816</v>
      </c>
      <c r="B1218" s="272" t="s">
        <v>10591</v>
      </c>
      <c r="C1218" s="272" t="s">
        <v>10060</v>
      </c>
      <c r="D1218" s="259" t="s">
        <v>10061</v>
      </c>
      <c r="E1218" s="265" t="s">
        <v>10655</v>
      </c>
      <c r="F1218" s="272" t="s">
        <v>9198</v>
      </c>
      <c r="G1218" s="272" t="s">
        <v>9197</v>
      </c>
      <c r="H1218" s="265" t="s">
        <v>10925</v>
      </c>
      <c r="I1218" s="290" t="s">
        <v>10926</v>
      </c>
      <c r="J1218" s="265" t="s">
        <v>10655</v>
      </c>
      <c r="K1218" s="265" t="s">
        <v>10655</v>
      </c>
    </row>
    <row r="1219" spans="1:11" s="75" customFormat="1" ht="14.55" customHeight="1" x14ac:dyDescent="0.25">
      <c r="A1219" s="272" t="s">
        <v>8816</v>
      </c>
      <c r="B1219" s="272" t="s">
        <v>10591</v>
      </c>
      <c r="C1219" s="272" t="s">
        <v>10062</v>
      </c>
      <c r="D1219" s="259" t="s">
        <v>10063</v>
      </c>
      <c r="E1219" s="265" t="s">
        <v>10655</v>
      </c>
      <c r="F1219" s="272" t="s">
        <v>9198</v>
      </c>
      <c r="G1219" s="272" t="s">
        <v>9198</v>
      </c>
      <c r="H1219" s="265" t="s">
        <v>10925</v>
      </c>
      <c r="I1219" s="290" t="s">
        <v>10926</v>
      </c>
      <c r="J1219" s="265" t="s">
        <v>10655</v>
      </c>
      <c r="K1219" s="265" t="s">
        <v>10655</v>
      </c>
    </row>
    <row r="1220" spans="1:11" s="75" customFormat="1" ht="14.55" customHeight="1" x14ac:dyDescent="0.25">
      <c r="A1220" s="272" t="s">
        <v>8816</v>
      </c>
      <c r="B1220" s="272" t="s">
        <v>10591</v>
      </c>
      <c r="C1220" s="272" t="s">
        <v>10064</v>
      </c>
      <c r="D1220" s="259" t="s">
        <v>10065</v>
      </c>
      <c r="E1220" s="265" t="s">
        <v>10655</v>
      </c>
      <c r="F1220" s="272" t="s">
        <v>9198</v>
      </c>
      <c r="G1220" s="272" t="s">
        <v>9197</v>
      </c>
      <c r="H1220" s="265" t="s">
        <v>10906</v>
      </c>
      <c r="I1220" s="290" t="s">
        <v>10907</v>
      </c>
      <c r="J1220" s="265" t="s">
        <v>10655</v>
      </c>
      <c r="K1220" s="265" t="s">
        <v>10655</v>
      </c>
    </row>
    <row r="1221" spans="1:11" s="75" customFormat="1" ht="14.55" customHeight="1" x14ac:dyDescent="0.25">
      <c r="A1221" s="272" t="s">
        <v>8816</v>
      </c>
      <c r="B1221" s="272" t="s">
        <v>10591</v>
      </c>
      <c r="C1221" s="272" t="s">
        <v>10064</v>
      </c>
      <c r="D1221" s="259" t="s">
        <v>10065</v>
      </c>
      <c r="E1221" s="265" t="s">
        <v>10655</v>
      </c>
      <c r="F1221" s="272" t="s">
        <v>9198</v>
      </c>
      <c r="G1221" s="272" t="s">
        <v>9197</v>
      </c>
      <c r="H1221" s="265" t="s">
        <v>10925</v>
      </c>
      <c r="I1221" s="290" t="s">
        <v>10926</v>
      </c>
      <c r="J1221" s="265" t="s">
        <v>10655</v>
      </c>
      <c r="K1221" s="265" t="s">
        <v>10655</v>
      </c>
    </row>
    <row r="1222" spans="1:11" s="75" customFormat="1" ht="14.55" customHeight="1" x14ac:dyDescent="0.25">
      <c r="A1222" s="272" t="s">
        <v>8816</v>
      </c>
      <c r="B1222" s="272" t="s">
        <v>10591</v>
      </c>
      <c r="C1222" s="272" t="s">
        <v>10064</v>
      </c>
      <c r="D1222" s="259" t="s">
        <v>10065</v>
      </c>
      <c r="E1222" s="265" t="s">
        <v>10655</v>
      </c>
      <c r="F1222" s="272" t="s">
        <v>9198</v>
      </c>
      <c r="G1222" s="272" t="s">
        <v>9197</v>
      </c>
      <c r="H1222" s="265" t="s">
        <v>10908</v>
      </c>
      <c r="I1222" s="290" t="s">
        <v>10909</v>
      </c>
      <c r="J1222" s="265" t="s">
        <v>10655</v>
      </c>
      <c r="K1222" s="265" t="s">
        <v>10655</v>
      </c>
    </row>
    <row r="1223" spans="1:11" s="75" customFormat="1" ht="14.55" customHeight="1" x14ac:dyDescent="0.25">
      <c r="A1223" s="272" t="s">
        <v>8816</v>
      </c>
      <c r="B1223" s="272" t="s">
        <v>10591</v>
      </c>
      <c r="C1223" s="272" t="s">
        <v>10066</v>
      </c>
      <c r="D1223" s="259" t="s">
        <v>10067</v>
      </c>
      <c r="E1223" s="265" t="s">
        <v>10655</v>
      </c>
      <c r="F1223" s="272" t="s">
        <v>9198</v>
      </c>
      <c r="G1223" s="272" t="s">
        <v>9197</v>
      </c>
      <c r="H1223" s="265" t="s">
        <v>10906</v>
      </c>
      <c r="I1223" s="290" t="s">
        <v>10907</v>
      </c>
      <c r="J1223" s="265" t="s">
        <v>10655</v>
      </c>
      <c r="K1223" s="265" t="s">
        <v>10655</v>
      </c>
    </row>
    <row r="1224" spans="1:11" s="75" customFormat="1" ht="14.55" customHeight="1" x14ac:dyDescent="0.25">
      <c r="A1224" s="272" t="s">
        <v>8816</v>
      </c>
      <c r="B1224" s="272" t="s">
        <v>10591</v>
      </c>
      <c r="C1224" s="272" t="s">
        <v>10066</v>
      </c>
      <c r="D1224" s="259" t="s">
        <v>10067</v>
      </c>
      <c r="E1224" s="265" t="s">
        <v>10655</v>
      </c>
      <c r="F1224" s="272" t="s">
        <v>9198</v>
      </c>
      <c r="G1224" s="272" t="s">
        <v>9197</v>
      </c>
      <c r="H1224" s="265" t="s">
        <v>10923</v>
      </c>
      <c r="I1224" s="290" t="s">
        <v>10924</v>
      </c>
      <c r="J1224" s="265" t="s">
        <v>10655</v>
      </c>
      <c r="K1224" s="265" t="s">
        <v>10655</v>
      </c>
    </row>
    <row r="1225" spans="1:11" s="75" customFormat="1" ht="14.55" customHeight="1" x14ac:dyDescent="0.25">
      <c r="A1225" s="272" t="s">
        <v>8816</v>
      </c>
      <c r="B1225" s="272" t="s">
        <v>10591</v>
      </c>
      <c r="C1225" s="272" t="s">
        <v>10066</v>
      </c>
      <c r="D1225" s="259" t="s">
        <v>10067</v>
      </c>
      <c r="E1225" s="265" t="s">
        <v>10655</v>
      </c>
      <c r="F1225" s="272" t="s">
        <v>9198</v>
      </c>
      <c r="G1225" s="272" t="s">
        <v>9197</v>
      </c>
      <c r="H1225" s="265" t="s">
        <v>10908</v>
      </c>
      <c r="I1225" s="290" t="s">
        <v>10909</v>
      </c>
      <c r="J1225" s="265" t="s">
        <v>10655</v>
      </c>
      <c r="K1225" s="265" t="s">
        <v>10655</v>
      </c>
    </row>
    <row r="1226" spans="1:11" s="75" customFormat="1" ht="14.55" customHeight="1" x14ac:dyDescent="0.25">
      <c r="A1226" s="272" t="s">
        <v>8816</v>
      </c>
      <c r="B1226" s="272" t="s">
        <v>10591</v>
      </c>
      <c r="C1226" s="272" t="s">
        <v>10068</v>
      </c>
      <c r="D1226" s="259" t="s">
        <v>10069</v>
      </c>
      <c r="E1226" s="265" t="s">
        <v>10655</v>
      </c>
      <c r="F1226" s="272" t="s">
        <v>9198</v>
      </c>
      <c r="G1226" s="272" t="s">
        <v>9197</v>
      </c>
      <c r="H1226" s="265" t="s">
        <v>10906</v>
      </c>
      <c r="I1226" s="290" t="s">
        <v>10907</v>
      </c>
      <c r="J1226" s="265" t="s">
        <v>10655</v>
      </c>
      <c r="K1226" s="265" t="s">
        <v>10655</v>
      </c>
    </row>
    <row r="1227" spans="1:11" s="75" customFormat="1" ht="14.55" customHeight="1" x14ac:dyDescent="0.25">
      <c r="A1227" s="272" t="s">
        <v>8816</v>
      </c>
      <c r="B1227" s="272" t="s">
        <v>10591</v>
      </c>
      <c r="C1227" s="272" t="s">
        <v>10068</v>
      </c>
      <c r="D1227" s="259" t="s">
        <v>10069</v>
      </c>
      <c r="E1227" s="265" t="s">
        <v>10655</v>
      </c>
      <c r="F1227" s="272" t="s">
        <v>9198</v>
      </c>
      <c r="G1227" s="272" t="s">
        <v>9197</v>
      </c>
      <c r="H1227" s="265" t="s">
        <v>10927</v>
      </c>
      <c r="I1227" s="290" t="s">
        <v>10928</v>
      </c>
      <c r="J1227" s="265" t="s">
        <v>10655</v>
      </c>
      <c r="K1227" s="265" t="s">
        <v>10655</v>
      </c>
    </row>
    <row r="1228" spans="1:11" s="75" customFormat="1" ht="14.55" customHeight="1" x14ac:dyDescent="0.25">
      <c r="A1228" s="272" t="s">
        <v>8816</v>
      </c>
      <c r="B1228" s="272" t="s">
        <v>10591</v>
      </c>
      <c r="C1228" s="272" t="s">
        <v>10068</v>
      </c>
      <c r="D1228" s="259" t="s">
        <v>10069</v>
      </c>
      <c r="E1228" s="265" t="s">
        <v>10655</v>
      </c>
      <c r="F1228" s="272" t="s">
        <v>9198</v>
      </c>
      <c r="G1228" s="272" t="s">
        <v>9197</v>
      </c>
      <c r="H1228" s="265" t="s">
        <v>10908</v>
      </c>
      <c r="I1228" s="290" t="s">
        <v>10909</v>
      </c>
      <c r="J1228" s="265" t="s">
        <v>10655</v>
      </c>
      <c r="K1228" s="265" t="s">
        <v>10655</v>
      </c>
    </row>
    <row r="1229" spans="1:11" s="75" customFormat="1" ht="14.55" customHeight="1" x14ac:dyDescent="0.25">
      <c r="A1229" s="272" t="s">
        <v>8816</v>
      </c>
      <c r="B1229" s="272" t="s">
        <v>10591</v>
      </c>
      <c r="C1229" s="272" t="s">
        <v>10070</v>
      </c>
      <c r="D1229" s="259" t="s">
        <v>10071</v>
      </c>
      <c r="E1229" s="265" t="s">
        <v>10655</v>
      </c>
      <c r="F1229" s="272" t="s">
        <v>9198</v>
      </c>
      <c r="G1229" s="272" t="s">
        <v>9197</v>
      </c>
      <c r="H1229" s="265" t="s">
        <v>10927</v>
      </c>
      <c r="I1229" s="290" t="s">
        <v>10928</v>
      </c>
      <c r="J1229" s="265" t="s">
        <v>10655</v>
      </c>
      <c r="K1229" s="265" t="s">
        <v>10655</v>
      </c>
    </row>
    <row r="1230" spans="1:11" s="75" customFormat="1" ht="14.55" customHeight="1" x14ac:dyDescent="0.25">
      <c r="A1230" s="272" t="s">
        <v>8816</v>
      </c>
      <c r="B1230" s="272" t="s">
        <v>10591</v>
      </c>
      <c r="C1230" s="272" t="s">
        <v>10072</v>
      </c>
      <c r="D1230" s="259" t="s">
        <v>10073</v>
      </c>
      <c r="E1230" s="265" t="s">
        <v>10655</v>
      </c>
      <c r="F1230" s="272" t="s">
        <v>9198</v>
      </c>
      <c r="G1230" s="272" t="s">
        <v>9197</v>
      </c>
      <c r="H1230" s="265" t="s">
        <v>10927</v>
      </c>
      <c r="I1230" s="290" t="s">
        <v>10928</v>
      </c>
      <c r="J1230" s="265" t="s">
        <v>10655</v>
      </c>
      <c r="K1230" s="265" t="s">
        <v>10655</v>
      </c>
    </row>
    <row r="1231" spans="1:11" s="75" customFormat="1" ht="14.55" customHeight="1" x14ac:dyDescent="0.25">
      <c r="A1231" s="272" t="s">
        <v>8816</v>
      </c>
      <c r="B1231" s="272" t="s">
        <v>10591</v>
      </c>
      <c r="C1231" s="272" t="s">
        <v>10074</v>
      </c>
      <c r="D1231" s="259" t="s">
        <v>10075</v>
      </c>
      <c r="E1231" s="265" t="s">
        <v>10655</v>
      </c>
      <c r="F1231" s="272" t="s">
        <v>9198</v>
      </c>
      <c r="G1231" s="272" t="s">
        <v>9198</v>
      </c>
      <c r="H1231" s="265" t="s">
        <v>10927</v>
      </c>
      <c r="I1231" s="290" t="s">
        <v>10928</v>
      </c>
      <c r="J1231" s="265" t="s">
        <v>10655</v>
      </c>
      <c r="K1231" s="265" t="s">
        <v>10655</v>
      </c>
    </row>
    <row r="1232" spans="1:11" s="75" customFormat="1" ht="14.55" customHeight="1" x14ac:dyDescent="0.25">
      <c r="A1232" s="272" t="s">
        <v>8816</v>
      </c>
      <c r="B1232" s="272" t="s">
        <v>10591</v>
      </c>
      <c r="C1232" s="272" t="s">
        <v>10076</v>
      </c>
      <c r="D1232" s="259" t="s">
        <v>10077</v>
      </c>
      <c r="E1232" s="265" t="s">
        <v>10655</v>
      </c>
      <c r="F1232" s="272" t="s">
        <v>9198</v>
      </c>
      <c r="G1232" s="272" t="s">
        <v>9197</v>
      </c>
      <c r="H1232" s="265" t="s">
        <v>10929</v>
      </c>
      <c r="I1232" s="290" t="s">
        <v>10930</v>
      </c>
      <c r="J1232" s="265" t="s">
        <v>10655</v>
      </c>
      <c r="K1232" s="265" t="s">
        <v>10655</v>
      </c>
    </row>
    <row r="1233" spans="1:11" s="75" customFormat="1" ht="14.55" customHeight="1" x14ac:dyDescent="0.25">
      <c r="A1233" s="272" t="s">
        <v>8816</v>
      </c>
      <c r="B1233" s="272" t="s">
        <v>10591</v>
      </c>
      <c r="C1233" s="272" t="s">
        <v>10078</v>
      </c>
      <c r="D1233" s="259" t="s">
        <v>10079</v>
      </c>
      <c r="E1233" s="265" t="s">
        <v>10655</v>
      </c>
      <c r="F1233" s="272" t="s">
        <v>9198</v>
      </c>
      <c r="G1233" s="272" t="s">
        <v>9197</v>
      </c>
      <c r="H1233" s="265" t="s">
        <v>10929</v>
      </c>
      <c r="I1233" s="290" t="s">
        <v>10930</v>
      </c>
      <c r="J1233" s="265" t="s">
        <v>10655</v>
      </c>
      <c r="K1233" s="265" t="s">
        <v>10655</v>
      </c>
    </row>
    <row r="1234" spans="1:11" s="75" customFormat="1" ht="14.55" customHeight="1" x14ac:dyDescent="0.25">
      <c r="A1234" s="272" t="s">
        <v>8816</v>
      </c>
      <c r="B1234" s="272" t="s">
        <v>10591</v>
      </c>
      <c r="C1234" s="272" t="s">
        <v>10080</v>
      </c>
      <c r="D1234" s="259" t="s">
        <v>10081</v>
      </c>
      <c r="E1234" s="265" t="s">
        <v>10655</v>
      </c>
      <c r="F1234" s="272" t="s">
        <v>9198</v>
      </c>
      <c r="G1234" s="272" t="s">
        <v>9198</v>
      </c>
      <c r="H1234" s="265" t="s">
        <v>10929</v>
      </c>
      <c r="I1234" s="290" t="s">
        <v>10930</v>
      </c>
      <c r="J1234" s="265" t="s">
        <v>10655</v>
      </c>
      <c r="K1234" s="265" t="s">
        <v>10655</v>
      </c>
    </row>
    <row r="1235" spans="1:11" s="75" customFormat="1" ht="14.55" customHeight="1" x14ac:dyDescent="0.25">
      <c r="A1235" s="272" t="s">
        <v>8816</v>
      </c>
      <c r="B1235" s="272" t="s">
        <v>10591</v>
      </c>
      <c r="C1235" s="272" t="s">
        <v>10082</v>
      </c>
      <c r="D1235" s="259" t="s">
        <v>10083</v>
      </c>
      <c r="E1235" s="265" t="s">
        <v>10655</v>
      </c>
      <c r="F1235" s="272" t="s">
        <v>9198</v>
      </c>
      <c r="G1235" s="272" t="s">
        <v>9197</v>
      </c>
      <c r="H1235" s="265" t="s">
        <v>10906</v>
      </c>
      <c r="I1235" s="290" t="s">
        <v>10907</v>
      </c>
      <c r="J1235" s="265" t="s">
        <v>10655</v>
      </c>
      <c r="K1235" s="265" t="s">
        <v>10655</v>
      </c>
    </row>
    <row r="1236" spans="1:11" s="75" customFormat="1" ht="14.55" customHeight="1" x14ac:dyDescent="0.25">
      <c r="A1236" s="272" t="s">
        <v>8816</v>
      </c>
      <c r="B1236" s="272" t="s">
        <v>10591</v>
      </c>
      <c r="C1236" s="272" t="s">
        <v>10082</v>
      </c>
      <c r="D1236" s="259" t="s">
        <v>10083</v>
      </c>
      <c r="E1236" s="265" t="s">
        <v>10655</v>
      </c>
      <c r="F1236" s="272" t="s">
        <v>9198</v>
      </c>
      <c r="G1236" s="272" t="s">
        <v>9197</v>
      </c>
      <c r="H1236" s="265" t="s">
        <v>10929</v>
      </c>
      <c r="I1236" s="290" t="s">
        <v>10930</v>
      </c>
      <c r="J1236" s="265" t="s">
        <v>10655</v>
      </c>
      <c r="K1236" s="265" t="s">
        <v>10655</v>
      </c>
    </row>
    <row r="1237" spans="1:11" s="75" customFormat="1" ht="14.55" customHeight="1" x14ac:dyDescent="0.25">
      <c r="A1237" s="272" t="s">
        <v>8816</v>
      </c>
      <c r="B1237" s="272" t="s">
        <v>10591</v>
      </c>
      <c r="C1237" s="272" t="s">
        <v>10082</v>
      </c>
      <c r="D1237" s="259" t="s">
        <v>10083</v>
      </c>
      <c r="E1237" s="265" t="s">
        <v>10655</v>
      </c>
      <c r="F1237" s="272" t="s">
        <v>9198</v>
      </c>
      <c r="G1237" s="272" t="s">
        <v>9197</v>
      </c>
      <c r="H1237" s="265" t="s">
        <v>10908</v>
      </c>
      <c r="I1237" s="290" t="s">
        <v>10909</v>
      </c>
      <c r="J1237" s="265" t="s">
        <v>10655</v>
      </c>
      <c r="K1237" s="265" t="s">
        <v>10655</v>
      </c>
    </row>
    <row r="1238" spans="1:11" s="75" customFormat="1" ht="14.55" customHeight="1" x14ac:dyDescent="0.25">
      <c r="A1238" s="272" t="s">
        <v>8816</v>
      </c>
      <c r="B1238" s="272" t="s">
        <v>10591</v>
      </c>
      <c r="C1238" s="272" t="s">
        <v>10084</v>
      </c>
      <c r="D1238" s="259" t="s">
        <v>10085</v>
      </c>
      <c r="E1238" s="265" t="s">
        <v>10655</v>
      </c>
      <c r="F1238" s="272" t="s">
        <v>9198</v>
      </c>
      <c r="G1238" s="272" t="s">
        <v>9197</v>
      </c>
      <c r="H1238" s="265" t="s">
        <v>10931</v>
      </c>
      <c r="I1238" s="290" t="s">
        <v>10932</v>
      </c>
      <c r="J1238" s="265" t="s">
        <v>10655</v>
      </c>
      <c r="K1238" s="265" t="s">
        <v>10655</v>
      </c>
    </row>
    <row r="1239" spans="1:11" s="75" customFormat="1" ht="14.55" customHeight="1" x14ac:dyDescent="0.25">
      <c r="A1239" s="272" t="s">
        <v>8816</v>
      </c>
      <c r="B1239" s="272" t="s">
        <v>10591</v>
      </c>
      <c r="C1239" s="272" t="s">
        <v>10084</v>
      </c>
      <c r="D1239" s="259" t="s">
        <v>10085</v>
      </c>
      <c r="E1239" s="265" t="s">
        <v>10655</v>
      </c>
      <c r="F1239" s="272" t="s">
        <v>9198</v>
      </c>
      <c r="G1239" s="272" t="s">
        <v>9197</v>
      </c>
      <c r="H1239" s="265" t="s">
        <v>10933</v>
      </c>
      <c r="I1239" s="290" t="s">
        <v>10934</v>
      </c>
      <c r="J1239" s="265" t="s">
        <v>10655</v>
      </c>
      <c r="K1239" s="265" t="s">
        <v>10655</v>
      </c>
    </row>
    <row r="1240" spans="1:11" s="75" customFormat="1" ht="14.55" customHeight="1" x14ac:dyDescent="0.25">
      <c r="A1240" s="272" t="s">
        <v>8816</v>
      </c>
      <c r="B1240" s="272" t="s">
        <v>10591</v>
      </c>
      <c r="C1240" s="272" t="s">
        <v>10084</v>
      </c>
      <c r="D1240" s="259" t="s">
        <v>10085</v>
      </c>
      <c r="E1240" s="265" t="s">
        <v>10655</v>
      </c>
      <c r="F1240" s="272" t="s">
        <v>9198</v>
      </c>
      <c r="G1240" s="272" t="s">
        <v>9197</v>
      </c>
      <c r="H1240" s="265" t="s">
        <v>10935</v>
      </c>
      <c r="I1240" s="290" t="s">
        <v>10936</v>
      </c>
      <c r="J1240" s="265" t="s">
        <v>10655</v>
      </c>
      <c r="K1240" s="265" t="s">
        <v>10655</v>
      </c>
    </row>
    <row r="1241" spans="1:11" s="75" customFormat="1" ht="14.55" customHeight="1" x14ac:dyDescent="0.25">
      <c r="A1241" s="272" t="s">
        <v>8816</v>
      </c>
      <c r="B1241" s="272" t="s">
        <v>10591</v>
      </c>
      <c r="C1241" s="272" t="s">
        <v>10084</v>
      </c>
      <c r="D1241" s="259" t="s">
        <v>10085</v>
      </c>
      <c r="E1241" s="265" t="s">
        <v>10655</v>
      </c>
      <c r="F1241" s="272" t="s">
        <v>9198</v>
      </c>
      <c r="G1241" s="272" t="s">
        <v>9197</v>
      </c>
      <c r="H1241" s="265" t="s">
        <v>10937</v>
      </c>
      <c r="I1241" s="290" t="s">
        <v>10938</v>
      </c>
      <c r="J1241" s="265" t="s">
        <v>10655</v>
      </c>
      <c r="K1241" s="265" t="s">
        <v>10655</v>
      </c>
    </row>
    <row r="1242" spans="1:11" s="75" customFormat="1" ht="14.55" customHeight="1" x14ac:dyDescent="0.25">
      <c r="A1242" s="272" t="s">
        <v>8816</v>
      </c>
      <c r="B1242" s="272" t="s">
        <v>10591</v>
      </c>
      <c r="C1242" s="272" t="s">
        <v>10084</v>
      </c>
      <c r="D1242" s="259" t="s">
        <v>10085</v>
      </c>
      <c r="E1242" s="265" t="s">
        <v>10655</v>
      </c>
      <c r="F1242" s="272" t="s">
        <v>9198</v>
      </c>
      <c r="G1242" s="272" t="s">
        <v>9197</v>
      </c>
      <c r="H1242" s="265" t="s">
        <v>10939</v>
      </c>
      <c r="I1242" s="290" t="s">
        <v>10940</v>
      </c>
      <c r="J1242" s="265" t="s">
        <v>10655</v>
      </c>
      <c r="K1242" s="265" t="s">
        <v>10655</v>
      </c>
    </row>
    <row r="1243" spans="1:11" s="75" customFormat="1" ht="14.55" customHeight="1" x14ac:dyDescent="0.25">
      <c r="A1243" s="272" t="s">
        <v>8816</v>
      </c>
      <c r="B1243" s="272" t="s">
        <v>10591</v>
      </c>
      <c r="C1243" s="272" t="s">
        <v>10084</v>
      </c>
      <c r="D1243" s="259" t="s">
        <v>10085</v>
      </c>
      <c r="E1243" s="265" t="s">
        <v>10655</v>
      </c>
      <c r="F1243" s="272" t="s">
        <v>9198</v>
      </c>
      <c r="G1243" s="272" t="s">
        <v>9197</v>
      </c>
      <c r="H1243" s="265" t="s">
        <v>10941</v>
      </c>
      <c r="I1243" s="290" t="s">
        <v>10942</v>
      </c>
      <c r="J1243" s="265" t="s">
        <v>10655</v>
      </c>
      <c r="K1243" s="265" t="s">
        <v>10655</v>
      </c>
    </row>
    <row r="1244" spans="1:11" s="75" customFormat="1" ht="14.55" customHeight="1" x14ac:dyDescent="0.25">
      <c r="A1244" s="272" t="s">
        <v>8816</v>
      </c>
      <c r="B1244" s="272" t="s">
        <v>10591</v>
      </c>
      <c r="C1244" s="272" t="s">
        <v>10084</v>
      </c>
      <c r="D1244" s="259" t="s">
        <v>10085</v>
      </c>
      <c r="E1244" s="265" t="s">
        <v>10655</v>
      </c>
      <c r="F1244" s="272" t="s">
        <v>9198</v>
      </c>
      <c r="G1244" s="272" t="s">
        <v>9197</v>
      </c>
      <c r="H1244" s="265" t="s">
        <v>10943</v>
      </c>
      <c r="I1244" s="290" t="s">
        <v>10944</v>
      </c>
      <c r="J1244" s="265" t="s">
        <v>10655</v>
      </c>
      <c r="K1244" s="265" t="s">
        <v>10655</v>
      </c>
    </row>
    <row r="1245" spans="1:11" s="75" customFormat="1" ht="14.55" customHeight="1" x14ac:dyDescent="0.25">
      <c r="A1245" s="272" t="s">
        <v>8816</v>
      </c>
      <c r="B1245" s="272" t="s">
        <v>10591</v>
      </c>
      <c r="C1245" s="272" t="s">
        <v>10084</v>
      </c>
      <c r="D1245" s="259" t="s">
        <v>10085</v>
      </c>
      <c r="E1245" s="265" t="s">
        <v>10655</v>
      </c>
      <c r="F1245" s="272" t="s">
        <v>9198</v>
      </c>
      <c r="G1245" s="272" t="s">
        <v>9197</v>
      </c>
      <c r="H1245" s="265" t="s">
        <v>10945</v>
      </c>
      <c r="I1245" s="290" t="s">
        <v>10946</v>
      </c>
      <c r="J1245" s="265" t="s">
        <v>10655</v>
      </c>
      <c r="K1245" s="265" t="s">
        <v>10655</v>
      </c>
    </row>
    <row r="1246" spans="1:11" s="75" customFormat="1" ht="14.55" customHeight="1" x14ac:dyDescent="0.25">
      <c r="A1246" s="272" t="s">
        <v>8816</v>
      </c>
      <c r="B1246" s="272" t="s">
        <v>10591</v>
      </c>
      <c r="C1246" s="272" t="s">
        <v>10084</v>
      </c>
      <c r="D1246" s="259" t="s">
        <v>10085</v>
      </c>
      <c r="E1246" s="265" t="s">
        <v>10655</v>
      </c>
      <c r="F1246" s="272" t="s">
        <v>9198</v>
      </c>
      <c r="G1246" s="272" t="s">
        <v>9197</v>
      </c>
      <c r="H1246" s="265" t="s">
        <v>10947</v>
      </c>
      <c r="I1246" s="290" t="s">
        <v>10948</v>
      </c>
      <c r="J1246" s="265" t="s">
        <v>10655</v>
      </c>
      <c r="K1246" s="265" t="s">
        <v>10655</v>
      </c>
    </row>
    <row r="1247" spans="1:11" s="75" customFormat="1" ht="14.55" customHeight="1" x14ac:dyDescent="0.25">
      <c r="A1247" s="272" t="s">
        <v>8816</v>
      </c>
      <c r="B1247" s="272" t="s">
        <v>10591</v>
      </c>
      <c r="C1247" s="272" t="s">
        <v>10084</v>
      </c>
      <c r="D1247" s="259" t="s">
        <v>10085</v>
      </c>
      <c r="E1247" s="265" t="s">
        <v>10655</v>
      </c>
      <c r="F1247" s="272" t="s">
        <v>9198</v>
      </c>
      <c r="G1247" s="272" t="s">
        <v>9197</v>
      </c>
      <c r="H1247" s="265" t="s">
        <v>10949</v>
      </c>
      <c r="I1247" s="290" t="s">
        <v>10950</v>
      </c>
      <c r="J1247" s="265" t="s">
        <v>10655</v>
      </c>
      <c r="K1247" s="265" t="s">
        <v>10655</v>
      </c>
    </row>
    <row r="1248" spans="1:11" s="75" customFormat="1" ht="14.55" customHeight="1" x14ac:dyDescent="0.25">
      <c r="A1248" s="272" t="s">
        <v>8816</v>
      </c>
      <c r="B1248" s="272" t="s">
        <v>10591</v>
      </c>
      <c r="C1248" s="272" t="s">
        <v>10086</v>
      </c>
      <c r="D1248" s="259" t="s">
        <v>10087</v>
      </c>
      <c r="E1248" s="265" t="s">
        <v>10655</v>
      </c>
      <c r="F1248" s="272" t="s">
        <v>9198</v>
      </c>
      <c r="G1248" s="272" t="s">
        <v>9198</v>
      </c>
      <c r="H1248" s="265" t="s">
        <v>10937</v>
      </c>
      <c r="I1248" s="290" t="s">
        <v>10938</v>
      </c>
      <c r="J1248" s="265" t="s">
        <v>10655</v>
      </c>
      <c r="K1248" s="265" t="s">
        <v>10655</v>
      </c>
    </row>
    <row r="1249" spans="1:11" s="75" customFormat="1" ht="14.55" customHeight="1" x14ac:dyDescent="0.25">
      <c r="A1249" s="272" t="s">
        <v>8816</v>
      </c>
      <c r="B1249" s="272" t="s">
        <v>10591</v>
      </c>
      <c r="C1249" s="272" t="s">
        <v>10088</v>
      </c>
      <c r="D1249" s="259" t="s">
        <v>10089</v>
      </c>
      <c r="E1249" s="265" t="s">
        <v>10655</v>
      </c>
      <c r="F1249" s="272" t="s">
        <v>9198</v>
      </c>
      <c r="G1249" s="272" t="s">
        <v>9198</v>
      </c>
      <c r="H1249" s="265" t="s">
        <v>10933</v>
      </c>
      <c r="I1249" s="290" t="s">
        <v>10934</v>
      </c>
      <c r="J1249" s="265" t="s">
        <v>10655</v>
      </c>
      <c r="K1249" s="265" t="s">
        <v>10655</v>
      </c>
    </row>
    <row r="1250" spans="1:11" s="75" customFormat="1" ht="14.55" customHeight="1" x14ac:dyDescent="0.25">
      <c r="A1250" s="272" t="s">
        <v>8816</v>
      </c>
      <c r="B1250" s="272" t="s">
        <v>10591</v>
      </c>
      <c r="C1250" s="272" t="s">
        <v>10090</v>
      </c>
      <c r="D1250" s="259" t="s">
        <v>10091</v>
      </c>
      <c r="E1250" s="265" t="s">
        <v>10655</v>
      </c>
      <c r="F1250" s="272" t="s">
        <v>9198</v>
      </c>
      <c r="G1250" s="272" t="s">
        <v>9198</v>
      </c>
      <c r="H1250" s="265" t="s">
        <v>10941</v>
      </c>
      <c r="I1250" s="290" t="s">
        <v>10942</v>
      </c>
      <c r="J1250" s="265" t="s">
        <v>10655</v>
      </c>
      <c r="K1250" s="265" t="s">
        <v>10655</v>
      </c>
    </row>
    <row r="1251" spans="1:11" s="75" customFormat="1" ht="14.55" customHeight="1" x14ac:dyDescent="0.25">
      <c r="A1251" s="272" t="s">
        <v>8816</v>
      </c>
      <c r="B1251" s="272" t="s">
        <v>10591</v>
      </c>
      <c r="C1251" s="272" t="s">
        <v>10090</v>
      </c>
      <c r="D1251" s="259" t="s">
        <v>10091</v>
      </c>
      <c r="E1251" s="265" t="s">
        <v>10655</v>
      </c>
      <c r="F1251" s="272" t="s">
        <v>9198</v>
      </c>
      <c r="G1251" s="272" t="s">
        <v>9198</v>
      </c>
      <c r="H1251" s="265" t="s">
        <v>10943</v>
      </c>
      <c r="I1251" s="290" t="s">
        <v>10944</v>
      </c>
      <c r="J1251" s="265" t="s">
        <v>10655</v>
      </c>
      <c r="K1251" s="265" t="s">
        <v>10655</v>
      </c>
    </row>
    <row r="1252" spans="1:11" s="75" customFormat="1" ht="14.55" customHeight="1" x14ac:dyDescent="0.25">
      <c r="A1252" s="272" t="s">
        <v>8816</v>
      </c>
      <c r="B1252" s="272" t="s">
        <v>10591</v>
      </c>
      <c r="C1252" s="272" t="s">
        <v>10092</v>
      </c>
      <c r="D1252" s="259" t="s">
        <v>10093</v>
      </c>
      <c r="E1252" s="265" t="s">
        <v>10655</v>
      </c>
      <c r="F1252" s="272" t="s">
        <v>9198</v>
      </c>
      <c r="G1252" s="272" t="s">
        <v>9197</v>
      </c>
      <c r="H1252" s="265" t="s">
        <v>10941</v>
      </c>
      <c r="I1252" s="290" t="s">
        <v>10942</v>
      </c>
      <c r="J1252" s="265" t="s">
        <v>10655</v>
      </c>
      <c r="K1252" s="265" t="s">
        <v>10655</v>
      </c>
    </row>
    <row r="1253" spans="1:11" s="75" customFormat="1" ht="14.55" customHeight="1" x14ac:dyDescent="0.25">
      <c r="A1253" s="272" t="s">
        <v>8816</v>
      </c>
      <c r="B1253" s="272" t="s">
        <v>10591</v>
      </c>
      <c r="C1253" s="272" t="s">
        <v>10092</v>
      </c>
      <c r="D1253" s="259" t="s">
        <v>10093</v>
      </c>
      <c r="E1253" s="265" t="s">
        <v>10655</v>
      </c>
      <c r="F1253" s="272" t="s">
        <v>9198</v>
      </c>
      <c r="G1253" s="272" t="s">
        <v>9197</v>
      </c>
      <c r="H1253" s="265" t="s">
        <v>10943</v>
      </c>
      <c r="I1253" s="290" t="s">
        <v>10944</v>
      </c>
      <c r="J1253" s="265" t="s">
        <v>10655</v>
      </c>
      <c r="K1253" s="265" t="s">
        <v>10655</v>
      </c>
    </row>
    <row r="1254" spans="1:11" s="75" customFormat="1" ht="14.55" customHeight="1" x14ac:dyDescent="0.25">
      <c r="A1254" s="297" t="s">
        <v>8816</v>
      </c>
      <c r="B1254" s="296" t="s">
        <v>10591</v>
      </c>
      <c r="C1254" s="275">
        <v>140552</v>
      </c>
      <c r="D1254" s="276" t="s">
        <v>10095</v>
      </c>
      <c r="E1254" s="275" t="s">
        <v>10655</v>
      </c>
      <c r="F1254" s="296" t="s">
        <v>9198</v>
      </c>
      <c r="G1254" s="296" t="s">
        <v>9197</v>
      </c>
      <c r="H1254" s="296" t="s">
        <v>10941</v>
      </c>
      <c r="I1254" s="276" t="s">
        <v>10942</v>
      </c>
      <c r="J1254" s="275" t="s">
        <v>10655</v>
      </c>
      <c r="K1254" s="275" t="s">
        <v>10655</v>
      </c>
    </row>
    <row r="1255" spans="1:11" s="75" customFormat="1" ht="14.55" customHeight="1" x14ac:dyDescent="0.25">
      <c r="A1255" s="297" t="s">
        <v>8816</v>
      </c>
      <c r="B1255" s="296" t="s">
        <v>10591</v>
      </c>
      <c r="C1255" s="275">
        <v>140552</v>
      </c>
      <c r="D1255" s="276" t="s">
        <v>10095</v>
      </c>
      <c r="E1255" s="275" t="s">
        <v>10655</v>
      </c>
      <c r="F1255" s="296" t="s">
        <v>9198</v>
      </c>
      <c r="G1255" s="296" t="s">
        <v>9197</v>
      </c>
      <c r="H1255" s="296" t="s">
        <v>10943</v>
      </c>
      <c r="I1255" s="276" t="s">
        <v>10944</v>
      </c>
      <c r="J1255" s="275" t="s">
        <v>10655</v>
      </c>
      <c r="K1255" s="275" t="s">
        <v>10655</v>
      </c>
    </row>
    <row r="1256" spans="1:11" s="75" customFormat="1" ht="14.55" customHeight="1" x14ac:dyDescent="0.25">
      <c r="A1256" s="272" t="s">
        <v>8816</v>
      </c>
      <c r="B1256" s="272" t="s">
        <v>10591</v>
      </c>
      <c r="C1256" s="272" t="s">
        <v>10096</v>
      </c>
      <c r="D1256" s="259" t="s">
        <v>10097</v>
      </c>
      <c r="E1256" s="265" t="s">
        <v>10655</v>
      </c>
      <c r="F1256" s="272" t="s">
        <v>9198</v>
      </c>
      <c r="G1256" s="272" t="s">
        <v>9197</v>
      </c>
      <c r="H1256" s="265" t="s">
        <v>10949</v>
      </c>
      <c r="I1256" s="290" t="s">
        <v>10950</v>
      </c>
      <c r="J1256" s="265" t="s">
        <v>10655</v>
      </c>
      <c r="K1256" s="265" t="s">
        <v>10655</v>
      </c>
    </row>
    <row r="1257" spans="1:11" s="75" customFormat="1" ht="14.55" customHeight="1" x14ac:dyDescent="0.25">
      <c r="A1257" s="272" t="s">
        <v>8816</v>
      </c>
      <c r="B1257" s="272" t="s">
        <v>10591</v>
      </c>
      <c r="C1257" s="272" t="s">
        <v>10096</v>
      </c>
      <c r="D1257" s="259" t="s">
        <v>10097</v>
      </c>
      <c r="E1257" s="265" t="s">
        <v>10655</v>
      </c>
      <c r="F1257" s="272" t="s">
        <v>9198</v>
      </c>
      <c r="G1257" s="272" t="s">
        <v>9197</v>
      </c>
      <c r="H1257" s="265" t="s">
        <v>10939</v>
      </c>
      <c r="I1257" s="290" t="s">
        <v>10940</v>
      </c>
      <c r="J1257" s="265" t="s">
        <v>10655</v>
      </c>
      <c r="K1257" s="265" t="s">
        <v>10655</v>
      </c>
    </row>
    <row r="1258" spans="1:11" s="75" customFormat="1" ht="14.55" customHeight="1" x14ac:dyDescent="0.25">
      <c r="A1258" s="272" t="s">
        <v>8816</v>
      </c>
      <c r="B1258" s="272" t="s">
        <v>10591</v>
      </c>
      <c r="C1258" s="272" t="s">
        <v>10098</v>
      </c>
      <c r="D1258" s="259" t="s">
        <v>10099</v>
      </c>
      <c r="E1258" s="265" t="s">
        <v>10655</v>
      </c>
      <c r="F1258" s="272" t="s">
        <v>9198</v>
      </c>
      <c r="G1258" s="272" t="s">
        <v>9198</v>
      </c>
      <c r="H1258" s="265" t="s">
        <v>10939</v>
      </c>
      <c r="I1258" s="290" t="s">
        <v>10940</v>
      </c>
      <c r="J1258" s="265" t="s">
        <v>10655</v>
      </c>
      <c r="K1258" s="265" t="s">
        <v>10655</v>
      </c>
    </row>
    <row r="1259" spans="1:11" s="75" customFormat="1" ht="14.55" customHeight="1" x14ac:dyDescent="0.25">
      <c r="A1259" s="272" t="s">
        <v>8816</v>
      </c>
      <c r="B1259" s="272" t="s">
        <v>10591</v>
      </c>
      <c r="C1259" s="272" t="s">
        <v>10100</v>
      </c>
      <c r="D1259" s="259" t="s">
        <v>10101</v>
      </c>
      <c r="E1259" s="265" t="s">
        <v>10655</v>
      </c>
      <c r="F1259" s="272" t="s">
        <v>9198</v>
      </c>
      <c r="G1259" s="272" t="s">
        <v>9197</v>
      </c>
      <c r="H1259" s="265" t="s">
        <v>10906</v>
      </c>
      <c r="I1259" s="290" t="s">
        <v>10907</v>
      </c>
      <c r="J1259" s="265" t="s">
        <v>10655</v>
      </c>
      <c r="K1259" s="265" t="s">
        <v>10655</v>
      </c>
    </row>
    <row r="1260" spans="1:11" s="75" customFormat="1" ht="14.55" customHeight="1" x14ac:dyDescent="0.25">
      <c r="A1260" s="272" t="s">
        <v>8816</v>
      </c>
      <c r="B1260" s="272" t="s">
        <v>10591</v>
      </c>
      <c r="C1260" s="272" t="s">
        <v>10100</v>
      </c>
      <c r="D1260" s="259" t="s">
        <v>10101</v>
      </c>
      <c r="E1260" s="265" t="s">
        <v>10655</v>
      </c>
      <c r="F1260" s="272" t="s">
        <v>9198</v>
      </c>
      <c r="G1260" s="272" t="s">
        <v>9197</v>
      </c>
      <c r="H1260" s="265" t="s">
        <v>10933</v>
      </c>
      <c r="I1260" s="290" t="s">
        <v>10934</v>
      </c>
      <c r="J1260" s="265" t="s">
        <v>10655</v>
      </c>
      <c r="K1260" s="265" t="s">
        <v>10655</v>
      </c>
    </row>
    <row r="1261" spans="1:11" s="75" customFormat="1" ht="14.55" customHeight="1" x14ac:dyDescent="0.25">
      <c r="A1261" s="272" t="s">
        <v>8816</v>
      </c>
      <c r="B1261" s="272" t="s">
        <v>10591</v>
      </c>
      <c r="C1261" s="272" t="s">
        <v>10100</v>
      </c>
      <c r="D1261" s="259" t="s">
        <v>10101</v>
      </c>
      <c r="E1261" s="265" t="s">
        <v>10655</v>
      </c>
      <c r="F1261" s="272" t="s">
        <v>9198</v>
      </c>
      <c r="G1261" s="272" t="s">
        <v>9197</v>
      </c>
      <c r="H1261" s="265" t="s">
        <v>10908</v>
      </c>
      <c r="I1261" s="290" t="s">
        <v>10909</v>
      </c>
      <c r="J1261" s="265" t="s">
        <v>10655</v>
      </c>
      <c r="K1261" s="265" t="s">
        <v>10655</v>
      </c>
    </row>
    <row r="1262" spans="1:11" s="75" customFormat="1" ht="14.55" customHeight="1" x14ac:dyDescent="0.25">
      <c r="A1262" s="272" t="s">
        <v>8816</v>
      </c>
      <c r="B1262" s="272" t="s">
        <v>10591</v>
      </c>
      <c r="C1262" s="272" t="s">
        <v>10102</v>
      </c>
      <c r="D1262" s="259" t="s">
        <v>10103</v>
      </c>
      <c r="E1262" s="265" t="s">
        <v>10655</v>
      </c>
      <c r="F1262" s="272" t="s">
        <v>9198</v>
      </c>
      <c r="G1262" s="272" t="s">
        <v>9197</v>
      </c>
      <c r="H1262" s="265" t="s">
        <v>10906</v>
      </c>
      <c r="I1262" s="290" t="s">
        <v>10907</v>
      </c>
      <c r="J1262" s="265" t="s">
        <v>10655</v>
      </c>
      <c r="K1262" s="265" t="s">
        <v>10655</v>
      </c>
    </row>
    <row r="1263" spans="1:11" s="75" customFormat="1" ht="14.55" customHeight="1" x14ac:dyDescent="0.25">
      <c r="A1263" s="272" t="s">
        <v>8816</v>
      </c>
      <c r="B1263" s="272" t="s">
        <v>10591</v>
      </c>
      <c r="C1263" s="272" t="s">
        <v>10102</v>
      </c>
      <c r="D1263" s="259" t="s">
        <v>10103</v>
      </c>
      <c r="E1263" s="265" t="s">
        <v>10655</v>
      </c>
      <c r="F1263" s="272" t="s">
        <v>9198</v>
      </c>
      <c r="G1263" s="272" t="s">
        <v>9197</v>
      </c>
      <c r="H1263" s="265" t="s">
        <v>10941</v>
      </c>
      <c r="I1263" s="290" t="s">
        <v>10942</v>
      </c>
      <c r="J1263" s="265" t="s">
        <v>10655</v>
      </c>
      <c r="K1263" s="265" t="s">
        <v>10655</v>
      </c>
    </row>
    <row r="1264" spans="1:11" s="75" customFormat="1" ht="14.55" customHeight="1" x14ac:dyDescent="0.25">
      <c r="A1264" s="272" t="s">
        <v>8816</v>
      </c>
      <c r="B1264" s="272" t="s">
        <v>10591</v>
      </c>
      <c r="C1264" s="272" t="s">
        <v>10102</v>
      </c>
      <c r="D1264" s="259" t="s">
        <v>10103</v>
      </c>
      <c r="E1264" s="265" t="s">
        <v>10655</v>
      </c>
      <c r="F1264" s="272" t="s">
        <v>9198</v>
      </c>
      <c r="G1264" s="272" t="s">
        <v>9197</v>
      </c>
      <c r="H1264" s="265" t="s">
        <v>10943</v>
      </c>
      <c r="I1264" s="290" t="s">
        <v>10944</v>
      </c>
      <c r="J1264" s="265" t="s">
        <v>10655</v>
      </c>
      <c r="K1264" s="265" t="s">
        <v>10655</v>
      </c>
    </row>
    <row r="1265" spans="1:11" s="75" customFormat="1" ht="14.55" customHeight="1" x14ac:dyDescent="0.25">
      <c r="A1265" s="272" t="s">
        <v>8816</v>
      </c>
      <c r="B1265" s="272" t="s">
        <v>10591</v>
      </c>
      <c r="C1265" s="272" t="s">
        <v>10102</v>
      </c>
      <c r="D1265" s="259" t="s">
        <v>10103</v>
      </c>
      <c r="E1265" s="265" t="s">
        <v>10655</v>
      </c>
      <c r="F1265" s="272" t="s">
        <v>9198</v>
      </c>
      <c r="G1265" s="272" t="s">
        <v>9197</v>
      </c>
      <c r="H1265" s="265" t="s">
        <v>10908</v>
      </c>
      <c r="I1265" s="290" t="s">
        <v>10909</v>
      </c>
      <c r="J1265" s="265" t="s">
        <v>10655</v>
      </c>
      <c r="K1265" s="265" t="s">
        <v>10655</v>
      </c>
    </row>
    <row r="1266" spans="1:11" s="75" customFormat="1" ht="14.55" customHeight="1" x14ac:dyDescent="0.25">
      <c r="A1266" s="272" t="s">
        <v>8816</v>
      </c>
      <c r="B1266" s="272" t="s">
        <v>10591</v>
      </c>
      <c r="C1266" s="272" t="s">
        <v>10104</v>
      </c>
      <c r="D1266" s="259" t="s">
        <v>10105</v>
      </c>
      <c r="E1266" s="265" t="s">
        <v>10655</v>
      </c>
      <c r="F1266" s="272" t="s">
        <v>9198</v>
      </c>
      <c r="G1266" s="272" t="s">
        <v>9197</v>
      </c>
      <c r="H1266" s="265" t="s">
        <v>10906</v>
      </c>
      <c r="I1266" s="290" t="s">
        <v>10907</v>
      </c>
      <c r="J1266" s="265" t="s">
        <v>10655</v>
      </c>
      <c r="K1266" s="265" t="s">
        <v>10655</v>
      </c>
    </row>
    <row r="1267" spans="1:11" s="75" customFormat="1" ht="14.55" customHeight="1" x14ac:dyDescent="0.25">
      <c r="A1267" s="272" t="s">
        <v>8816</v>
      </c>
      <c r="B1267" s="272" t="s">
        <v>10591</v>
      </c>
      <c r="C1267" s="272" t="s">
        <v>10104</v>
      </c>
      <c r="D1267" s="259" t="s">
        <v>10105</v>
      </c>
      <c r="E1267" s="265" t="s">
        <v>10655</v>
      </c>
      <c r="F1267" s="272" t="s">
        <v>9198</v>
      </c>
      <c r="G1267" s="272" t="s">
        <v>9197</v>
      </c>
      <c r="H1267" s="265" t="s">
        <v>10937</v>
      </c>
      <c r="I1267" s="290" t="s">
        <v>10938</v>
      </c>
      <c r="J1267" s="265" t="s">
        <v>10655</v>
      </c>
      <c r="K1267" s="265" t="s">
        <v>10655</v>
      </c>
    </row>
    <row r="1268" spans="1:11" s="75" customFormat="1" ht="14.55" customHeight="1" x14ac:dyDescent="0.25">
      <c r="A1268" s="272" t="s">
        <v>8816</v>
      </c>
      <c r="B1268" s="272" t="s">
        <v>10591</v>
      </c>
      <c r="C1268" s="272" t="s">
        <v>10104</v>
      </c>
      <c r="D1268" s="259" t="s">
        <v>10105</v>
      </c>
      <c r="E1268" s="265" t="s">
        <v>10655</v>
      </c>
      <c r="F1268" s="272" t="s">
        <v>9198</v>
      </c>
      <c r="G1268" s="272" t="s">
        <v>9197</v>
      </c>
      <c r="H1268" s="265" t="s">
        <v>10908</v>
      </c>
      <c r="I1268" s="290" t="s">
        <v>10909</v>
      </c>
      <c r="J1268" s="265" t="s">
        <v>10655</v>
      </c>
      <c r="K1268" s="265" t="s">
        <v>10655</v>
      </c>
    </row>
    <row r="1269" spans="1:11" s="75" customFormat="1" ht="14.55" customHeight="1" x14ac:dyDescent="0.25">
      <c r="A1269" s="272" t="s">
        <v>8816</v>
      </c>
      <c r="B1269" s="272" t="s">
        <v>10591</v>
      </c>
      <c r="C1269" s="272" t="s">
        <v>10106</v>
      </c>
      <c r="D1269" s="259" t="s">
        <v>10107</v>
      </c>
      <c r="E1269" s="265" t="s">
        <v>10655</v>
      </c>
      <c r="F1269" s="272" t="s">
        <v>9198</v>
      </c>
      <c r="G1269" s="272" t="s">
        <v>9197</v>
      </c>
      <c r="H1269" s="265" t="s">
        <v>10949</v>
      </c>
      <c r="I1269" s="290" t="s">
        <v>10950</v>
      </c>
      <c r="J1269" s="265" t="s">
        <v>10655</v>
      </c>
      <c r="K1269" s="265" t="s">
        <v>10655</v>
      </c>
    </row>
    <row r="1270" spans="1:11" s="75" customFormat="1" ht="14.55" customHeight="1" x14ac:dyDescent="0.25">
      <c r="A1270" s="272" t="s">
        <v>8816</v>
      </c>
      <c r="B1270" s="272" t="s">
        <v>10591</v>
      </c>
      <c r="C1270" s="272" t="s">
        <v>10106</v>
      </c>
      <c r="D1270" s="259" t="s">
        <v>10107</v>
      </c>
      <c r="E1270" s="265" t="s">
        <v>10655</v>
      </c>
      <c r="F1270" s="272" t="s">
        <v>9198</v>
      </c>
      <c r="G1270" s="272" t="s">
        <v>9197</v>
      </c>
      <c r="H1270" s="265" t="s">
        <v>10906</v>
      </c>
      <c r="I1270" s="290" t="s">
        <v>10907</v>
      </c>
      <c r="J1270" s="265" t="s">
        <v>10655</v>
      </c>
      <c r="K1270" s="265" t="s">
        <v>10655</v>
      </c>
    </row>
    <row r="1271" spans="1:11" s="75" customFormat="1" ht="14.55" customHeight="1" x14ac:dyDescent="0.25">
      <c r="A1271" s="272" t="s">
        <v>8816</v>
      </c>
      <c r="B1271" s="272" t="s">
        <v>10591</v>
      </c>
      <c r="C1271" s="272" t="s">
        <v>10106</v>
      </c>
      <c r="D1271" s="259" t="s">
        <v>10107</v>
      </c>
      <c r="E1271" s="265" t="s">
        <v>10655</v>
      </c>
      <c r="F1271" s="272" t="s">
        <v>9198</v>
      </c>
      <c r="G1271" s="272" t="s">
        <v>9197</v>
      </c>
      <c r="H1271" s="265" t="s">
        <v>10939</v>
      </c>
      <c r="I1271" s="290" t="s">
        <v>10940</v>
      </c>
      <c r="J1271" s="265" t="s">
        <v>10655</v>
      </c>
      <c r="K1271" s="265" t="s">
        <v>10655</v>
      </c>
    </row>
    <row r="1272" spans="1:11" s="75" customFormat="1" ht="14.55" customHeight="1" x14ac:dyDescent="0.25">
      <c r="A1272" s="272" t="s">
        <v>8816</v>
      </c>
      <c r="B1272" s="272" t="s">
        <v>10591</v>
      </c>
      <c r="C1272" s="272" t="s">
        <v>10106</v>
      </c>
      <c r="D1272" s="259" t="s">
        <v>10107</v>
      </c>
      <c r="E1272" s="265" t="s">
        <v>10655</v>
      </c>
      <c r="F1272" s="272" t="s">
        <v>9198</v>
      </c>
      <c r="G1272" s="272" t="s">
        <v>9197</v>
      </c>
      <c r="H1272" s="265" t="s">
        <v>10908</v>
      </c>
      <c r="I1272" s="290" t="s">
        <v>10909</v>
      </c>
      <c r="J1272" s="265" t="s">
        <v>10655</v>
      </c>
      <c r="K1272" s="265" t="s">
        <v>10655</v>
      </c>
    </row>
    <row r="1273" spans="1:11" s="75" customFormat="1" ht="14.55" customHeight="1" x14ac:dyDescent="0.25">
      <c r="A1273" s="272" t="s">
        <v>8816</v>
      </c>
      <c r="B1273" s="272" t="s">
        <v>10591</v>
      </c>
      <c r="C1273" s="272" t="s">
        <v>10108</v>
      </c>
      <c r="D1273" s="259" t="s">
        <v>10109</v>
      </c>
      <c r="E1273" s="265" t="s">
        <v>10655</v>
      </c>
      <c r="F1273" s="272" t="s">
        <v>9198</v>
      </c>
      <c r="G1273" s="272" t="s">
        <v>9197</v>
      </c>
      <c r="H1273" s="265" t="s">
        <v>10937</v>
      </c>
      <c r="I1273" s="290" t="s">
        <v>10938</v>
      </c>
      <c r="J1273" s="265" t="s">
        <v>10655</v>
      </c>
      <c r="K1273" s="265" t="s">
        <v>10655</v>
      </c>
    </row>
    <row r="1274" spans="1:11" s="75" customFormat="1" ht="14.55" customHeight="1" x14ac:dyDescent="0.25">
      <c r="A1274" s="272" t="s">
        <v>8816</v>
      </c>
      <c r="B1274" s="272" t="s">
        <v>10591</v>
      </c>
      <c r="C1274" s="272" t="s">
        <v>10110</v>
      </c>
      <c r="D1274" s="259" t="s">
        <v>10111</v>
      </c>
      <c r="E1274" s="265" t="s">
        <v>10655</v>
      </c>
      <c r="F1274" s="272" t="s">
        <v>9198</v>
      </c>
      <c r="G1274" s="272" t="s">
        <v>9197</v>
      </c>
      <c r="H1274" s="265" t="s">
        <v>10945</v>
      </c>
      <c r="I1274" s="290" t="s">
        <v>10946</v>
      </c>
      <c r="J1274" s="265" t="s">
        <v>10655</v>
      </c>
      <c r="K1274" s="265" t="s">
        <v>10655</v>
      </c>
    </row>
    <row r="1275" spans="1:11" s="75" customFormat="1" ht="14.55" customHeight="1" x14ac:dyDescent="0.25">
      <c r="A1275" s="272" t="s">
        <v>8816</v>
      </c>
      <c r="B1275" s="272" t="s">
        <v>10591</v>
      </c>
      <c r="C1275" s="272" t="s">
        <v>10112</v>
      </c>
      <c r="D1275" s="259" t="s">
        <v>10113</v>
      </c>
      <c r="E1275" s="265" t="s">
        <v>10655</v>
      </c>
      <c r="F1275" s="272" t="s">
        <v>9198</v>
      </c>
      <c r="G1275" s="272" t="s">
        <v>9198</v>
      </c>
      <c r="H1275" s="265" t="s">
        <v>10945</v>
      </c>
      <c r="I1275" s="290" t="s">
        <v>10946</v>
      </c>
      <c r="J1275" s="265" t="s">
        <v>10655</v>
      </c>
      <c r="K1275" s="265" t="s">
        <v>10655</v>
      </c>
    </row>
    <row r="1276" spans="1:11" s="75" customFormat="1" ht="14.55" customHeight="1" x14ac:dyDescent="0.25">
      <c r="A1276" s="272" t="s">
        <v>8816</v>
      </c>
      <c r="B1276" s="272" t="s">
        <v>10591</v>
      </c>
      <c r="C1276" s="272" t="s">
        <v>10114</v>
      </c>
      <c r="D1276" s="259" t="s">
        <v>10115</v>
      </c>
      <c r="E1276" s="265" t="s">
        <v>10655</v>
      </c>
      <c r="F1276" s="272" t="s">
        <v>9198</v>
      </c>
      <c r="G1276" s="272" t="s">
        <v>9198</v>
      </c>
      <c r="H1276" s="265" t="s">
        <v>10937</v>
      </c>
      <c r="I1276" s="290" t="s">
        <v>10938</v>
      </c>
      <c r="J1276" s="265" t="s">
        <v>10655</v>
      </c>
      <c r="K1276" s="265" t="s">
        <v>10655</v>
      </c>
    </row>
    <row r="1277" spans="1:11" s="75" customFormat="1" ht="14.55" customHeight="1" x14ac:dyDescent="0.25">
      <c r="A1277" s="272" t="s">
        <v>8816</v>
      </c>
      <c r="B1277" s="272" t="s">
        <v>10591</v>
      </c>
      <c r="C1277" s="272" t="s">
        <v>10114</v>
      </c>
      <c r="D1277" s="259" t="s">
        <v>10115</v>
      </c>
      <c r="E1277" s="265" t="s">
        <v>10655</v>
      </c>
      <c r="F1277" s="272" t="s">
        <v>9198</v>
      </c>
      <c r="G1277" s="272" t="s">
        <v>9198</v>
      </c>
      <c r="H1277" s="265" t="s">
        <v>10943</v>
      </c>
      <c r="I1277" s="290" t="s">
        <v>10944</v>
      </c>
      <c r="J1277" s="265" t="s">
        <v>10655</v>
      </c>
      <c r="K1277" s="265" t="s">
        <v>10655</v>
      </c>
    </row>
    <row r="1278" spans="1:11" s="75" customFormat="1" ht="14.55" customHeight="1" x14ac:dyDescent="0.25">
      <c r="A1278" s="272" t="s">
        <v>8816</v>
      </c>
      <c r="B1278" s="272" t="s">
        <v>10591</v>
      </c>
      <c r="C1278" s="272" t="s">
        <v>10114</v>
      </c>
      <c r="D1278" s="259" t="s">
        <v>10115</v>
      </c>
      <c r="E1278" s="265" t="s">
        <v>10655</v>
      </c>
      <c r="F1278" s="272" t="s">
        <v>9198</v>
      </c>
      <c r="G1278" s="272" t="s">
        <v>9198</v>
      </c>
      <c r="H1278" s="265" t="s">
        <v>10947</v>
      </c>
      <c r="I1278" s="290" t="s">
        <v>10948</v>
      </c>
      <c r="J1278" s="265" t="s">
        <v>10655</v>
      </c>
      <c r="K1278" s="265" t="s">
        <v>10655</v>
      </c>
    </row>
    <row r="1279" spans="1:11" s="75" customFormat="1" ht="14.55" customHeight="1" x14ac:dyDescent="0.25">
      <c r="A1279" s="272" t="s">
        <v>8816</v>
      </c>
      <c r="B1279" s="272" t="s">
        <v>10591</v>
      </c>
      <c r="C1279" s="272" t="s">
        <v>10116</v>
      </c>
      <c r="D1279" s="259" t="s">
        <v>10117</v>
      </c>
      <c r="E1279" s="265" t="s">
        <v>10655</v>
      </c>
      <c r="F1279" s="272" t="s">
        <v>9198</v>
      </c>
      <c r="G1279" s="272" t="s">
        <v>9197</v>
      </c>
      <c r="H1279" s="265" t="s">
        <v>10949</v>
      </c>
      <c r="I1279" s="290" t="s">
        <v>10950</v>
      </c>
      <c r="J1279" s="265" t="s">
        <v>10655</v>
      </c>
      <c r="K1279" s="265" t="s">
        <v>10655</v>
      </c>
    </row>
    <row r="1280" spans="1:11" s="75" customFormat="1" ht="14.55" customHeight="1" x14ac:dyDescent="0.25">
      <c r="A1280" s="272" t="s">
        <v>8816</v>
      </c>
      <c r="B1280" s="272" t="s">
        <v>10591</v>
      </c>
      <c r="C1280" s="272" t="s">
        <v>10116</v>
      </c>
      <c r="D1280" s="259" t="s">
        <v>10117</v>
      </c>
      <c r="E1280" s="265" t="s">
        <v>10655</v>
      </c>
      <c r="F1280" s="272" t="s">
        <v>9198</v>
      </c>
      <c r="G1280" s="272" t="s">
        <v>9197</v>
      </c>
      <c r="H1280" s="265" t="s">
        <v>10931</v>
      </c>
      <c r="I1280" s="290" t="s">
        <v>10932</v>
      </c>
      <c r="J1280" s="265" t="s">
        <v>10655</v>
      </c>
      <c r="K1280" s="265" t="s">
        <v>10655</v>
      </c>
    </row>
    <row r="1281" spans="1:11" s="75" customFormat="1" ht="14.55" customHeight="1" x14ac:dyDescent="0.25">
      <c r="A1281" s="272" t="s">
        <v>8816</v>
      </c>
      <c r="B1281" s="272" t="s">
        <v>10591</v>
      </c>
      <c r="C1281" s="272" t="s">
        <v>10116</v>
      </c>
      <c r="D1281" s="259" t="s">
        <v>10117</v>
      </c>
      <c r="E1281" s="265" t="s">
        <v>10655</v>
      </c>
      <c r="F1281" s="272" t="s">
        <v>9198</v>
      </c>
      <c r="G1281" s="272" t="s">
        <v>9197</v>
      </c>
      <c r="H1281" s="265" t="s">
        <v>10933</v>
      </c>
      <c r="I1281" s="290" t="s">
        <v>10934</v>
      </c>
      <c r="J1281" s="265" t="s">
        <v>10655</v>
      </c>
      <c r="K1281" s="265" t="s">
        <v>10655</v>
      </c>
    </row>
    <row r="1282" spans="1:11" s="75" customFormat="1" ht="14.55" customHeight="1" x14ac:dyDescent="0.25">
      <c r="A1282" s="272" t="s">
        <v>8816</v>
      </c>
      <c r="B1282" s="272" t="s">
        <v>10591</v>
      </c>
      <c r="C1282" s="272" t="s">
        <v>10116</v>
      </c>
      <c r="D1282" s="259" t="s">
        <v>10117</v>
      </c>
      <c r="E1282" s="265" t="s">
        <v>10655</v>
      </c>
      <c r="F1282" s="272" t="s">
        <v>9198</v>
      </c>
      <c r="G1282" s="272" t="s">
        <v>9197</v>
      </c>
      <c r="H1282" s="265" t="s">
        <v>10935</v>
      </c>
      <c r="I1282" s="290" t="s">
        <v>10936</v>
      </c>
      <c r="J1282" s="265" t="s">
        <v>10655</v>
      </c>
      <c r="K1282" s="265" t="s">
        <v>10655</v>
      </c>
    </row>
    <row r="1283" spans="1:11" s="75" customFormat="1" ht="14.55" customHeight="1" x14ac:dyDescent="0.25">
      <c r="A1283" s="272" t="s">
        <v>8816</v>
      </c>
      <c r="B1283" s="272" t="s">
        <v>10591</v>
      </c>
      <c r="C1283" s="272" t="s">
        <v>10116</v>
      </c>
      <c r="D1283" s="259" t="s">
        <v>10117</v>
      </c>
      <c r="E1283" s="265" t="s">
        <v>10655</v>
      </c>
      <c r="F1283" s="272" t="s">
        <v>9198</v>
      </c>
      <c r="G1283" s="272" t="s">
        <v>9197</v>
      </c>
      <c r="H1283" s="265" t="s">
        <v>10937</v>
      </c>
      <c r="I1283" s="290" t="s">
        <v>10938</v>
      </c>
      <c r="J1283" s="265" t="s">
        <v>10655</v>
      </c>
      <c r="K1283" s="265" t="s">
        <v>10655</v>
      </c>
    </row>
    <row r="1284" spans="1:11" s="75" customFormat="1" ht="14.55" customHeight="1" x14ac:dyDescent="0.25">
      <c r="A1284" s="272" t="s">
        <v>8816</v>
      </c>
      <c r="B1284" s="272" t="s">
        <v>10591</v>
      </c>
      <c r="C1284" s="272" t="s">
        <v>10116</v>
      </c>
      <c r="D1284" s="259" t="s">
        <v>10117</v>
      </c>
      <c r="E1284" s="265" t="s">
        <v>10655</v>
      </c>
      <c r="F1284" s="272" t="s">
        <v>9198</v>
      </c>
      <c r="G1284" s="272" t="s">
        <v>9197</v>
      </c>
      <c r="H1284" s="265" t="s">
        <v>10939</v>
      </c>
      <c r="I1284" s="290" t="s">
        <v>10940</v>
      </c>
      <c r="J1284" s="265" t="s">
        <v>10655</v>
      </c>
      <c r="K1284" s="265" t="s">
        <v>10655</v>
      </c>
    </row>
    <row r="1285" spans="1:11" s="75" customFormat="1" ht="14.55" customHeight="1" x14ac:dyDescent="0.25">
      <c r="A1285" s="272" t="s">
        <v>8816</v>
      </c>
      <c r="B1285" s="272" t="s">
        <v>10591</v>
      </c>
      <c r="C1285" s="272" t="s">
        <v>10116</v>
      </c>
      <c r="D1285" s="259" t="s">
        <v>10117</v>
      </c>
      <c r="E1285" s="265" t="s">
        <v>10655</v>
      </c>
      <c r="F1285" s="272" t="s">
        <v>9198</v>
      </c>
      <c r="G1285" s="272" t="s">
        <v>9197</v>
      </c>
      <c r="H1285" s="265" t="s">
        <v>10941</v>
      </c>
      <c r="I1285" s="290" t="s">
        <v>10942</v>
      </c>
      <c r="J1285" s="265" t="s">
        <v>10655</v>
      </c>
      <c r="K1285" s="265" t="s">
        <v>10655</v>
      </c>
    </row>
    <row r="1286" spans="1:11" s="75" customFormat="1" ht="14.55" customHeight="1" x14ac:dyDescent="0.25">
      <c r="A1286" s="272" t="s">
        <v>8816</v>
      </c>
      <c r="B1286" s="272" t="s">
        <v>10591</v>
      </c>
      <c r="C1286" s="272" t="s">
        <v>10116</v>
      </c>
      <c r="D1286" s="259" t="s">
        <v>10117</v>
      </c>
      <c r="E1286" s="265" t="s">
        <v>10655</v>
      </c>
      <c r="F1286" s="272" t="s">
        <v>9198</v>
      </c>
      <c r="G1286" s="272" t="s">
        <v>9197</v>
      </c>
      <c r="H1286" s="265" t="s">
        <v>10943</v>
      </c>
      <c r="I1286" s="290" t="s">
        <v>10944</v>
      </c>
      <c r="J1286" s="265" t="s">
        <v>10655</v>
      </c>
      <c r="K1286" s="265" t="s">
        <v>10655</v>
      </c>
    </row>
    <row r="1287" spans="1:11" s="75" customFormat="1" ht="14.55" customHeight="1" x14ac:dyDescent="0.25">
      <c r="A1287" s="272" t="s">
        <v>8816</v>
      </c>
      <c r="B1287" s="272" t="s">
        <v>10591</v>
      </c>
      <c r="C1287" s="272" t="s">
        <v>10116</v>
      </c>
      <c r="D1287" s="259" t="s">
        <v>10117</v>
      </c>
      <c r="E1287" s="265" t="s">
        <v>10655</v>
      </c>
      <c r="F1287" s="272" t="s">
        <v>9198</v>
      </c>
      <c r="G1287" s="272" t="s">
        <v>9197</v>
      </c>
      <c r="H1287" s="265" t="s">
        <v>10945</v>
      </c>
      <c r="I1287" s="290" t="s">
        <v>10946</v>
      </c>
      <c r="J1287" s="265" t="s">
        <v>10655</v>
      </c>
      <c r="K1287" s="265" t="s">
        <v>10655</v>
      </c>
    </row>
    <row r="1288" spans="1:11" s="75" customFormat="1" ht="14.55" customHeight="1" x14ac:dyDescent="0.25">
      <c r="A1288" s="272" t="s">
        <v>8816</v>
      </c>
      <c r="B1288" s="272" t="s">
        <v>10591</v>
      </c>
      <c r="C1288" s="272" t="s">
        <v>10116</v>
      </c>
      <c r="D1288" s="259" t="s">
        <v>10117</v>
      </c>
      <c r="E1288" s="265" t="s">
        <v>10655</v>
      </c>
      <c r="F1288" s="272" t="s">
        <v>9198</v>
      </c>
      <c r="G1288" s="272" t="s">
        <v>9197</v>
      </c>
      <c r="H1288" s="265" t="s">
        <v>10947</v>
      </c>
      <c r="I1288" s="290" t="s">
        <v>10948</v>
      </c>
      <c r="J1288" s="265" t="s">
        <v>10655</v>
      </c>
      <c r="K1288" s="265" t="s">
        <v>10655</v>
      </c>
    </row>
    <row r="1289" spans="1:11" s="75" customFormat="1" ht="14.55" customHeight="1" x14ac:dyDescent="0.25">
      <c r="A1289" s="272" t="s">
        <v>8816</v>
      </c>
      <c r="B1289" s="272" t="s">
        <v>10591</v>
      </c>
      <c r="C1289" s="272" t="s">
        <v>10118</v>
      </c>
      <c r="D1289" s="259" t="s">
        <v>10119</v>
      </c>
      <c r="E1289" s="265" t="s">
        <v>10655</v>
      </c>
      <c r="F1289" s="272" t="s">
        <v>9198</v>
      </c>
      <c r="G1289" s="272" t="s">
        <v>9197</v>
      </c>
      <c r="H1289" s="265" t="s">
        <v>10949</v>
      </c>
      <c r="I1289" s="290" t="s">
        <v>10950</v>
      </c>
      <c r="J1289" s="265" t="s">
        <v>10655</v>
      </c>
      <c r="K1289" s="265" t="s">
        <v>10655</v>
      </c>
    </row>
    <row r="1290" spans="1:11" s="75" customFormat="1" ht="14.55" customHeight="1" x14ac:dyDescent="0.25">
      <c r="A1290" s="272" t="s">
        <v>8816</v>
      </c>
      <c r="B1290" s="272" t="s">
        <v>10591</v>
      </c>
      <c r="C1290" s="272" t="s">
        <v>10118</v>
      </c>
      <c r="D1290" s="259" t="s">
        <v>10119</v>
      </c>
      <c r="E1290" s="265" t="s">
        <v>10655</v>
      </c>
      <c r="F1290" s="272" t="s">
        <v>9198</v>
      </c>
      <c r="G1290" s="272" t="s">
        <v>9197</v>
      </c>
      <c r="H1290" s="265" t="s">
        <v>10931</v>
      </c>
      <c r="I1290" s="290" t="s">
        <v>10932</v>
      </c>
      <c r="J1290" s="265" t="s">
        <v>10655</v>
      </c>
      <c r="K1290" s="265" t="s">
        <v>10655</v>
      </c>
    </row>
    <row r="1291" spans="1:11" s="75" customFormat="1" ht="14.55" customHeight="1" x14ac:dyDescent="0.25">
      <c r="A1291" s="272" t="s">
        <v>8816</v>
      </c>
      <c r="B1291" s="272" t="s">
        <v>10591</v>
      </c>
      <c r="C1291" s="272" t="s">
        <v>10118</v>
      </c>
      <c r="D1291" s="259" t="s">
        <v>10119</v>
      </c>
      <c r="E1291" s="265" t="s">
        <v>10655</v>
      </c>
      <c r="F1291" s="272" t="s">
        <v>9198</v>
      </c>
      <c r="G1291" s="272" t="s">
        <v>9197</v>
      </c>
      <c r="H1291" s="265" t="s">
        <v>10933</v>
      </c>
      <c r="I1291" s="290" t="s">
        <v>10934</v>
      </c>
      <c r="J1291" s="265" t="s">
        <v>10655</v>
      </c>
      <c r="K1291" s="265" t="s">
        <v>10655</v>
      </c>
    </row>
    <row r="1292" spans="1:11" s="75" customFormat="1" ht="14.55" customHeight="1" x14ac:dyDescent="0.25">
      <c r="A1292" s="272" t="s">
        <v>8816</v>
      </c>
      <c r="B1292" s="272" t="s">
        <v>10591</v>
      </c>
      <c r="C1292" s="272" t="s">
        <v>10118</v>
      </c>
      <c r="D1292" s="259" t="s">
        <v>10119</v>
      </c>
      <c r="E1292" s="265" t="s">
        <v>10655</v>
      </c>
      <c r="F1292" s="272" t="s">
        <v>9198</v>
      </c>
      <c r="G1292" s="272" t="s">
        <v>9197</v>
      </c>
      <c r="H1292" s="265" t="s">
        <v>10935</v>
      </c>
      <c r="I1292" s="290" t="s">
        <v>10936</v>
      </c>
      <c r="J1292" s="265" t="s">
        <v>10655</v>
      </c>
      <c r="K1292" s="265" t="s">
        <v>10655</v>
      </c>
    </row>
    <row r="1293" spans="1:11" s="75" customFormat="1" ht="14.55" customHeight="1" x14ac:dyDescent="0.25">
      <c r="A1293" s="272" t="s">
        <v>8816</v>
      </c>
      <c r="B1293" s="272" t="s">
        <v>10591</v>
      </c>
      <c r="C1293" s="272" t="s">
        <v>10118</v>
      </c>
      <c r="D1293" s="259" t="s">
        <v>10119</v>
      </c>
      <c r="E1293" s="265" t="s">
        <v>10655</v>
      </c>
      <c r="F1293" s="272" t="s">
        <v>9198</v>
      </c>
      <c r="G1293" s="272" t="s">
        <v>9197</v>
      </c>
      <c r="H1293" s="265" t="s">
        <v>10937</v>
      </c>
      <c r="I1293" s="290" t="s">
        <v>10938</v>
      </c>
      <c r="J1293" s="265" t="s">
        <v>10655</v>
      </c>
      <c r="K1293" s="265" t="s">
        <v>10655</v>
      </c>
    </row>
    <row r="1294" spans="1:11" s="75" customFormat="1" ht="14.55" customHeight="1" x14ac:dyDescent="0.25">
      <c r="A1294" s="272" t="s">
        <v>8816</v>
      </c>
      <c r="B1294" s="272" t="s">
        <v>10591</v>
      </c>
      <c r="C1294" s="272" t="s">
        <v>10118</v>
      </c>
      <c r="D1294" s="259" t="s">
        <v>10119</v>
      </c>
      <c r="E1294" s="265" t="s">
        <v>10655</v>
      </c>
      <c r="F1294" s="272" t="s">
        <v>9198</v>
      </c>
      <c r="G1294" s="272" t="s">
        <v>9197</v>
      </c>
      <c r="H1294" s="265" t="s">
        <v>10939</v>
      </c>
      <c r="I1294" s="290" t="s">
        <v>10940</v>
      </c>
      <c r="J1294" s="265" t="s">
        <v>10655</v>
      </c>
      <c r="K1294" s="265" t="s">
        <v>10655</v>
      </c>
    </row>
    <row r="1295" spans="1:11" s="75" customFormat="1" ht="14.55" customHeight="1" x14ac:dyDescent="0.25">
      <c r="A1295" s="272" t="s">
        <v>8816</v>
      </c>
      <c r="B1295" s="272" t="s">
        <v>10591</v>
      </c>
      <c r="C1295" s="272" t="s">
        <v>10118</v>
      </c>
      <c r="D1295" s="259" t="s">
        <v>10119</v>
      </c>
      <c r="E1295" s="265" t="s">
        <v>10655</v>
      </c>
      <c r="F1295" s="272" t="s">
        <v>9198</v>
      </c>
      <c r="G1295" s="272" t="s">
        <v>9197</v>
      </c>
      <c r="H1295" s="265" t="s">
        <v>10941</v>
      </c>
      <c r="I1295" s="290" t="s">
        <v>10942</v>
      </c>
      <c r="J1295" s="265" t="s">
        <v>10655</v>
      </c>
      <c r="K1295" s="265" t="s">
        <v>10655</v>
      </c>
    </row>
    <row r="1296" spans="1:11" s="75" customFormat="1" ht="14.55" customHeight="1" x14ac:dyDescent="0.25">
      <c r="A1296" s="272" t="s">
        <v>8816</v>
      </c>
      <c r="B1296" s="272" t="s">
        <v>10591</v>
      </c>
      <c r="C1296" s="272" t="s">
        <v>10118</v>
      </c>
      <c r="D1296" s="259" t="s">
        <v>10119</v>
      </c>
      <c r="E1296" s="265" t="s">
        <v>10655</v>
      </c>
      <c r="F1296" s="272" t="s">
        <v>9198</v>
      </c>
      <c r="G1296" s="272" t="s">
        <v>9197</v>
      </c>
      <c r="H1296" s="265" t="s">
        <v>10943</v>
      </c>
      <c r="I1296" s="290" t="s">
        <v>10944</v>
      </c>
      <c r="J1296" s="265" t="s">
        <v>10655</v>
      </c>
      <c r="K1296" s="265" t="s">
        <v>10655</v>
      </c>
    </row>
    <row r="1297" spans="1:11" s="75" customFormat="1" ht="14.55" customHeight="1" x14ac:dyDescent="0.25">
      <c r="A1297" s="272" t="s">
        <v>8816</v>
      </c>
      <c r="B1297" s="272" t="s">
        <v>10591</v>
      </c>
      <c r="C1297" s="272" t="s">
        <v>10118</v>
      </c>
      <c r="D1297" s="259" t="s">
        <v>10119</v>
      </c>
      <c r="E1297" s="265" t="s">
        <v>10655</v>
      </c>
      <c r="F1297" s="272" t="s">
        <v>9198</v>
      </c>
      <c r="G1297" s="272" t="s">
        <v>9197</v>
      </c>
      <c r="H1297" s="265" t="s">
        <v>10945</v>
      </c>
      <c r="I1297" s="290" t="s">
        <v>10946</v>
      </c>
      <c r="J1297" s="265" t="s">
        <v>10655</v>
      </c>
      <c r="K1297" s="265" t="s">
        <v>10655</v>
      </c>
    </row>
    <row r="1298" spans="1:11" s="75" customFormat="1" ht="14.55" customHeight="1" x14ac:dyDescent="0.25">
      <c r="A1298" s="272" t="s">
        <v>8816</v>
      </c>
      <c r="B1298" s="272" t="s">
        <v>10591</v>
      </c>
      <c r="C1298" s="272" t="s">
        <v>10120</v>
      </c>
      <c r="D1298" s="259" t="s">
        <v>10121</v>
      </c>
      <c r="E1298" s="265" t="s">
        <v>10655</v>
      </c>
      <c r="F1298" s="272" t="s">
        <v>9198</v>
      </c>
      <c r="G1298" s="272" t="s">
        <v>9197</v>
      </c>
      <c r="H1298" s="265" t="s">
        <v>10906</v>
      </c>
      <c r="I1298" s="290" t="s">
        <v>10907</v>
      </c>
      <c r="J1298" s="265" t="s">
        <v>10655</v>
      </c>
      <c r="K1298" s="265" t="s">
        <v>10655</v>
      </c>
    </row>
    <row r="1299" spans="1:11" s="75" customFormat="1" ht="14.55" customHeight="1" x14ac:dyDescent="0.25">
      <c r="A1299" s="272" t="s">
        <v>8816</v>
      </c>
      <c r="B1299" s="272" t="s">
        <v>10591</v>
      </c>
      <c r="C1299" s="272" t="s">
        <v>10120</v>
      </c>
      <c r="D1299" s="259" t="s">
        <v>10121</v>
      </c>
      <c r="E1299" s="265" t="s">
        <v>10655</v>
      </c>
      <c r="F1299" s="272" t="s">
        <v>9198</v>
      </c>
      <c r="G1299" s="272" t="s">
        <v>9197</v>
      </c>
      <c r="H1299" s="265" t="s">
        <v>10945</v>
      </c>
      <c r="I1299" s="290" t="s">
        <v>10946</v>
      </c>
      <c r="J1299" s="265" t="s">
        <v>10655</v>
      </c>
      <c r="K1299" s="265" t="s">
        <v>10655</v>
      </c>
    </row>
    <row r="1300" spans="1:11" s="75" customFormat="1" ht="14.55" customHeight="1" x14ac:dyDescent="0.25">
      <c r="A1300" s="272" t="s">
        <v>8816</v>
      </c>
      <c r="B1300" s="272" t="s">
        <v>10591</v>
      </c>
      <c r="C1300" s="272" t="s">
        <v>10120</v>
      </c>
      <c r="D1300" s="259" t="s">
        <v>10121</v>
      </c>
      <c r="E1300" s="265" t="s">
        <v>10655</v>
      </c>
      <c r="F1300" s="272" t="s">
        <v>9198</v>
      </c>
      <c r="G1300" s="272" t="s">
        <v>9197</v>
      </c>
      <c r="H1300" s="265" t="s">
        <v>10908</v>
      </c>
      <c r="I1300" s="290" t="s">
        <v>10909</v>
      </c>
      <c r="J1300" s="265" t="s">
        <v>10655</v>
      </c>
      <c r="K1300" s="265" t="s">
        <v>10655</v>
      </c>
    </row>
    <row r="1301" spans="1:11" s="75" customFormat="1" ht="14.55" customHeight="1" x14ac:dyDescent="0.25">
      <c r="A1301" s="272" t="s">
        <v>8816</v>
      </c>
      <c r="B1301" s="272" t="s">
        <v>10591</v>
      </c>
      <c r="C1301" s="272" t="s">
        <v>10122</v>
      </c>
      <c r="D1301" s="259" t="s">
        <v>10123</v>
      </c>
      <c r="E1301" s="265" t="s">
        <v>10655</v>
      </c>
      <c r="F1301" s="272" t="s">
        <v>9198</v>
      </c>
      <c r="G1301" s="272" t="s">
        <v>9197</v>
      </c>
      <c r="H1301" s="265" t="s">
        <v>10937</v>
      </c>
      <c r="I1301" s="290" t="s">
        <v>10938</v>
      </c>
      <c r="J1301" s="265" t="s">
        <v>10655</v>
      </c>
      <c r="K1301" s="265" t="s">
        <v>10655</v>
      </c>
    </row>
    <row r="1302" spans="1:11" s="75" customFormat="1" ht="14.55" customHeight="1" x14ac:dyDescent="0.25">
      <c r="A1302" s="272" t="s">
        <v>8816</v>
      </c>
      <c r="B1302" s="272" t="s">
        <v>10591</v>
      </c>
      <c r="C1302" s="272" t="s">
        <v>10122</v>
      </c>
      <c r="D1302" s="259" t="s">
        <v>10123</v>
      </c>
      <c r="E1302" s="265" t="s">
        <v>10655</v>
      </c>
      <c r="F1302" s="272" t="s">
        <v>9198</v>
      </c>
      <c r="G1302" s="272" t="s">
        <v>9197</v>
      </c>
      <c r="H1302" s="265" t="s">
        <v>10943</v>
      </c>
      <c r="I1302" s="290" t="s">
        <v>10944</v>
      </c>
      <c r="J1302" s="265" t="s">
        <v>10655</v>
      </c>
      <c r="K1302" s="265" t="s">
        <v>10655</v>
      </c>
    </row>
    <row r="1303" spans="1:11" s="75" customFormat="1" ht="14.55" customHeight="1" x14ac:dyDescent="0.25">
      <c r="A1303" s="272" t="s">
        <v>8816</v>
      </c>
      <c r="B1303" s="272" t="s">
        <v>10591</v>
      </c>
      <c r="C1303" s="272" t="s">
        <v>10122</v>
      </c>
      <c r="D1303" s="259" t="s">
        <v>10123</v>
      </c>
      <c r="E1303" s="265" t="s">
        <v>10655</v>
      </c>
      <c r="F1303" s="272" t="s">
        <v>9198</v>
      </c>
      <c r="G1303" s="272" t="s">
        <v>9197</v>
      </c>
      <c r="H1303" s="265" t="s">
        <v>10906</v>
      </c>
      <c r="I1303" s="290" t="s">
        <v>10907</v>
      </c>
      <c r="J1303" s="265" t="s">
        <v>10655</v>
      </c>
      <c r="K1303" s="265" t="s">
        <v>10655</v>
      </c>
    </row>
    <row r="1304" spans="1:11" s="75" customFormat="1" ht="14.55" customHeight="1" x14ac:dyDescent="0.25">
      <c r="A1304" s="272" t="s">
        <v>8816</v>
      </c>
      <c r="B1304" s="272" t="s">
        <v>10591</v>
      </c>
      <c r="C1304" s="272" t="s">
        <v>10122</v>
      </c>
      <c r="D1304" s="259" t="s">
        <v>10123</v>
      </c>
      <c r="E1304" s="265" t="s">
        <v>10655</v>
      </c>
      <c r="F1304" s="272" t="s">
        <v>9198</v>
      </c>
      <c r="G1304" s="272" t="s">
        <v>9197</v>
      </c>
      <c r="H1304" s="265" t="s">
        <v>10947</v>
      </c>
      <c r="I1304" s="290" t="s">
        <v>10948</v>
      </c>
      <c r="J1304" s="265" t="s">
        <v>10655</v>
      </c>
      <c r="K1304" s="265" t="s">
        <v>10655</v>
      </c>
    </row>
    <row r="1305" spans="1:11" s="75" customFormat="1" ht="14.55" customHeight="1" x14ac:dyDescent="0.25">
      <c r="A1305" s="272" t="s">
        <v>8816</v>
      </c>
      <c r="B1305" s="272" t="s">
        <v>10591</v>
      </c>
      <c r="C1305" s="272" t="s">
        <v>10122</v>
      </c>
      <c r="D1305" s="259" t="s">
        <v>10123</v>
      </c>
      <c r="E1305" s="265" t="s">
        <v>10655</v>
      </c>
      <c r="F1305" s="272" t="s">
        <v>9198</v>
      </c>
      <c r="G1305" s="272" t="s">
        <v>9197</v>
      </c>
      <c r="H1305" s="265" t="s">
        <v>10908</v>
      </c>
      <c r="I1305" s="290" t="s">
        <v>10909</v>
      </c>
      <c r="J1305" s="265" t="s">
        <v>10655</v>
      </c>
      <c r="K1305" s="265" t="s">
        <v>10655</v>
      </c>
    </row>
    <row r="1306" spans="1:11" s="75" customFormat="1" ht="14.55" customHeight="1" x14ac:dyDescent="0.25">
      <c r="A1306" s="272" t="s">
        <v>8816</v>
      </c>
      <c r="B1306" s="272" t="s">
        <v>10591</v>
      </c>
      <c r="C1306" s="272" t="s">
        <v>10124</v>
      </c>
      <c r="D1306" s="259" t="s">
        <v>10125</v>
      </c>
      <c r="E1306" s="265" t="s">
        <v>10655</v>
      </c>
      <c r="F1306" s="272" t="s">
        <v>9198</v>
      </c>
      <c r="G1306" s="272" t="s">
        <v>9197</v>
      </c>
      <c r="H1306" s="265" t="s">
        <v>10941</v>
      </c>
      <c r="I1306" s="290" t="s">
        <v>10942</v>
      </c>
      <c r="J1306" s="265" t="s">
        <v>10655</v>
      </c>
      <c r="K1306" s="265" t="s">
        <v>10655</v>
      </c>
    </row>
    <row r="1307" spans="1:11" s="75" customFormat="1" ht="14.55" customHeight="1" x14ac:dyDescent="0.25">
      <c r="A1307" s="272" t="s">
        <v>8816</v>
      </c>
      <c r="B1307" s="272" t="s">
        <v>10591</v>
      </c>
      <c r="C1307" s="272" t="s">
        <v>10124</v>
      </c>
      <c r="D1307" s="259" t="s">
        <v>10125</v>
      </c>
      <c r="E1307" s="265" t="s">
        <v>10655</v>
      </c>
      <c r="F1307" s="272" t="s">
        <v>9198</v>
      </c>
      <c r="G1307" s="272" t="s">
        <v>9197</v>
      </c>
      <c r="H1307" s="265" t="s">
        <v>10943</v>
      </c>
      <c r="I1307" s="290" t="s">
        <v>10944</v>
      </c>
      <c r="J1307" s="265" t="s">
        <v>10655</v>
      </c>
      <c r="K1307" s="265" t="s">
        <v>10655</v>
      </c>
    </row>
    <row r="1308" spans="1:11" s="75" customFormat="1" ht="14.55" customHeight="1" x14ac:dyDescent="0.25">
      <c r="A1308" s="272" t="s">
        <v>8816</v>
      </c>
      <c r="B1308" s="272" t="s">
        <v>10591</v>
      </c>
      <c r="C1308" s="272" t="s">
        <v>10124</v>
      </c>
      <c r="D1308" s="259" t="s">
        <v>10125</v>
      </c>
      <c r="E1308" s="265" t="s">
        <v>10655</v>
      </c>
      <c r="F1308" s="272" t="s">
        <v>9198</v>
      </c>
      <c r="G1308" s="272" t="s">
        <v>9197</v>
      </c>
      <c r="H1308" s="265" t="s">
        <v>10951</v>
      </c>
      <c r="I1308" s="290" t="s">
        <v>10952</v>
      </c>
      <c r="J1308" s="265" t="s">
        <v>10655</v>
      </c>
      <c r="K1308" s="265" t="s">
        <v>10655</v>
      </c>
    </row>
    <row r="1309" spans="1:11" s="75" customFormat="1" ht="14.55" customHeight="1" x14ac:dyDescent="0.25">
      <c r="A1309" s="272" t="s">
        <v>8816</v>
      </c>
      <c r="B1309" s="272" t="s">
        <v>10591</v>
      </c>
      <c r="C1309" s="272" t="s">
        <v>10124</v>
      </c>
      <c r="D1309" s="259" t="s">
        <v>10125</v>
      </c>
      <c r="E1309" s="265" t="s">
        <v>10655</v>
      </c>
      <c r="F1309" s="272" t="s">
        <v>9198</v>
      </c>
      <c r="G1309" s="272" t="s">
        <v>9197</v>
      </c>
      <c r="H1309" s="265" t="s">
        <v>10953</v>
      </c>
      <c r="I1309" s="290" t="s">
        <v>10954</v>
      </c>
      <c r="J1309" s="265" t="s">
        <v>10655</v>
      </c>
      <c r="K1309" s="265" t="s">
        <v>10655</v>
      </c>
    </row>
    <row r="1310" spans="1:11" s="75" customFormat="1" ht="14.55" customHeight="1" x14ac:dyDescent="0.25">
      <c r="A1310" s="272" t="s">
        <v>8816</v>
      </c>
      <c r="B1310" s="272" t="s">
        <v>10591</v>
      </c>
      <c r="C1310" s="272" t="s">
        <v>10126</v>
      </c>
      <c r="D1310" s="259" t="s">
        <v>10127</v>
      </c>
      <c r="E1310" s="265" t="s">
        <v>10655</v>
      </c>
      <c r="F1310" s="272" t="s">
        <v>9198</v>
      </c>
      <c r="G1310" s="272" t="s">
        <v>9197</v>
      </c>
      <c r="H1310" s="265" t="s">
        <v>10953</v>
      </c>
      <c r="I1310" s="290" t="s">
        <v>10954</v>
      </c>
      <c r="J1310" s="265" t="s">
        <v>10655</v>
      </c>
      <c r="K1310" s="265" t="s">
        <v>10655</v>
      </c>
    </row>
    <row r="1311" spans="1:11" s="75" customFormat="1" ht="14.55" customHeight="1" x14ac:dyDescent="0.25">
      <c r="A1311" s="272" t="s">
        <v>8816</v>
      </c>
      <c r="B1311" s="272" t="s">
        <v>10591</v>
      </c>
      <c r="C1311" s="272" t="s">
        <v>10128</v>
      </c>
      <c r="D1311" s="259" t="s">
        <v>10129</v>
      </c>
      <c r="E1311" s="265" t="s">
        <v>10655</v>
      </c>
      <c r="F1311" s="272" t="s">
        <v>9198</v>
      </c>
      <c r="G1311" s="272" t="s">
        <v>9198</v>
      </c>
      <c r="H1311" s="265" t="s">
        <v>10953</v>
      </c>
      <c r="I1311" s="290" t="s">
        <v>10954</v>
      </c>
      <c r="J1311" s="265" t="s">
        <v>10655</v>
      </c>
      <c r="K1311" s="265" t="s">
        <v>10655</v>
      </c>
    </row>
    <row r="1312" spans="1:11" s="75" customFormat="1" ht="14.55" customHeight="1" x14ac:dyDescent="0.25">
      <c r="A1312" s="272" t="s">
        <v>8816</v>
      </c>
      <c r="B1312" s="272" t="s">
        <v>10591</v>
      </c>
      <c r="C1312" s="272" t="s">
        <v>10130</v>
      </c>
      <c r="D1312" s="259" t="s">
        <v>10131</v>
      </c>
      <c r="E1312" s="265" t="s">
        <v>10655</v>
      </c>
      <c r="F1312" s="272" t="s">
        <v>9198</v>
      </c>
      <c r="G1312" s="272" t="s">
        <v>9197</v>
      </c>
      <c r="H1312" s="265" t="s">
        <v>10906</v>
      </c>
      <c r="I1312" s="290" t="s">
        <v>10907</v>
      </c>
      <c r="J1312" s="265" t="s">
        <v>10655</v>
      </c>
      <c r="K1312" s="265" t="s">
        <v>10655</v>
      </c>
    </row>
    <row r="1313" spans="1:11" s="75" customFormat="1" ht="14.55" customHeight="1" x14ac:dyDescent="0.25">
      <c r="A1313" s="272" t="s">
        <v>8816</v>
      </c>
      <c r="B1313" s="272" t="s">
        <v>10591</v>
      </c>
      <c r="C1313" s="272" t="s">
        <v>10130</v>
      </c>
      <c r="D1313" s="259" t="s">
        <v>10131</v>
      </c>
      <c r="E1313" s="265" t="s">
        <v>10655</v>
      </c>
      <c r="F1313" s="272" t="s">
        <v>9198</v>
      </c>
      <c r="G1313" s="272" t="s">
        <v>9197</v>
      </c>
      <c r="H1313" s="265" t="s">
        <v>10953</v>
      </c>
      <c r="I1313" s="290" t="s">
        <v>10954</v>
      </c>
      <c r="J1313" s="265" t="s">
        <v>10655</v>
      </c>
      <c r="K1313" s="265" t="s">
        <v>10655</v>
      </c>
    </row>
    <row r="1314" spans="1:11" s="75" customFormat="1" ht="14.55" customHeight="1" x14ac:dyDescent="0.25">
      <c r="A1314" s="272" t="s">
        <v>8816</v>
      </c>
      <c r="B1314" s="272" t="s">
        <v>10591</v>
      </c>
      <c r="C1314" s="272" t="s">
        <v>10130</v>
      </c>
      <c r="D1314" s="259" t="s">
        <v>10131</v>
      </c>
      <c r="E1314" s="265" t="s">
        <v>10655</v>
      </c>
      <c r="F1314" s="272" t="s">
        <v>9198</v>
      </c>
      <c r="G1314" s="272" t="s">
        <v>9197</v>
      </c>
      <c r="H1314" s="265" t="s">
        <v>10908</v>
      </c>
      <c r="I1314" s="290" t="s">
        <v>10909</v>
      </c>
      <c r="J1314" s="265" t="s">
        <v>10655</v>
      </c>
      <c r="K1314" s="265" t="s">
        <v>10655</v>
      </c>
    </row>
    <row r="1315" spans="1:11" s="75" customFormat="1" ht="14.55" customHeight="1" x14ac:dyDescent="0.25">
      <c r="A1315" s="272" t="s">
        <v>8816</v>
      </c>
      <c r="B1315" s="272" t="s">
        <v>10591</v>
      </c>
      <c r="C1315" s="272" t="s">
        <v>10132</v>
      </c>
      <c r="D1315" s="259" t="s">
        <v>10133</v>
      </c>
      <c r="E1315" s="265" t="s">
        <v>10655</v>
      </c>
      <c r="F1315" s="272" t="s">
        <v>9198</v>
      </c>
      <c r="G1315" s="272" t="s">
        <v>9197</v>
      </c>
      <c r="H1315" s="265" t="s">
        <v>10951</v>
      </c>
      <c r="I1315" s="290" t="s">
        <v>10952</v>
      </c>
      <c r="J1315" s="265" t="s">
        <v>10655</v>
      </c>
      <c r="K1315" s="265" t="s">
        <v>10655</v>
      </c>
    </row>
    <row r="1316" spans="1:11" s="75" customFormat="1" ht="14.55" customHeight="1" x14ac:dyDescent="0.25">
      <c r="A1316" s="272" t="s">
        <v>8816</v>
      </c>
      <c r="B1316" s="272" t="s">
        <v>10591</v>
      </c>
      <c r="C1316" s="272" t="s">
        <v>10134</v>
      </c>
      <c r="D1316" s="259" t="s">
        <v>10135</v>
      </c>
      <c r="E1316" s="265" t="s">
        <v>10655</v>
      </c>
      <c r="F1316" s="272" t="s">
        <v>9198</v>
      </c>
      <c r="G1316" s="272" t="s">
        <v>9198</v>
      </c>
      <c r="H1316" s="265" t="s">
        <v>10951</v>
      </c>
      <c r="I1316" s="290" t="s">
        <v>10952</v>
      </c>
      <c r="J1316" s="265" t="s">
        <v>10655</v>
      </c>
      <c r="K1316" s="265" t="s">
        <v>10655</v>
      </c>
    </row>
    <row r="1317" spans="1:11" s="75" customFormat="1" ht="14.55" customHeight="1" x14ac:dyDescent="0.25">
      <c r="A1317" s="272" t="s">
        <v>8816</v>
      </c>
      <c r="B1317" s="272" t="s">
        <v>10591</v>
      </c>
      <c r="C1317" s="272" t="s">
        <v>10136</v>
      </c>
      <c r="D1317" s="259" t="s">
        <v>10137</v>
      </c>
      <c r="E1317" s="265" t="s">
        <v>10655</v>
      </c>
      <c r="F1317" s="272" t="s">
        <v>9198</v>
      </c>
      <c r="G1317" s="272" t="s">
        <v>9197</v>
      </c>
      <c r="H1317" s="265" t="s">
        <v>10906</v>
      </c>
      <c r="I1317" s="290" t="s">
        <v>10907</v>
      </c>
      <c r="J1317" s="265" t="s">
        <v>10655</v>
      </c>
      <c r="K1317" s="265" t="s">
        <v>10655</v>
      </c>
    </row>
    <row r="1318" spans="1:11" s="75" customFormat="1" ht="14.55" customHeight="1" x14ac:dyDescent="0.25">
      <c r="A1318" s="272" t="s">
        <v>8816</v>
      </c>
      <c r="B1318" s="272" t="s">
        <v>10591</v>
      </c>
      <c r="C1318" s="272" t="s">
        <v>10136</v>
      </c>
      <c r="D1318" s="259" t="s">
        <v>10137</v>
      </c>
      <c r="E1318" s="265" t="s">
        <v>10655</v>
      </c>
      <c r="F1318" s="272" t="s">
        <v>9198</v>
      </c>
      <c r="G1318" s="272" t="s">
        <v>9197</v>
      </c>
      <c r="H1318" s="265" t="s">
        <v>10951</v>
      </c>
      <c r="I1318" s="290" t="s">
        <v>10952</v>
      </c>
      <c r="J1318" s="265" t="s">
        <v>10655</v>
      </c>
      <c r="K1318" s="265" t="s">
        <v>10655</v>
      </c>
    </row>
    <row r="1319" spans="1:11" s="75" customFormat="1" ht="14.55" customHeight="1" x14ac:dyDescent="0.25">
      <c r="A1319" s="272" t="s">
        <v>8816</v>
      </c>
      <c r="B1319" s="272" t="s">
        <v>10591</v>
      </c>
      <c r="C1319" s="272" t="s">
        <v>10136</v>
      </c>
      <c r="D1319" s="259" t="s">
        <v>10137</v>
      </c>
      <c r="E1319" s="265" t="s">
        <v>10655</v>
      </c>
      <c r="F1319" s="272" t="s">
        <v>9198</v>
      </c>
      <c r="G1319" s="272" t="s">
        <v>9197</v>
      </c>
      <c r="H1319" s="265" t="s">
        <v>10908</v>
      </c>
      <c r="I1319" s="290" t="s">
        <v>10909</v>
      </c>
      <c r="J1319" s="265" t="s">
        <v>10655</v>
      </c>
      <c r="K1319" s="265" t="s">
        <v>10655</v>
      </c>
    </row>
    <row r="1320" spans="1:11" s="75" customFormat="1" ht="14.55" customHeight="1" x14ac:dyDescent="0.25">
      <c r="A1320" s="272" t="s">
        <v>8816</v>
      </c>
      <c r="B1320" s="272" t="s">
        <v>10591</v>
      </c>
      <c r="C1320" s="272" t="s">
        <v>10138</v>
      </c>
      <c r="D1320" s="259" t="s">
        <v>10139</v>
      </c>
      <c r="E1320" s="265" t="s">
        <v>10655</v>
      </c>
      <c r="F1320" s="272" t="s">
        <v>9198</v>
      </c>
      <c r="G1320" s="272" t="s">
        <v>9197</v>
      </c>
      <c r="H1320" s="265" t="s">
        <v>10955</v>
      </c>
      <c r="I1320" s="290" t="s">
        <v>10956</v>
      </c>
      <c r="J1320" s="265" t="s">
        <v>10655</v>
      </c>
      <c r="K1320" s="265" t="s">
        <v>10655</v>
      </c>
    </row>
    <row r="1321" spans="1:11" s="75" customFormat="1" ht="14.55" customHeight="1" x14ac:dyDescent="0.25">
      <c r="A1321" s="272" t="s">
        <v>8816</v>
      </c>
      <c r="B1321" s="272" t="s">
        <v>10591</v>
      </c>
      <c r="C1321" s="272" t="s">
        <v>10138</v>
      </c>
      <c r="D1321" s="259" t="s">
        <v>10139</v>
      </c>
      <c r="E1321" s="265" t="s">
        <v>10655</v>
      </c>
      <c r="F1321" s="272" t="s">
        <v>9198</v>
      </c>
      <c r="G1321" s="272" t="s">
        <v>9197</v>
      </c>
      <c r="H1321" s="265" t="s">
        <v>10957</v>
      </c>
      <c r="I1321" s="290" t="s">
        <v>10958</v>
      </c>
      <c r="J1321" s="265" t="s">
        <v>10655</v>
      </c>
      <c r="K1321" s="265" t="s">
        <v>10655</v>
      </c>
    </row>
    <row r="1322" spans="1:11" s="75" customFormat="1" ht="14.55" customHeight="1" x14ac:dyDescent="0.25">
      <c r="A1322" s="272" t="s">
        <v>8816</v>
      </c>
      <c r="B1322" s="272" t="s">
        <v>10591</v>
      </c>
      <c r="C1322" s="272" t="s">
        <v>10138</v>
      </c>
      <c r="D1322" s="259" t="s">
        <v>10139</v>
      </c>
      <c r="E1322" s="265" t="s">
        <v>10655</v>
      </c>
      <c r="F1322" s="272" t="s">
        <v>9198</v>
      </c>
      <c r="G1322" s="272" t="s">
        <v>9197</v>
      </c>
      <c r="H1322" s="265" t="s">
        <v>10959</v>
      </c>
      <c r="I1322" s="290" t="s">
        <v>10958</v>
      </c>
      <c r="J1322" s="265" t="s">
        <v>10655</v>
      </c>
      <c r="K1322" s="265" t="s">
        <v>10655</v>
      </c>
    </row>
    <row r="1323" spans="1:11" s="75" customFormat="1" ht="14.55" customHeight="1" x14ac:dyDescent="0.25">
      <c r="A1323" s="272" t="s">
        <v>8816</v>
      </c>
      <c r="B1323" s="272" t="s">
        <v>10591</v>
      </c>
      <c r="C1323" s="272" t="s">
        <v>10138</v>
      </c>
      <c r="D1323" s="259" t="s">
        <v>10139</v>
      </c>
      <c r="E1323" s="265" t="s">
        <v>10655</v>
      </c>
      <c r="F1323" s="272" t="s">
        <v>9198</v>
      </c>
      <c r="G1323" s="272" t="s">
        <v>9197</v>
      </c>
      <c r="H1323" s="265" t="s">
        <v>10960</v>
      </c>
      <c r="I1323" s="290" t="s">
        <v>10961</v>
      </c>
      <c r="J1323" s="265" t="s">
        <v>10655</v>
      </c>
      <c r="K1323" s="265" t="s">
        <v>10655</v>
      </c>
    </row>
    <row r="1324" spans="1:11" s="75" customFormat="1" ht="14.55" customHeight="1" x14ac:dyDescent="0.25">
      <c r="A1324" s="272" t="s">
        <v>8816</v>
      </c>
      <c r="B1324" s="272" t="s">
        <v>10591</v>
      </c>
      <c r="C1324" s="272" t="s">
        <v>10140</v>
      </c>
      <c r="D1324" s="259" t="s">
        <v>10141</v>
      </c>
      <c r="E1324" s="265" t="s">
        <v>10655</v>
      </c>
      <c r="F1324" s="272" t="s">
        <v>9198</v>
      </c>
      <c r="G1324" s="272" t="s">
        <v>9198</v>
      </c>
      <c r="H1324" s="265" t="s">
        <v>10955</v>
      </c>
      <c r="I1324" s="290" t="s">
        <v>10956</v>
      </c>
      <c r="J1324" s="265" t="s">
        <v>10655</v>
      </c>
      <c r="K1324" s="265" t="s">
        <v>10655</v>
      </c>
    </row>
    <row r="1325" spans="1:11" s="75" customFormat="1" ht="14.55" customHeight="1" x14ac:dyDescent="0.25">
      <c r="A1325" s="272" t="s">
        <v>8816</v>
      </c>
      <c r="B1325" s="272" t="s">
        <v>10591</v>
      </c>
      <c r="C1325" s="272" t="s">
        <v>10140</v>
      </c>
      <c r="D1325" s="259" t="s">
        <v>10141</v>
      </c>
      <c r="E1325" s="265" t="s">
        <v>10655</v>
      </c>
      <c r="F1325" s="272" t="s">
        <v>9198</v>
      </c>
      <c r="G1325" s="272" t="s">
        <v>9198</v>
      </c>
      <c r="H1325" s="265" t="s">
        <v>10957</v>
      </c>
      <c r="I1325" s="290" t="s">
        <v>10958</v>
      </c>
      <c r="J1325" s="265" t="s">
        <v>10655</v>
      </c>
      <c r="K1325" s="265" t="s">
        <v>10655</v>
      </c>
    </row>
    <row r="1326" spans="1:11" s="75" customFormat="1" ht="14.55" customHeight="1" x14ac:dyDescent="0.25">
      <c r="A1326" s="272" t="s">
        <v>8816</v>
      </c>
      <c r="B1326" s="272" t="s">
        <v>10591</v>
      </c>
      <c r="C1326" s="272" t="s">
        <v>10140</v>
      </c>
      <c r="D1326" s="259" t="s">
        <v>10141</v>
      </c>
      <c r="E1326" s="265" t="s">
        <v>10655</v>
      </c>
      <c r="F1326" s="272" t="s">
        <v>9198</v>
      </c>
      <c r="G1326" s="272" t="s">
        <v>9198</v>
      </c>
      <c r="H1326" s="265" t="s">
        <v>10959</v>
      </c>
      <c r="I1326" s="290" t="s">
        <v>10958</v>
      </c>
      <c r="J1326" s="265" t="s">
        <v>10655</v>
      </c>
      <c r="K1326" s="265" t="s">
        <v>10655</v>
      </c>
    </row>
    <row r="1327" spans="1:11" s="75" customFormat="1" ht="14.55" customHeight="1" x14ac:dyDescent="0.25">
      <c r="A1327" s="272" t="s">
        <v>8816</v>
      </c>
      <c r="B1327" s="272" t="s">
        <v>10591</v>
      </c>
      <c r="C1327" s="272" t="s">
        <v>10140</v>
      </c>
      <c r="D1327" s="259" t="s">
        <v>10141</v>
      </c>
      <c r="E1327" s="265" t="s">
        <v>10655</v>
      </c>
      <c r="F1327" s="272" t="s">
        <v>9198</v>
      </c>
      <c r="G1327" s="272" t="s">
        <v>9198</v>
      </c>
      <c r="H1327" s="265" t="s">
        <v>10960</v>
      </c>
      <c r="I1327" s="290" t="s">
        <v>10961</v>
      </c>
      <c r="J1327" s="265" t="s">
        <v>10655</v>
      </c>
      <c r="K1327" s="265" t="s">
        <v>10655</v>
      </c>
    </row>
    <row r="1328" spans="1:11" s="75" customFormat="1" ht="14.55" customHeight="1" x14ac:dyDescent="0.25">
      <c r="A1328" s="272" t="s">
        <v>8816</v>
      </c>
      <c r="B1328" s="272" t="s">
        <v>10591</v>
      </c>
      <c r="C1328" s="272" t="s">
        <v>10142</v>
      </c>
      <c r="D1328" s="259" t="s">
        <v>10143</v>
      </c>
      <c r="E1328" s="265" t="s">
        <v>10655</v>
      </c>
      <c r="F1328" s="272" t="s">
        <v>9198</v>
      </c>
      <c r="G1328" s="272" t="s">
        <v>9197</v>
      </c>
      <c r="H1328" s="265" t="s">
        <v>10955</v>
      </c>
      <c r="I1328" s="290" t="s">
        <v>10956</v>
      </c>
      <c r="J1328" s="265" t="s">
        <v>10655</v>
      </c>
      <c r="K1328" s="265" t="s">
        <v>10655</v>
      </c>
    </row>
    <row r="1329" spans="1:11" s="75" customFormat="1" ht="14.55" customHeight="1" x14ac:dyDescent="0.25">
      <c r="A1329" s="272" t="s">
        <v>8816</v>
      </c>
      <c r="B1329" s="272" t="s">
        <v>10591</v>
      </c>
      <c r="C1329" s="272" t="s">
        <v>10142</v>
      </c>
      <c r="D1329" s="259" t="s">
        <v>10143</v>
      </c>
      <c r="E1329" s="265" t="s">
        <v>10655</v>
      </c>
      <c r="F1329" s="272" t="s">
        <v>9198</v>
      </c>
      <c r="G1329" s="272" t="s">
        <v>9197</v>
      </c>
      <c r="H1329" s="265" t="s">
        <v>10957</v>
      </c>
      <c r="I1329" s="290" t="s">
        <v>10958</v>
      </c>
      <c r="J1329" s="265" t="s">
        <v>10655</v>
      </c>
      <c r="K1329" s="265" t="s">
        <v>10655</v>
      </c>
    </row>
    <row r="1330" spans="1:11" s="75" customFormat="1" ht="14.55" customHeight="1" x14ac:dyDescent="0.25">
      <c r="A1330" s="272" t="s">
        <v>8816</v>
      </c>
      <c r="B1330" s="272" t="s">
        <v>10591</v>
      </c>
      <c r="C1330" s="272" t="s">
        <v>10142</v>
      </c>
      <c r="D1330" s="259" t="s">
        <v>10143</v>
      </c>
      <c r="E1330" s="265" t="s">
        <v>10655</v>
      </c>
      <c r="F1330" s="272" t="s">
        <v>9198</v>
      </c>
      <c r="G1330" s="272" t="s">
        <v>9197</v>
      </c>
      <c r="H1330" s="265" t="s">
        <v>10959</v>
      </c>
      <c r="I1330" s="290" t="s">
        <v>10958</v>
      </c>
      <c r="J1330" s="265" t="s">
        <v>10655</v>
      </c>
      <c r="K1330" s="265" t="s">
        <v>10655</v>
      </c>
    </row>
    <row r="1331" spans="1:11" s="75" customFormat="1" ht="14.55" customHeight="1" x14ac:dyDescent="0.25">
      <c r="A1331" s="272" t="s">
        <v>8816</v>
      </c>
      <c r="B1331" s="272" t="s">
        <v>10591</v>
      </c>
      <c r="C1331" s="272" t="s">
        <v>10142</v>
      </c>
      <c r="D1331" s="259" t="s">
        <v>10143</v>
      </c>
      <c r="E1331" s="265" t="s">
        <v>10655</v>
      </c>
      <c r="F1331" s="272" t="s">
        <v>9198</v>
      </c>
      <c r="G1331" s="272" t="s">
        <v>9197</v>
      </c>
      <c r="H1331" s="265" t="s">
        <v>10960</v>
      </c>
      <c r="I1331" s="290" t="s">
        <v>10961</v>
      </c>
      <c r="J1331" s="265" t="s">
        <v>10655</v>
      </c>
      <c r="K1331" s="265" t="s">
        <v>10655</v>
      </c>
    </row>
    <row r="1332" spans="1:11" s="75" customFormat="1" ht="14.55" customHeight="1" x14ac:dyDescent="0.25">
      <c r="A1332" s="272" t="s">
        <v>8816</v>
      </c>
      <c r="B1332" s="272" t="s">
        <v>10591</v>
      </c>
      <c r="C1332" s="272" t="s">
        <v>10144</v>
      </c>
      <c r="D1332" s="259" t="s">
        <v>10145</v>
      </c>
      <c r="E1332" s="265" t="s">
        <v>10655</v>
      </c>
      <c r="F1332" s="272" t="s">
        <v>9198</v>
      </c>
      <c r="G1332" s="272" t="s">
        <v>9197</v>
      </c>
      <c r="H1332" s="265" t="s">
        <v>10885</v>
      </c>
      <c r="I1332" s="290" t="s">
        <v>10886</v>
      </c>
      <c r="J1332" s="265" t="s">
        <v>10655</v>
      </c>
      <c r="K1332" s="265" t="s">
        <v>10655</v>
      </c>
    </row>
    <row r="1333" spans="1:11" s="75" customFormat="1" ht="14.55" customHeight="1" x14ac:dyDescent="0.25">
      <c r="A1333" s="272" t="s">
        <v>8816</v>
      </c>
      <c r="B1333" s="272" t="s">
        <v>10591</v>
      </c>
      <c r="C1333" s="272" t="s">
        <v>10144</v>
      </c>
      <c r="D1333" s="259" t="s">
        <v>10145</v>
      </c>
      <c r="E1333" s="265" t="s">
        <v>10655</v>
      </c>
      <c r="F1333" s="272" t="s">
        <v>9198</v>
      </c>
      <c r="G1333" s="272" t="s">
        <v>9197</v>
      </c>
      <c r="H1333" s="265" t="s">
        <v>10897</v>
      </c>
      <c r="I1333" s="290" t="s">
        <v>10898</v>
      </c>
      <c r="J1333" s="265" t="s">
        <v>10655</v>
      </c>
      <c r="K1333" s="265" t="s">
        <v>10655</v>
      </c>
    </row>
    <row r="1334" spans="1:11" s="75" customFormat="1" ht="14.55" customHeight="1" x14ac:dyDescent="0.25">
      <c r="A1334" s="272" t="s">
        <v>8816</v>
      </c>
      <c r="B1334" s="272" t="s">
        <v>10591</v>
      </c>
      <c r="C1334" s="272" t="s">
        <v>10144</v>
      </c>
      <c r="D1334" s="259" t="s">
        <v>10145</v>
      </c>
      <c r="E1334" s="265" t="s">
        <v>10655</v>
      </c>
      <c r="F1334" s="272" t="s">
        <v>9198</v>
      </c>
      <c r="G1334" s="272" t="s">
        <v>9197</v>
      </c>
      <c r="H1334" s="265" t="s">
        <v>10873</v>
      </c>
      <c r="I1334" s="290" t="s">
        <v>10874</v>
      </c>
      <c r="J1334" s="265" t="s">
        <v>10655</v>
      </c>
      <c r="K1334" s="265" t="s">
        <v>10655</v>
      </c>
    </row>
    <row r="1335" spans="1:11" s="75" customFormat="1" ht="14.55" customHeight="1" x14ac:dyDescent="0.25">
      <c r="A1335" s="272" t="s">
        <v>8816</v>
      </c>
      <c r="B1335" s="272" t="s">
        <v>10591</v>
      </c>
      <c r="C1335" s="272" t="s">
        <v>10146</v>
      </c>
      <c r="D1335" s="259" t="s">
        <v>10147</v>
      </c>
      <c r="E1335" s="265" t="s">
        <v>10655</v>
      </c>
      <c r="F1335" s="272" t="s">
        <v>9198</v>
      </c>
      <c r="G1335" s="272" t="s">
        <v>9198</v>
      </c>
      <c r="H1335" s="265" t="s">
        <v>10885</v>
      </c>
      <c r="I1335" s="290" t="s">
        <v>10886</v>
      </c>
      <c r="J1335" s="265" t="s">
        <v>10655</v>
      </c>
      <c r="K1335" s="265" t="s">
        <v>10655</v>
      </c>
    </row>
    <row r="1336" spans="1:11" s="75" customFormat="1" ht="14.55" customHeight="1" x14ac:dyDescent="0.25">
      <c r="A1336" s="272" t="s">
        <v>8816</v>
      </c>
      <c r="B1336" s="272" t="s">
        <v>10591</v>
      </c>
      <c r="C1336" s="272" t="s">
        <v>10146</v>
      </c>
      <c r="D1336" s="259" t="s">
        <v>10147</v>
      </c>
      <c r="E1336" s="265" t="s">
        <v>10655</v>
      </c>
      <c r="F1336" s="272" t="s">
        <v>9198</v>
      </c>
      <c r="G1336" s="272" t="s">
        <v>9198</v>
      </c>
      <c r="H1336" s="265" t="s">
        <v>10897</v>
      </c>
      <c r="I1336" s="290" t="s">
        <v>10898</v>
      </c>
      <c r="J1336" s="265" t="s">
        <v>10655</v>
      </c>
      <c r="K1336" s="265" t="s">
        <v>10655</v>
      </c>
    </row>
    <row r="1337" spans="1:11" s="75" customFormat="1" ht="14.55" customHeight="1" x14ac:dyDescent="0.25">
      <c r="A1337" s="272" t="s">
        <v>8816</v>
      </c>
      <c r="B1337" s="272" t="s">
        <v>10591</v>
      </c>
      <c r="C1337" s="272" t="s">
        <v>10146</v>
      </c>
      <c r="D1337" s="259" t="s">
        <v>10147</v>
      </c>
      <c r="E1337" s="265" t="s">
        <v>10655</v>
      </c>
      <c r="F1337" s="272" t="s">
        <v>9198</v>
      </c>
      <c r="G1337" s="272" t="s">
        <v>9198</v>
      </c>
      <c r="H1337" s="265" t="s">
        <v>10873</v>
      </c>
      <c r="I1337" s="290" t="s">
        <v>10874</v>
      </c>
      <c r="J1337" s="265" t="s">
        <v>10655</v>
      </c>
      <c r="K1337" s="265" t="s">
        <v>10655</v>
      </c>
    </row>
    <row r="1338" spans="1:11" s="75" customFormat="1" ht="14.55" customHeight="1" x14ac:dyDescent="0.25">
      <c r="A1338" s="272" t="s">
        <v>8816</v>
      </c>
      <c r="B1338" s="272" t="s">
        <v>10591</v>
      </c>
      <c r="C1338" s="272" t="s">
        <v>10148</v>
      </c>
      <c r="D1338" s="259" t="s">
        <v>10149</v>
      </c>
      <c r="E1338" s="265" t="s">
        <v>10655</v>
      </c>
      <c r="F1338" s="272" t="s">
        <v>9198</v>
      </c>
      <c r="G1338" s="272" t="s">
        <v>9197</v>
      </c>
      <c r="H1338" s="265" t="s">
        <v>10955</v>
      </c>
      <c r="I1338" s="290" t="s">
        <v>10956</v>
      </c>
      <c r="J1338" s="265" t="s">
        <v>10655</v>
      </c>
      <c r="K1338" s="265" t="s">
        <v>10655</v>
      </c>
    </row>
    <row r="1339" spans="1:11" s="75" customFormat="1" ht="14.55" customHeight="1" x14ac:dyDescent="0.25">
      <c r="A1339" s="272" t="s">
        <v>8816</v>
      </c>
      <c r="B1339" s="272" t="s">
        <v>10591</v>
      </c>
      <c r="C1339" s="272" t="s">
        <v>10148</v>
      </c>
      <c r="D1339" s="259" t="s">
        <v>10149</v>
      </c>
      <c r="E1339" s="265" t="s">
        <v>10655</v>
      </c>
      <c r="F1339" s="272" t="s">
        <v>9198</v>
      </c>
      <c r="G1339" s="272" t="s">
        <v>9197</v>
      </c>
      <c r="H1339" s="265" t="s">
        <v>10957</v>
      </c>
      <c r="I1339" s="290" t="s">
        <v>10958</v>
      </c>
      <c r="J1339" s="265" t="s">
        <v>10655</v>
      </c>
      <c r="K1339" s="265" t="s">
        <v>10655</v>
      </c>
    </row>
    <row r="1340" spans="1:11" s="75" customFormat="1" ht="14.55" customHeight="1" x14ac:dyDescent="0.25">
      <c r="A1340" s="272" t="s">
        <v>8816</v>
      </c>
      <c r="B1340" s="272" t="s">
        <v>10591</v>
      </c>
      <c r="C1340" s="272" t="s">
        <v>10148</v>
      </c>
      <c r="D1340" s="259" t="s">
        <v>10149</v>
      </c>
      <c r="E1340" s="265" t="s">
        <v>10655</v>
      </c>
      <c r="F1340" s="272" t="s">
        <v>9198</v>
      </c>
      <c r="G1340" s="272" t="s">
        <v>9197</v>
      </c>
      <c r="H1340" s="265" t="s">
        <v>10959</v>
      </c>
      <c r="I1340" s="290" t="s">
        <v>10958</v>
      </c>
      <c r="J1340" s="265" t="s">
        <v>10655</v>
      </c>
      <c r="K1340" s="265" t="s">
        <v>10655</v>
      </c>
    </row>
    <row r="1341" spans="1:11" s="75" customFormat="1" ht="14.55" customHeight="1" x14ac:dyDescent="0.25">
      <c r="A1341" s="272" t="s">
        <v>8816</v>
      </c>
      <c r="B1341" s="272" t="s">
        <v>10591</v>
      </c>
      <c r="C1341" s="272" t="s">
        <v>10148</v>
      </c>
      <c r="D1341" s="259" t="s">
        <v>10149</v>
      </c>
      <c r="E1341" s="265" t="s">
        <v>10655</v>
      </c>
      <c r="F1341" s="272" t="s">
        <v>9198</v>
      </c>
      <c r="G1341" s="272" t="s">
        <v>9197</v>
      </c>
      <c r="H1341" s="265" t="s">
        <v>10960</v>
      </c>
      <c r="I1341" s="290" t="s">
        <v>10961</v>
      </c>
      <c r="J1341" s="265" t="s">
        <v>10655</v>
      </c>
      <c r="K1341" s="265" t="s">
        <v>10655</v>
      </c>
    </row>
    <row r="1342" spans="1:11" s="75" customFormat="1" ht="14.55" customHeight="1" x14ac:dyDescent="0.25">
      <c r="A1342" s="272" t="s">
        <v>8816</v>
      </c>
      <c r="B1342" s="272" t="s">
        <v>10591</v>
      </c>
      <c r="C1342" s="272" t="s">
        <v>10150</v>
      </c>
      <c r="D1342" s="259" t="s">
        <v>10151</v>
      </c>
      <c r="E1342" s="265" t="s">
        <v>10655</v>
      </c>
      <c r="F1342" s="272" t="s">
        <v>9198</v>
      </c>
      <c r="G1342" s="272" t="s">
        <v>9197</v>
      </c>
      <c r="H1342" s="265" t="s">
        <v>10906</v>
      </c>
      <c r="I1342" s="290" t="s">
        <v>10907</v>
      </c>
      <c r="J1342" s="265" t="s">
        <v>10655</v>
      </c>
      <c r="K1342" s="265" t="s">
        <v>10655</v>
      </c>
    </row>
    <row r="1343" spans="1:11" s="75" customFormat="1" ht="14.55" customHeight="1" x14ac:dyDescent="0.25">
      <c r="A1343" s="272" t="s">
        <v>8816</v>
      </c>
      <c r="B1343" s="272" t="s">
        <v>10591</v>
      </c>
      <c r="C1343" s="272" t="s">
        <v>10150</v>
      </c>
      <c r="D1343" s="259" t="s">
        <v>10151</v>
      </c>
      <c r="E1343" s="265" t="s">
        <v>10655</v>
      </c>
      <c r="F1343" s="272" t="s">
        <v>9198</v>
      </c>
      <c r="G1343" s="272" t="s">
        <v>9197</v>
      </c>
      <c r="H1343" s="265" t="s">
        <v>10962</v>
      </c>
      <c r="I1343" s="290" t="s">
        <v>10963</v>
      </c>
      <c r="J1343" s="265" t="s">
        <v>10655</v>
      </c>
      <c r="K1343" s="265" t="s">
        <v>10655</v>
      </c>
    </row>
    <row r="1344" spans="1:11" s="75" customFormat="1" ht="14.55" customHeight="1" x14ac:dyDescent="0.25">
      <c r="A1344" s="272" t="s">
        <v>8816</v>
      </c>
      <c r="B1344" s="272" t="s">
        <v>10591</v>
      </c>
      <c r="C1344" s="272" t="s">
        <v>10150</v>
      </c>
      <c r="D1344" s="259" t="s">
        <v>10151</v>
      </c>
      <c r="E1344" s="265" t="s">
        <v>10655</v>
      </c>
      <c r="F1344" s="272" t="s">
        <v>9198</v>
      </c>
      <c r="G1344" s="272" t="s">
        <v>9197</v>
      </c>
      <c r="H1344" s="265" t="s">
        <v>10955</v>
      </c>
      <c r="I1344" s="290" t="s">
        <v>10956</v>
      </c>
      <c r="J1344" s="265" t="s">
        <v>10655</v>
      </c>
      <c r="K1344" s="265" t="s">
        <v>10655</v>
      </c>
    </row>
    <row r="1345" spans="1:11" s="75" customFormat="1" ht="14.55" customHeight="1" x14ac:dyDescent="0.25">
      <c r="A1345" s="272" t="s">
        <v>8816</v>
      </c>
      <c r="B1345" s="272" t="s">
        <v>10591</v>
      </c>
      <c r="C1345" s="272" t="s">
        <v>10150</v>
      </c>
      <c r="D1345" s="259" t="s">
        <v>10151</v>
      </c>
      <c r="E1345" s="265" t="s">
        <v>10655</v>
      </c>
      <c r="F1345" s="272" t="s">
        <v>9198</v>
      </c>
      <c r="G1345" s="272" t="s">
        <v>9197</v>
      </c>
      <c r="H1345" s="265" t="s">
        <v>10957</v>
      </c>
      <c r="I1345" s="290" t="s">
        <v>10958</v>
      </c>
      <c r="J1345" s="265" t="s">
        <v>10655</v>
      </c>
      <c r="K1345" s="265" t="s">
        <v>10655</v>
      </c>
    </row>
    <row r="1346" spans="1:11" s="75" customFormat="1" ht="14.55" customHeight="1" x14ac:dyDescent="0.25">
      <c r="A1346" s="272" t="s">
        <v>8816</v>
      </c>
      <c r="B1346" s="272" t="s">
        <v>10591</v>
      </c>
      <c r="C1346" s="272" t="s">
        <v>10150</v>
      </c>
      <c r="D1346" s="259" t="s">
        <v>10151</v>
      </c>
      <c r="E1346" s="265" t="s">
        <v>10655</v>
      </c>
      <c r="F1346" s="272" t="s">
        <v>9198</v>
      </c>
      <c r="G1346" s="272" t="s">
        <v>9197</v>
      </c>
      <c r="H1346" s="265" t="s">
        <v>10959</v>
      </c>
      <c r="I1346" s="290" t="s">
        <v>10958</v>
      </c>
      <c r="J1346" s="265" t="s">
        <v>10655</v>
      </c>
      <c r="K1346" s="265" t="s">
        <v>10655</v>
      </c>
    </row>
    <row r="1347" spans="1:11" s="75" customFormat="1" ht="14.55" customHeight="1" x14ac:dyDescent="0.25">
      <c r="A1347" s="272" t="s">
        <v>8816</v>
      </c>
      <c r="B1347" s="272" t="s">
        <v>10591</v>
      </c>
      <c r="C1347" s="272" t="s">
        <v>10150</v>
      </c>
      <c r="D1347" s="259" t="s">
        <v>10151</v>
      </c>
      <c r="E1347" s="265" t="s">
        <v>10655</v>
      </c>
      <c r="F1347" s="272" t="s">
        <v>9198</v>
      </c>
      <c r="G1347" s="272" t="s">
        <v>9197</v>
      </c>
      <c r="H1347" s="265" t="s">
        <v>10908</v>
      </c>
      <c r="I1347" s="290" t="s">
        <v>10909</v>
      </c>
      <c r="J1347" s="265" t="s">
        <v>10655</v>
      </c>
      <c r="K1347" s="265" t="s">
        <v>10655</v>
      </c>
    </row>
    <row r="1348" spans="1:11" s="75" customFormat="1" ht="14.55" customHeight="1" x14ac:dyDescent="0.25">
      <c r="A1348" s="272" t="s">
        <v>8816</v>
      </c>
      <c r="B1348" s="272" t="s">
        <v>10591</v>
      </c>
      <c r="C1348" s="272" t="s">
        <v>10150</v>
      </c>
      <c r="D1348" s="259" t="s">
        <v>10151</v>
      </c>
      <c r="E1348" s="265" t="s">
        <v>10655</v>
      </c>
      <c r="F1348" s="272" t="s">
        <v>9198</v>
      </c>
      <c r="G1348" s="272" t="s">
        <v>9197</v>
      </c>
      <c r="H1348" s="265" t="s">
        <v>10960</v>
      </c>
      <c r="I1348" s="290" t="s">
        <v>10961</v>
      </c>
      <c r="J1348" s="265" t="s">
        <v>10655</v>
      </c>
      <c r="K1348" s="265" t="s">
        <v>10655</v>
      </c>
    </row>
    <row r="1349" spans="1:11" s="75" customFormat="1" ht="14.55" customHeight="1" x14ac:dyDescent="0.25">
      <c r="A1349" s="272" t="s">
        <v>8816</v>
      </c>
      <c r="B1349" s="272" t="s">
        <v>10591</v>
      </c>
      <c r="C1349" s="272" t="s">
        <v>10152</v>
      </c>
      <c r="D1349" s="259" t="s">
        <v>10153</v>
      </c>
      <c r="E1349" s="265" t="s">
        <v>10655</v>
      </c>
      <c r="F1349" s="272" t="s">
        <v>9198</v>
      </c>
      <c r="G1349" s="272" t="s">
        <v>9197</v>
      </c>
      <c r="H1349" s="265" t="s">
        <v>10906</v>
      </c>
      <c r="I1349" s="290" t="s">
        <v>10907</v>
      </c>
      <c r="J1349" s="265" t="s">
        <v>10655</v>
      </c>
      <c r="K1349" s="265" t="s">
        <v>10655</v>
      </c>
    </row>
    <row r="1350" spans="1:11" s="75" customFormat="1" ht="14.55" customHeight="1" x14ac:dyDescent="0.25">
      <c r="A1350" s="272" t="s">
        <v>8816</v>
      </c>
      <c r="B1350" s="272" t="s">
        <v>10591</v>
      </c>
      <c r="C1350" s="272" t="s">
        <v>10152</v>
      </c>
      <c r="D1350" s="259" t="s">
        <v>10153</v>
      </c>
      <c r="E1350" s="265" t="s">
        <v>10655</v>
      </c>
      <c r="F1350" s="272" t="s">
        <v>9198</v>
      </c>
      <c r="G1350" s="272" t="s">
        <v>9197</v>
      </c>
      <c r="H1350" s="265" t="s">
        <v>10885</v>
      </c>
      <c r="I1350" s="290" t="s">
        <v>10886</v>
      </c>
      <c r="J1350" s="265" t="s">
        <v>10655</v>
      </c>
      <c r="K1350" s="265" t="s">
        <v>10655</v>
      </c>
    </row>
    <row r="1351" spans="1:11" s="75" customFormat="1" ht="14.55" customHeight="1" x14ac:dyDescent="0.25">
      <c r="A1351" s="272" t="s">
        <v>8816</v>
      </c>
      <c r="B1351" s="272" t="s">
        <v>10591</v>
      </c>
      <c r="C1351" s="272" t="s">
        <v>10152</v>
      </c>
      <c r="D1351" s="259" t="s">
        <v>10153</v>
      </c>
      <c r="E1351" s="265" t="s">
        <v>10655</v>
      </c>
      <c r="F1351" s="272" t="s">
        <v>9198</v>
      </c>
      <c r="G1351" s="272" t="s">
        <v>9197</v>
      </c>
      <c r="H1351" s="265" t="s">
        <v>10908</v>
      </c>
      <c r="I1351" s="290" t="s">
        <v>10909</v>
      </c>
      <c r="J1351" s="265" t="s">
        <v>10655</v>
      </c>
      <c r="K1351" s="265" t="s">
        <v>10655</v>
      </c>
    </row>
    <row r="1352" spans="1:11" s="75" customFormat="1" ht="14.55" customHeight="1" x14ac:dyDescent="0.25">
      <c r="A1352" s="272" t="s">
        <v>8816</v>
      </c>
      <c r="B1352" s="272" t="s">
        <v>10591</v>
      </c>
      <c r="C1352" s="272" t="s">
        <v>10152</v>
      </c>
      <c r="D1352" s="259" t="s">
        <v>10153</v>
      </c>
      <c r="E1352" s="265" t="s">
        <v>10655</v>
      </c>
      <c r="F1352" s="272" t="s">
        <v>9198</v>
      </c>
      <c r="G1352" s="272" t="s">
        <v>9197</v>
      </c>
      <c r="H1352" s="265" t="s">
        <v>10897</v>
      </c>
      <c r="I1352" s="290" t="s">
        <v>10898</v>
      </c>
      <c r="J1352" s="265" t="s">
        <v>10655</v>
      </c>
      <c r="K1352" s="265" t="s">
        <v>10655</v>
      </c>
    </row>
    <row r="1353" spans="1:11" s="75" customFormat="1" ht="14.55" customHeight="1" x14ac:dyDescent="0.25">
      <c r="A1353" s="272" t="s">
        <v>8816</v>
      </c>
      <c r="B1353" s="272" t="s">
        <v>10591</v>
      </c>
      <c r="C1353" s="272" t="s">
        <v>10152</v>
      </c>
      <c r="D1353" s="259" t="s">
        <v>10153</v>
      </c>
      <c r="E1353" s="265" t="s">
        <v>10655</v>
      </c>
      <c r="F1353" s="272" t="s">
        <v>9198</v>
      </c>
      <c r="G1353" s="272" t="s">
        <v>9197</v>
      </c>
      <c r="H1353" s="265" t="s">
        <v>10873</v>
      </c>
      <c r="I1353" s="290" t="s">
        <v>10874</v>
      </c>
      <c r="J1353" s="265" t="s">
        <v>10655</v>
      </c>
      <c r="K1353" s="265" t="s">
        <v>10655</v>
      </c>
    </row>
    <row r="1354" spans="1:11" s="75" customFormat="1" ht="14.55" customHeight="1" x14ac:dyDescent="0.25">
      <c r="A1354" s="272" t="s">
        <v>8816</v>
      </c>
      <c r="B1354" s="272" t="s">
        <v>10591</v>
      </c>
      <c r="C1354" s="272" t="s">
        <v>10154</v>
      </c>
      <c r="D1354" s="259" t="s">
        <v>10155</v>
      </c>
      <c r="E1354" s="265" t="s">
        <v>10655</v>
      </c>
      <c r="F1354" s="272" t="s">
        <v>9198</v>
      </c>
      <c r="G1354" s="272" t="s">
        <v>9197</v>
      </c>
      <c r="H1354" s="265" t="s">
        <v>10906</v>
      </c>
      <c r="I1354" s="290" t="s">
        <v>10907</v>
      </c>
      <c r="J1354" s="265" t="s">
        <v>10655</v>
      </c>
      <c r="K1354" s="265" t="s">
        <v>10655</v>
      </c>
    </row>
    <row r="1355" spans="1:11" s="75" customFormat="1" ht="14.55" customHeight="1" x14ac:dyDescent="0.25">
      <c r="A1355" s="272" t="s">
        <v>8816</v>
      </c>
      <c r="B1355" s="272" t="s">
        <v>10591</v>
      </c>
      <c r="C1355" s="272" t="s">
        <v>10154</v>
      </c>
      <c r="D1355" s="259" t="s">
        <v>10155</v>
      </c>
      <c r="E1355" s="265" t="s">
        <v>10655</v>
      </c>
      <c r="F1355" s="272" t="s">
        <v>9198</v>
      </c>
      <c r="G1355" s="272" t="s">
        <v>9197</v>
      </c>
      <c r="H1355" s="265" t="s">
        <v>10955</v>
      </c>
      <c r="I1355" s="290" t="s">
        <v>10956</v>
      </c>
      <c r="J1355" s="265" t="s">
        <v>10655</v>
      </c>
      <c r="K1355" s="265" t="s">
        <v>10655</v>
      </c>
    </row>
    <row r="1356" spans="1:11" s="75" customFormat="1" ht="14.55" customHeight="1" x14ac:dyDescent="0.25">
      <c r="A1356" s="272" t="s">
        <v>8816</v>
      </c>
      <c r="B1356" s="272" t="s">
        <v>10591</v>
      </c>
      <c r="C1356" s="272" t="s">
        <v>10154</v>
      </c>
      <c r="D1356" s="259" t="s">
        <v>10155</v>
      </c>
      <c r="E1356" s="265" t="s">
        <v>10655</v>
      </c>
      <c r="F1356" s="272" t="s">
        <v>9198</v>
      </c>
      <c r="G1356" s="272" t="s">
        <v>9197</v>
      </c>
      <c r="H1356" s="265" t="s">
        <v>10957</v>
      </c>
      <c r="I1356" s="290" t="s">
        <v>10958</v>
      </c>
      <c r="J1356" s="265" t="s">
        <v>10655</v>
      </c>
      <c r="K1356" s="265" t="s">
        <v>10655</v>
      </c>
    </row>
    <row r="1357" spans="1:11" s="75" customFormat="1" ht="14.55" customHeight="1" x14ac:dyDescent="0.25">
      <c r="A1357" s="272" t="s">
        <v>8816</v>
      </c>
      <c r="B1357" s="272" t="s">
        <v>10591</v>
      </c>
      <c r="C1357" s="272" t="s">
        <v>10154</v>
      </c>
      <c r="D1357" s="259" t="s">
        <v>10155</v>
      </c>
      <c r="E1357" s="265" t="s">
        <v>10655</v>
      </c>
      <c r="F1357" s="272" t="s">
        <v>9198</v>
      </c>
      <c r="G1357" s="272" t="s">
        <v>9197</v>
      </c>
      <c r="H1357" s="265" t="s">
        <v>10959</v>
      </c>
      <c r="I1357" s="290" t="s">
        <v>10958</v>
      </c>
      <c r="J1357" s="265" t="s">
        <v>10655</v>
      </c>
      <c r="K1357" s="265" t="s">
        <v>10655</v>
      </c>
    </row>
    <row r="1358" spans="1:11" s="75" customFormat="1" ht="14.55" customHeight="1" x14ac:dyDescent="0.25">
      <c r="A1358" s="272" t="s">
        <v>8816</v>
      </c>
      <c r="B1358" s="272" t="s">
        <v>10591</v>
      </c>
      <c r="C1358" s="272" t="s">
        <v>10154</v>
      </c>
      <c r="D1358" s="259" t="s">
        <v>10155</v>
      </c>
      <c r="E1358" s="265" t="s">
        <v>10655</v>
      </c>
      <c r="F1358" s="272" t="s">
        <v>9198</v>
      </c>
      <c r="G1358" s="272" t="s">
        <v>9197</v>
      </c>
      <c r="H1358" s="265" t="s">
        <v>10908</v>
      </c>
      <c r="I1358" s="290" t="s">
        <v>10909</v>
      </c>
      <c r="J1358" s="265" t="s">
        <v>10655</v>
      </c>
      <c r="K1358" s="265" t="s">
        <v>10655</v>
      </c>
    </row>
    <row r="1359" spans="1:11" s="75" customFormat="1" ht="14.55" customHeight="1" x14ac:dyDescent="0.25">
      <c r="A1359" s="272" t="s">
        <v>8816</v>
      </c>
      <c r="B1359" s="272" t="s">
        <v>10591</v>
      </c>
      <c r="C1359" s="272" t="s">
        <v>10154</v>
      </c>
      <c r="D1359" s="259" t="s">
        <v>10155</v>
      </c>
      <c r="E1359" s="265" t="s">
        <v>10655</v>
      </c>
      <c r="F1359" s="272" t="s">
        <v>9198</v>
      </c>
      <c r="G1359" s="272" t="s">
        <v>9197</v>
      </c>
      <c r="H1359" s="265" t="s">
        <v>10960</v>
      </c>
      <c r="I1359" s="290" t="s">
        <v>10961</v>
      </c>
      <c r="J1359" s="265" t="s">
        <v>10655</v>
      </c>
      <c r="K1359" s="265" t="s">
        <v>10655</v>
      </c>
    </row>
    <row r="1360" spans="1:11" s="75" customFormat="1" ht="14.55" customHeight="1" x14ac:dyDescent="0.25">
      <c r="A1360" s="272" t="s">
        <v>8816</v>
      </c>
      <c r="B1360" s="272" t="s">
        <v>10591</v>
      </c>
      <c r="C1360" s="272" t="s">
        <v>10156</v>
      </c>
      <c r="D1360" s="259" t="s">
        <v>10157</v>
      </c>
      <c r="E1360" s="265" t="s">
        <v>10655</v>
      </c>
      <c r="F1360" s="272" t="s">
        <v>9198</v>
      </c>
      <c r="G1360" s="272" t="s">
        <v>9198</v>
      </c>
      <c r="H1360" s="265" t="s">
        <v>10962</v>
      </c>
      <c r="I1360" s="290" t="s">
        <v>10963</v>
      </c>
      <c r="J1360" s="265" t="s">
        <v>10655</v>
      </c>
      <c r="K1360" s="265" t="s">
        <v>10655</v>
      </c>
    </row>
    <row r="1361" spans="1:11" s="75" customFormat="1" ht="14.55" customHeight="1" x14ac:dyDescent="0.25">
      <c r="A1361" s="272" t="s">
        <v>8816</v>
      </c>
      <c r="B1361" s="272" t="s">
        <v>10591</v>
      </c>
      <c r="C1361" s="272" t="s">
        <v>10156</v>
      </c>
      <c r="D1361" s="259" t="s">
        <v>10157</v>
      </c>
      <c r="E1361" s="265" t="s">
        <v>10655</v>
      </c>
      <c r="F1361" s="272" t="s">
        <v>9198</v>
      </c>
      <c r="G1361" s="272" t="s">
        <v>9198</v>
      </c>
      <c r="H1361" s="265" t="s">
        <v>10955</v>
      </c>
      <c r="I1361" s="290" t="s">
        <v>10956</v>
      </c>
      <c r="J1361" s="265" t="s">
        <v>10655</v>
      </c>
      <c r="K1361" s="265" t="s">
        <v>10655</v>
      </c>
    </row>
    <row r="1362" spans="1:11" s="75" customFormat="1" ht="14.55" customHeight="1" x14ac:dyDescent="0.25">
      <c r="A1362" s="272" t="s">
        <v>8816</v>
      </c>
      <c r="B1362" s="272" t="s">
        <v>10591</v>
      </c>
      <c r="C1362" s="272" t="s">
        <v>10156</v>
      </c>
      <c r="D1362" s="259" t="s">
        <v>10157</v>
      </c>
      <c r="E1362" s="265" t="s">
        <v>10655</v>
      </c>
      <c r="F1362" s="272" t="s">
        <v>9198</v>
      </c>
      <c r="G1362" s="272" t="s">
        <v>9198</v>
      </c>
      <c r="H1362" s="265" t="s">
        <v>10957</v>
      </c>
      <c r="I1362" s="290" t="s">
        <v>10958</v>
      </c>
      <c r="J1362" s="265" t="s">
        <v>10655</v>
      </c>
      <c r="K1362" s="265" t="s">
        <v>10655</v>
      </c>
    </row>
    <row r="1363" spans="1:11" s="75" customFormat="1" ht="14.55" customHeight="1" x14ac:dyDescent="0.25">
      <c r="A1363" s="272" t="s">
        <v>8816</v>
      </c>
      <c r="B1363" s="272" t="s">
        <v>10591</v>
      </c>
      <c r="C1363" s="272" t="s">
        <v>10156</v>
      </c>
      <c r="D1363" s="259" t="s">
        <v>10157</v>
      </c>
      <c r="E1363" s="265" t="s">
        <v>10655</v>
      </c>
      <c r="F1363" s="272" t="s">
        <v>9198</v>
      </c>
      <c r="G1363" s="272" t="s">
        <v>9198</v>
      </c>
      <c r="H1363" s="265" t="s">
        <v>10959</v>
      </c>
      <c r="I1363" s="290" t="s">
        <v>10958</v>
      </c>
      <c r="J1363" s="265" t="s">
        <v>10655</v>
      </c>
      <c r="K1363" s="265" t="s">
        <v>10655</v>
      </c>
    </row>
    <row r="1364" spans="1:11" s="75" customFormat="1" ht="14.55" customHeight="1" x14ac:dyDescent="0.25">
      <c r="A1364" s="272" t="s">
        <v>8816</v>
      </c>
      <c r="B1364" s="272" t="s">
        <v>10591</v>
      </c>
      <c r="C1364" s="272" t="s">
        <v>10156</v>
      </c>
      <c r="D1364" s="259" t="s">
        <v>10157</v>
      </c>
      <c r="E1364" s="265" t="s">
        <v>10655</v>
      </c>
      <c r="F1364" s="272" t="s">
        <v>9198</v>
      </c>
      <c r="G1364" s="272" t="s">
        <v>9198</v>
      </c>
      <c r="H1364" s="265" t="s">
        <v>10960</v>
      </c>
      <c r="I1364" s="290" t="s">
        <v>10961</v>
      </c>
      <c r="J1364" s="265" t="s">
        <v>10655</v>
      </c>
      <c r="K1364" s="265" t="s">
        <v>10655</v>
      </c>
    </row>
    <row r="1365" spans="1:11" s="75" customFormat="1" ht="14.55" customHeight="1" x14ac:dyDescent="0.25">
      <c r="A1365" s="272" t="s">
        <v>8816</v>
      </c>
      <c r="B1365" s="272" t="s">
        <v>10591</v>
      </c>
      <c r="C1365" s="272" t="s">
        <v>10158</v>
      </c>
      <c r="D1365" s="259" t="s">
        <v>10159</v>
      </c>
      <c r="E1365" s="265" t="s">
        <v>10655</v>
      </c>
      <c r="F1365" s="272" t="s">
        <v>9198</v>
      </c>
      <c r="G1365" s="272" t="s">
        <v>9197</v>
      </c>
      <c r="H1365" s="265" t="s">
        <v>10885</v>
      </c>
      <c r="I1365" s="290" t="s">
        <v>10886</v>
      </c>
      <c r="J1365" s="265" t="s">
        <v>10655</v>
      </c>
      <c r="K1365" s="265" t="s">
        <v>10655</v>
      </c>
    </row>
    <row r="1366" spans="1:11" s="75" customFormat="1" ht="14.55" customHeight="1" x14ac:dyDescent="0.25">
      <c r="A1366" s="272" t="s">
        <v>8816</v>
      </c>
      <c r="B1366" s="272" t="s">
        <v>10591</v>
      </c>
      <c r="C1366" s="272" t="s">
        <v>10158</v>
      </c>
      <c r="D1366" s="259" t="s">
        <v>10159</v>
      </c>
      <c r="E1366" s="265" t="s">
        <v>10655</v>
      </c>
      <c r="F1366" s="272" t="s">
        <v>9198</v>
      </c>
      <c r="G1366" s="272" t="s">
        <v>9197</v>
      </c>
      <c r="H1366" s="265" t="s">
        <v>10897</v>
      </c>
      <c r="I1366" s="290" t="s">
        <v>10898</v>
      </c>
      <c r="J1366" s="265" t="s">
        <v>10655</v>
      </c>
      <c r="K1366" s="265" t="s">
        <v>10655</v>
      </c>
    </row>
    <row r="1367" spans="1:11" s="75" customFormat="1" ht="14.55" customHeight="1" x14ac:dyDescent="0.25">
      <c r="A1367" s="272" t="s">
        <v>8816</v>
      </c>
      <c r="B1367" s="272" t="s">
        <v>10591</v>
      </c>
      <c r="C1367" s="272" t="s">
        <v>10158</v>
      </c>
      <c r="D1367" s="259" t="s">
        <v>10159</v>
      </c>
      <c r="E1367" s="265" t="s">
        <v>10655</v>
      </c>
      <c r="F1367" s="272" t="s">
        <v>9198</v>
      </c>
      <c r="G1367" s="272" t="s">
        <v>9197</v>
      </c>
      <c r="H1367" s="265" t="s">
        <v>10873</v>
      </c>
      <c r="I1367" s="290" t="s">
        <v>10874</v>
      </c>
      <c r="J1367" s="265" t="s">
        <v>10655</v>
      </c>
      <c r="K1367" s="265" t="s">
        <v>10655</v>
      </c>
    </row>
    <row r="1368" spans="1:11" s="75" customFormat="1" ht="14.55" customHeight="1" x14ac:dyDescent="0.25">
      <c r="A1368" s="272" t="s">
        <v>8816</v>
      </c>
      <c r="B1368" s="272" t="s">
        <v>10591</v>
      </c>
      <c r="C1368" s="272" t="s">
        <v>10160</v>
      </c>
      <c r="D1368" s="259" t="s">
        <v>10161</v>
      </c>
      <c r="E1368" s="265" t="s">
        <v>10655</v>
      </c>
      <c r="F1368" s="272" t="s">
        <v>9198</v>
      </c>
      <c r="G1368" s="272" t="s">
        <v>9197</v>
      </c>
      <c r="H1368" s="265" t="s">
        <v>10962</v>
      </c>
      <c r="I1368" s="290" t="s">
        <v>10963</v>
      </c>
      <c r="J1368" s="265" t="s">
        <v>10655</v>
      </c>
      <c r="K1368" s="265" t="s">
        <v>10655</v>
      </c>
    </row>
    <row r="1369" spans="1:11" s="75" customFormat="1" ht="14.55" customHeight="1" x14ac:dyDescent="0.25">
      <c r="A1369" s="272" t="s">
        <v>8816</v>
      </c>
      <c r="B1369" s="272" t="s">
        <v>10591</v>
      </c>
      <c r="C1369" s="272" t="s">
        <v>10160</v>
      </c>
      <c r="D1369" s="259" t="s">
        <v>10161</v>
      </c>
      <c r="E1369" s="265" t="s">
        <v>10655</v>
      </c>
      <c r="F1369" s="272" t="s">
        <v>9198</v>
      </c>
      <c r="G1369" s="272" t="s">
        <v>9197</v>
      </c>
      <c r="H1369" s="265" t="s">
        <v>10955</v>
      </c>
      <c r="I1369" s="290" t="s">
        <v>10956</v>
      </c>
      <c r="J1369" s="265" t="s">
        <v>10655</v>
      </c>
      <c r="K1369" s="265" t="s">
        <v>10655</v>
      </c>
    </row>
    <row r="1370" spans="1:11" s="75" customFormat="1" ht="14.55" customHeight="1" x14ac:dyDescent="0.25">
      <c r="A1370" s="272" t="s">
        <v>8816</v>
      </c>
      <c r="B1370" s="272" t="s">
        <v>10591</v>
      </c>
      <c r="C1370" s="272" t="s">
        <v>10160</v>
      </c>
      <c r="D1370" s="259" t="s">
        <v>10161</v>
      </c>
      <c r="E1370" s="265" t="s">
        <v>10655</v>
      </c>
      <c r="F1370" s="272" t="s">
        <v>9198</v>
      </c>
      <c r="G1370" s="272" t="s">
        <v>9197</v>
      </c>
      <c r="H1370" s="265" t="s">
        <v>10957</v>
      </c>
      <c r="I1370" s="290" t="s">
        <v>10958</v>
      </c>
      <c r="J1370" s="265" t="s">
        <v>10655</v>
      </c>
      <c r="K1370" s="265" t="s">
        <v>10655</v>
      </c>
    </row>
    <row r="1371" spans="1:11" s="75" customFormat="1" ht="14.55" customHeight="1" x14ac:dyDescent="0.25">
      <c r="A1371" s="272" t="s">
        <v>8816</v>
      </c>
      <c r="B1371" s="272" t="s">
        <v>10591</v>
      </c>
      <c r="C1371" s="272" t="s">
        <v>10160</v>
      </c>
      <c r="D1371" s="259" t="s">
        <v>10161</v>
      </c>
      <c r="E1371" s="265" t="s">
        <v>10655</v>
      </c>
      <c r="F1371" s="272" t="s">
        <v>9198</v>
      </c>
      <c r="G1371" s="272" t="s">
        <v>9197</v>
      </c>
      <c r="H1371" s="265" t="s">
        <v>10959</v>
      </c>
      <c r="I1371" s="290" t="s">
        <v>10958</v>
      </c>
      <c r="J1371" s="265" t="s">
        <v>10655</v>
      </c>
      <c r="K1371" s="265" t="s">
        <v>10655</v>
      </c>
    </row>
    <row r="1372" spans="1:11" s="75" customFormat="1" ht="14.55" customHeight="1" x14ac:dyDescent="0.25">
      <c r="A1372" s="272" t="s">
        <v>8816</v>
      </c>
      <c r="B1372" s="272" t="s">
        <v>10591</v>
      </c>
      <c r="C1372" s="272" t="s">
        <v>10160</v>
      </c>
      <c r="D1372" s="259" t="s">
        <v>10161</v>
      </c>
      <c r="E1372" s="265" t="s">
        <v>10655</v>
      </c>
      <c r="F1372" s="272" t="s">
        <v>9198</v>
      </c>
      <c r="G1372" s="272" t="s">
        <v>9197</v>
      </c>
      <c r="H1372" s="265" t="s">
        <v>10960</v>
      </c>
      <c r="I1372" s="290" t="s">
        <v>10961</v>
      </c>
      <c r="J1372" s="265" t="s">
        <v>10655</v>
      </c>
      <c r="K1372" s="265" t="s">
        <v>10655</v>
      </c>
    </row>
    <row r="1373" spans="1:11" s="75" customFormat="1" ht="14.55" customHeight="1" x14ac:dyDescent="0.25">
      <c r="A1373" s="272" t="s">
        <v>8816</v>
      </c>
      <c r="B1373" s="272" t="s">
        <v>10591</v>
      </c>
      <c r="C1373" s="272" t="s">
        <v>10162</v>
      </c>
      <c r="D1373" s="259" t="s">
        <v>10163</v>
      </c>
      <c r="E1373" s="265" t="s">
        <v>10655</v>
      </c>
      <c r="F1373" s="272" t="s">
        <v>9198</v>
      </c>
      <c r="G1373" s="272" t="s">
        <v>9197</v>
      </c>
      <c r="H1373" s="265" t="s">
        <v>10962</v>
      </c>
      <c r="I1373" s="290" t="s">
        <v>10963</v>
      </c>
      <c r="J1373" s="265" t="s">
        <v>10655</v>
      </c>
      <c r="K1373" s="265" t="s">
        <v>10655</v>
      </c>
    </row>
    <row r="1374" spans="1:11" s="75" customFormat="1" ht="14.55" customHeight="1" x14ac:dyDescent="0.25">
      <c r="A1374" s="272" t="s">
        <v>8816</v>
      </c>
      <c r="B1374" s="272" t="s">
        <v>10591</v>
      </c>
      <c r="C1374" s="272" t="s">
        <v>10162</v>
      </c>
      <c r="D1374" s="259" t="s">
        <v>10163</v>
      </c>
      <c r="E1374" s="265" t="s">
        <v>10655</v>
      </c>
      <c r="F1374" s="272" t="s">
        <v>9198</v>
      </c>
      <c r="G1374" s="272" t="s">
        <v>9197</v>
      </c>
      <c r="H1374" s="265" t="s">
        <v>10955</v>
      </c>
      <c r="I1374" s="290" t="s">
        <v>10956</v>
      </c>
      <c r="J1374" s="265" t="s">
        <v>10655</v>
      </c>
      <c r="K1374" s="265" t="s">
        <v>10655</v>
      </c>
    </row>
    <row r="1375" spans="1:11" s="75" customFormat="1" ht="14.55" customHeight="1" x14ac:dyDescent="0.25">
      <c r="A1375" s="272" t="s">
        <v>8816</v>
      </c>
      <c r="B1375" s="272" t="s">
        <v>10591</v>
      </c>
      <c r="C1375" s="272" t="s">
        <v>10162</v>
      </c>
      <c r="D1375" s="259" t="s">
        <v>10163</v>
      </c>
      <c r="E1375" s="265" t="s">
        <v>10655</v>
      </c>
      <c r="F1375" s="272" t="s">
        <v>9198</v>
      </c>
      <c r="G1375" s="272" t="s">
        <v>9197</v>
      </c>
      <c r="H1375" s="265" t="s">
        <v>10957</v>
      </c>
      <c r="I1375" s="290" t="s">
        <v>10958</v>
      </c>
      <c r="J1375" s="265" t="s">
        <v>10655</v>
      </c>
      <c r="K1375" s="265" t="s">
        <v>10655</v>
      </c>
    </row>
    <row r="1376" spans="1:11" s="75" customFormat="1" ht="14.55" customHeight="1" x14ac:dyDescent="0.25">
      <c r="A1376" s="272" t="s">
        <v>8816</v>
      </c>
      <c r="B1376" s="272" t="s">
        <v>10591</v>
      </c>
      <c r="C1376" s="272" t="s">
        <v>10162</v>
      </c>
      <c r="D1376" s="259" t="s">
        <v>10163</v>
      </c>
      <c r="E1376" s="265" t="s">
        <v>10655</v>
      </c>
      <c r="F1376" s="272" t="s">
        <v>9198</v>
      </c>
      <c r="G1376" s="272" t="s">
        <v>9197</v>
      </c>
      <c r="H1376" s="265" t="s">
        <v>10959</v>
      </c>
      <c r="I1376" s="290" t="s">
        <v>10958</v>
      </c>
      <c r="J1376" s="265" t="s">
        <v>10655</v>
      </c>
      <c r="K1376" s="265" t="s">
        <v>10655</v>
      </c>
    </row>
    <row r="1377" spans="1:11" s="75" customFormat="1" ht="14.55" customHeight="1" x14ac:dyDescent="0.25">
      <c r="A1377" s="272" t="s">
        <v>8816</v>
      </c>
      <c r="B1377" s="272" t="s">
        <v>10591</v>
      </c>
      <c r="C1377" s="272" t="s">
        <v>10162</v>
      </c>
      <c r="D1377" s="259" t="s">
        <v>10163</v>
      </c>
      <c r="E1377" s="265" t="s">
        <v>10655</v>
      </c>
      <c r="F1377" s="272" t="s">
        <v>9198</v>
      </c>
      <c r="G1377" s="272" t="s">
        <v>9197</v>
      </c>
      <c r="H1377" s="265" t="s">
        <v>10960</v>
      </c>
      <c r="I1377" s="290" t="s">
        <v>10961</v>
      </c>
      <c r="J1377" s="265" t="s">
        <v>10655</v>
      </c>
      <c r="K1377" s="265" t="s">
        <v>10655</v>
      </c>
    </row>
    <row r="1378" spans="1:11" s="75" customFormat="1" ht="14.55" customHeight="1" x14ac:dyDescent="0.25">
      <c r="A1378" s="272" t="s">
        <v>8816</v>
      </c>
      <c r="B1378" s="272" t="s">
        <v>10591</v>
      </c>
      <c r="C1378" s="272" t="s">
        <v>10164</v>
      </c>
      <c r="D1378" s="259" t="s">
        <v>10165</v>
      </c>
      <c r="E1378" s="265" t="s">
        <v>10655</v>
      </c>
      <c r="F1378" s="272" t="s">
        <v>9198</v>
      </c>
      <c r="G1378" s="272" t="s">
        <v>9197</v>
      </c>
      <c r="H1378" s="265" t="s">
        <v>10885</v>
      </c>
      <c r="I1378" s="290" t="s">
        <v>10886</v>
      </c>
      <c r="J1378" s="265" t="s">
        <v>10655</v>
      </c>
      <c r="K1378" s="265" t="s">
        <v>10655</v>
      </c>
    </row>
    <row r="1379" spans="1:11" s="75" customFormat="1" ht="14.55" customHeight="1" x14ac:dyDescent="0.25">
      <c r="A1379" s="272" t="s">
        <v>8816</v>
      </c>
      <c r="B1379" s="272" t="s">
        <v>10591</v>
      </c>
      <c r="C1379" s="272" t="s">
        <v>10164</v>
      </c>
      <c r="D1379" s="259" t="s">
        <v>10165</v>
      </c>
      <c r="E1379" s="265" t="s">
        <v>10655</v>
      </c>
      <c r="F1379" s="272" t="s">
        <v>9198</v>
      </c>
      <c r="G1379" s="272" t="s">
        <v>9197</v>
      </c>
      <c r="H1379" s="265" t="s">
        <v>10897</v>
      </c>
      <c r="I1379" s="290" t="s">
        <v>10898</v>
      </c>
      <c r="J1379" s="265" t="s">
        <v>10655</v>
      </c>
      <c r="K1379" s="265" t="s">
        <v>10655</v>
      </c>
    </row>
    <row r="1380" spans="1:11" s="75" customFormat="1" ht="14.55" customHeight="1" x14ac:dyDescent="0.25">
      <c r="A1380" s="272" t="s">
        <v>8816</v>
      </c>
      <c r="B1380" s="272" t="s">
        <v>10591</v>
      </c>
      <c r="C1380" s="272" t="s">
        <v>10164</v>
      </c>
      <c r="D1380" s="259" t="s">
        <v>10165</v>
      </c>
      <c r="E1380" s="265" t="s">
        <v>10655</v>
      </c>
      <c r="F1380" s="272" t="s">
        <v>9198</v>
      </c>
      <c r="G1380" s="272" t="s">
        <v>9197</v>
      </c>
      <c r="H1380" s="265" t="s">
        <v>10873</v>
      </c>
      <c r="I1380" s="290" t="s">
        <v>10874</v>
      </c>
      <c r="J1380" s="265" t="s">
        <v>10655</v>
      </c>
      <c r="K1380" s="265" t="s">
        <v>10655</v>
      </c>
    </row>
    <row r="1381" spans="1:11" s="75" customFormat="1" ht="14.55" customHeight="1" x14ac:dyDescent="0.25">
      <c r="A1381" s="272" t="s">
        <v>8816</v>
      </c>
      <c r="B1381" s="272" t="s">
        <v>10591</v>
      </c>
      <c r="C1381" s="272" t="s">
        <v>10166</v>
      </c>
      <c r="D1381" s="259" t="s">
        <v>10167</v>
      </c>
      <c r="E1381" s="265" t="s">
        <v>10655</v>
      </c>
      <c r="F1381" s="272" t="s">
        <v>9198</v>
      </c>
      <c r="G1381" s="272" t="s">
        <v>9197</v>
      </c>
      <c r="H1381" s="265" t="s">
        <v>10885</v>
      </c>
      <c r="I1381" s="290" t="s">
        <v>10886</v>
      </c>
      <c r="J1381" s="265" t="s">
        <v>10655</v>
      </c>
      <c r="K1381" s="265" t="s">
        <v>10655</v>
      </c>
    </row>
    <row r="1382" spans="1:11" s="75" customFormat="1" ht="14.55" customHeight="1" x14ac:dyDescent="0.25">
      <c r="A1382" s="272" t="s">
        <v>8816</v>
      </c>
      <c r="B1382" s="272" t="s">
        <v>10591</v>
      </c>
      <c r="C1382" s="272" t="s">
        <v>10166</v>
      </c>
      <c r="D1382" s="259" t="s">
        <v>10167</v>
      </c>
      <c r="E1382" s="265" t="s">
        <v>10655</v>
      </c>
      <c r="F1382" s="272" t="s">
        <v>9198</v>
      </c>
      <c r="G1382" s="272" t="s">
        <v>9197</v>
      </c>
      <c r="H1382" s="265" t="s">
        <v>10897</v>
      </c>
      <c r="I1382" s="290" t="s">
        <v>10898</v>
      </c>
      <c r="J1382" s="265" t="s">
        <v>10655</v>
      </c>
      <c r="K1382" s="265" t="s">
        <v>10655</v>
      </c>
    </row>
    <row r="1383" spans="1:11" s="75" customFormat="1" ht="14.55" customHeight="1" x14ac:dyDescent="0.25">
      <c r="A1383" s="272" t="s">
        <v>8816</v>
      </c>
      <c r="B1383" s="272" t="s">
        <v>10591</v>
      </c>
      <c r="C1383" s="272" t="s">
        <v>10166</v>
      </c>
      <c r="D1383" s="259" t="s">
        <v>10167</v>
      </c>
      <c r="E1383" s="265" t="s">
        <v>10655</v>
      </c>
      <c r="F1383" s="272" t="s">
        <v>9198</v>
      </c>
      <c r="G1383" s="272" t="s">
        <v>9197</v>
      </c>
      <c r="H1383" s="265" t="s">
        <v>10873</v>
      </c>
      <c r="I1383" s="290" t="s">
        <v>10874</v>
      </c>
      <c r="J1383" s="265" t="s">
        <v>10655</v>
      </c>
      <c r="K1383" s="265" t="s">
        <v>10655</v>
      </c>
    </row>
    <row r="1384" spans="1:11" s="75" customFormat="1" ht="14.55" customHeight="1" x14ac:dyDescent="0.25">
      <c r="A1384" s="272" t="s">
        <v>8816</v>
      </c>
      <c r="B1384" s="272" t="s">
        <v>10591</v>
      </c>
      <c r="C1384" s="272" t="s">
        <v>10168</v>
      </c>
      <c r="D1384" s="259" t="s">
        <v>10169</v>
      </c>
      <c r="E1384" s="265" t="s">
        <v>10655</v>
      </c>
      <c r="F1384" s="272" t="s">
        <v>9198</v>
      </c>
      <c r="G1384" s="272" t="s">
        <v>9197</v>
      </c>
      <c r="H1384" s="265" t="s">
        <v>10885</v>
      </c>
      <c r="I1384" s="290" t="s">
        <v>10886</v>
      </c>
      <c r="J1384" s="265" t="s">
        <v>10655</v>
      </c>
      <c r="K1384" s="265" t="s">
        <v>10655</v>
      </c>
    </row>
    <row r="1385" spans="1:11" s="75" customFormat="1" ht="14.55" customHeight="1" x14ac:dyDescent="0.25">
      <c r="A1385" s="272" t="s">
        <v>8816</v>
      </c>
      <c r="B1385" s="272" t="s">
        <v>10591</v>
      </c>
      <c r="C1385" s="272" t="s">
        <v>10168</v>
      </c>
      <c r="D1385" s="259" t="s">
        <v>10169</v>
      </c>
      <c r="E1385" s="265" t="s">
        <v>10655</v>
      </c>
      <c r="F1385" s="272" t="s">
        <v>9198</v>
      </c>
      <c r="G1385" s="272" t="s">
        <v>9197</v>
      </c>
      <c r="H1385" s="265" t="s">
        <v>10897</v>
      </c>
      <c r="I1385" s="290" t="s">
        <v>10898</v>
      </c>
      <c r="J1385" s="265" t="s">
        <v>10655</v>
      </c>
      <c r="K1385" s="265" t="s">
        <v>10655</v>
      </c>
    </row>
    <row r="1386" spans="1:11" s="75" customFormat="1" ht="14.55" customHeight="1" x14ac:dyDescent="0.25">
      <c r="A1386" s="272" t="s">
        <v>8816</v>
      </c>
      <c r="B1386" s="272" t="s">
        <v>10591</v>
      </c>
      <c r="C1386" s="272" t="s">
        <v>10168</v>
      </c>
      <c r="D1386" s="259" t="s">
        <v>10169</v>
      </c>
      <c r="E1386" s="265" t="s">
        <v>10655</v>
      </c>
      <c r="F1386" s="272" t="s">
        <v>9198</v>
      </c>
      <c r="G1386" s="272" t="s">
        <v>9197</v>
      </c>
      <c r="H1386" s="265" t="s">
        <v>10873</v>
      </c>
      <c r="I1386" s="290" t="s">
        <v>10874</v>
      </c>
      <c r="J1386" s="265" t="s">
        <v>10655</v>
      </c>
      <c r="K1386" s="265" t="s">
        <v>10655</v>
      </c>
    </row>
    <row r="1387" spans="1:11" s="75" customFormat="1" ht="14.55" customHeight="1" x14ac:dyDescent="0.25">
      <c r="A1387" s="272" t="s">
        <v>8816</v>
      </c>
      <c r="B1387" s="272" t="s">
        <v>10591</v>
      </c>
      <c r="C1387" s="272" t="s">
        <v>10170</v>
      </c>
      <c r="D1387" s="259" t="s">
        <v>10171</v>
      </c>
      <c r="E1387" s="265" t="s">
        <v>10655</v>
      </c>
      <c r="F1387" s="272" t="s">
        <v>9198</v>
      </c>
      <c r="G1387" s="272" t="s">
        <v>9197</v>
      </c>
      <c r="H1387" s="265" t="s">
        <v>10885</v>
      </c>
      <c r="I1387" s="290" t="s">
        <v>10886</v>
      </c>
      <c r="J1387" s="265" t="s">
        <v>10655</v>
      </c>
      <c r="K1387" s="265" t="s">
        <v>10655</v>
      </c>
    </row>
    <row r="1388" spans="1:11" s="75" customFormat="1" ht="14.55" customHeight="1" x14ac:dyDescent="0.25">
      <c r="A1388" s="272" t="s">
        <v>8816</v>
      </c>
      <c r="B1388" s="272" t="s">
        <v>10591</v>
      </c>
      <c r="C1388" s="272" t="s">
        <v>10170</v>
      </c>
      <c r="D1388" s="259" t="s">
        <v>10171</v>
      </c>
      <c r="E1388" s="265" t="s">
        <v>10655</v>
      </c>
      <c r="F1388" s="272" t="s">
        <v>9198</v>
      </c>
      <c r="G1388" s="272" t="s">
        <v>9197</v>
      </c>
      <c r="H1388" s="265" t="s">
        <v>10897</v>
      </c>
      <c r="I1388" s="290" t="s">
        <v>10898</v>
      </c>
      <c r="J1388" s="265" t="s">
        <v>10655</v>
      </c>
      <c r="K1388" s="265" t="s">
        <v>10655</v>
      </c>
    </row>
    <row r="1389" spans="1:11" s="75" customFormat="1" ht="14.55" customHeight="1" x14ac:dyDescent="0.25">
      <c r="A1389" s="272" t="s">
        <v>8816</v>
      </c>
      <c r="B1389" s="272" t="s">
        <v>10591</v>
      </c>
      <c r="C1389" s="272" t="s">
        <v>10170</v>
      </c>
      <c r="D1389" s="259" t="s">
        <v>10171</v>
      </c>
      <c r="E1389" s="265" t="s">
        <v>10655</v>
      </c>
      <c r="F1389" s="272" t="s">
        <v>9198</v>
      </c>
      <c r="G1389" s="272" t="s">
        <v>9197</v>
      </c>
      <c r="H1389" s="265" t="s">
        <v>10873</v>
      </c>
      <c r="I1389" s="290" t="s">
        <v>10874</v>
      </c>
      <c r="J1389" s="265" t="s">
        <v>10655</v>
      </c>
      <c r="K1389" s="265" t="s">
        <v>10655</v>
      </c>
    </row>
    <row r="1390" spans="1:11" s="75" customFormat="1" ht="14.55" customHeight="1" x14ac:dyDescent="0.25">
      <c r="A1390" s="272" t="s">
        <v>8816</v>
      </c>
      <c r="B1390" s="272" t="s">
        <v>10591</v>
      </c>
      <c r="C1390" s="272" t="s">
        <v>10172</v>
      </c>
      <c r="D1390" s="259" t="s">
        <v>10173</v>
      </c>
      <c r="E1390" s="265" t="s">
        <v>10655</v>
      </c>
      <c r="F1390" s="272" t="s">
        <v>9198</v>
      </c>
      <c r="G1390" s="272" t="s">
        <v>9197</v>
      </c>
      <c r="H1390" s="265" t="s">
        <v>10885</v>
      </c>
      <c r="I1390" s="290" t="s">
        <v>10886</v>
      </c>
      <c r="J1390" s="265" t="s">
        <v>10655</v>
      </c>
      <c r="K1390" s="265" t="s">
        <v>10655</v>
      </c>
    </row>
    <row r="1391" spans="1:11" s="75" customFormat="1" ht="14.55" customHeight="1" x14ac:dyDescent="0.25">
      <c r="A1391" s="272" t="s">
        <v>8816</v>
      </c>
      <c r="B1391" s="272" t="s">
        <v>10591</v>
      </c>
      <c r="C1391" s="272" t="s">
        <v>10172</v>
      </c>
      <c r="D1391" s="259" t="s">
        <v>10173</v>
      </c>
      <c r="E1391" s="265" t="s">
        <v>10655</v>
      </c>
      <c r="F1391" s="272" t="s">
        <v>9198</v>
      </c>
      <c r="G1391" s="272" t="s">
        <v>9197</v>
      </c>
      <c r="H1391" s="265" t="s">
        <v>10955</v>
      </c>
      <c r="I1391" s="290" t="s">
        <v>10956</v>
      </c>
      <c r="J1391" s="265" t="s">
        <v>10655</v>
      </c>
      <c r="K1391" s="265" t="s">
        <v>10655</v>
      </c>
    </row>
    <row r="1392" spans="1:11" s="75" customFormat="1" ht="14.55" customHeight="1" x14ac:dyDescent="0.25">
      <c r="A1392" s="272" t="s">
        <v>8816</v>
      </c>
      <c r="B1392" s="272" t="s">
        <v>10591</v>
      </c>
      <c r="C1392" s="272" t="s">
        <v>10172</v>
      </c>
      <c r="D1392" s="259" t="s">
        <v>10173</v>
      </c>
      <c r="E1392" s="265" t="s">
        <v>10655</v>
      </c>
      <c r="F1392" s="272" t="s">
        <v>9198</v>
      </c>
      <c r="G1392" s="272" t="s">
        <v>9197</v>
      </c>
      <c r="H1392" s="265" t="s">
        <v>10957</v>
      </c>
      <c r="I1392" s="290" t="s">
        <v>10958</v>
      </c>
      <c r="J1392" s="265" t="s">
        <v>10655</v>
      </c>
      <c r="K1392" s="265" t="s">
        <v>10655</v>
      </c>
    </row>
    <row r="1393" spans="1:11" s="75" customFormat="1" ht="14.55" customHeight="1" x14ac:dyDescent="0.25">
      <c r="A1393" s="272" t="s">
        <v>8816</v>
      </c>
      <c r="B1393" s="272" t="s">
        <v>10591</v>
      </c>
      <c r="C1393" s="272" t="s">
        <v>10172</v>
      </c>
      <c r="D1393" s="259" t="s">
        <v>10173</v>
      </c>
      <c r="E1393" s="265" t="s">
        <v>10655</v>
      </c>
      <c r="F1393" s="272" t="s">
        <v>9198</v>
      </c>
      <c r="G1393" s="272" t="s">
        <v>9197</v>
      </c>
      <c r="H1393" s="265" t="s">
        <v>10959</v>
      </c>
      <c r="I1393" s="290" t="s">
        <v>10958</v>
      </c>
      <c r="J1393" s="265" t="s">
        <v>10655</v>
      </c>
      <c r="K1393" s="265" t="s">
        <v>10655</v>
      </c>
    </row>
    <row r="1394" spans="1:11" s="75" customFormat="1" ht="14.55" customHeight="1" x14ac:dyDescent="0.25">
      <c r="A1394" s="272" t="s">
        <v>8816</v>
      </c>
      <c r="B1394" s="272" t="s">
        <v>10591</v>
      </c>
      <c r="C1394" s="272" t="s">
        <v>10172</v>
      </c>
      <c r="D1394" s="259" t="s">
        <v>10173</v>
      </c>
      <c r="E1394" s="265" t="s">
        <v>10655</v>
      </c>
      <c r="F1394" s="272" t="s">
        <v>9198</v>
      </c>
      <c r="G1394" s="272" t="s">
        <v>9197</v>
      </c>
      <c r="H1394" s="265" t="s">
        <v>10960</v>
      </c>
      <c r="I1394" s="290" t="s">
        <v>10961</v>
      </c>
      <c r="J1394" s="265" t="s">
        <v>10655</v>
      </c>
      <c r="K1394" s="265" t="s">
        <v>10655</v>
      </c>
    </row>
    <row r="1395" spans="1:11" s="75" customFormat="1" ht="14.55" customHeight="1" x14ac:dyDescent="0.25">
      <c r="A1395" s="272" t="s">
        <v>8816</v>
      </c>
      <c r="B1395" s="272" t="s">
        <v>10591</v>
      </c>
      <c r="C1395" s="272" t="s">
        <v>10174</v>
      </c>
      <c r="D1395" s="259" t="s">
        <v>10175</v>
      </c>
      <c r="E1395" s="265" t="s">
        <v>10655</v>
      </c>
      <c r="F1395" s="272" t="s">
        <v>9198</v>
      </c>
      <c r="G1395" s="272" t="s">
        <v>9197</v>
      </c>
      <c r="H1395" s="265" t="s">
        <v>10964</v>
      </c>
      <c r="I1395" s="290" t="s">
        <v>10965</v>
      </c>
      <c r="J1395" s="265" t="s">
        <v>10655</v>
      </c>
      <c r="K1395" s="265" t="s">
        <v>10655</v>
      </c>
    </row>
    <row r="1396" spans="1:11" s="75" customFormat="1" ht="14.55" customHeight="1" x14ac:dyDescent="0.25">
      <c r="A1396" s="272" t="s">
        <v>8816</v>
      </c>
      <c r="B1396" s="272" t="s">
        <v>10591</v>
      </c>
      <c r="C1396" s="272" t="s">
        <v>10174</v>
      </c>
      <c r="D1396" s="259" t="s">
        <v>10175</v>
      </c>
      <c r="E1396" s="265" t="s">
        <v>10655</v>
      </c>
      <c r="F1396" s="272" t="s">
        <v>9198</v>
      </c>
      <c r="G1396" s="272" t="s">
        <v>9197</v>
      </c>
      <c r="H1396" s="265" t="s">
        <v>10966</v>
      </c>
      <c r="I1396" s="290" t="s">
        <v>10967</v>
      </c>
      <c r="J1396" s="265" t="s">
        <v>10655</v>
      </c>
      <c r="K1396" s="265" t="s">
        <v>10655</v>
      </c>
    </row>
    <row r="1397" spans="1:11" s="75" customFormat="1" ht="14.55" customHeight="1" x14ac:dyDescent="0.25">
      <c r="A1397" s="272" t="s">
        <v>8816</v>
      </c>
      <c r="B1397" s="272" t="s">
        <v>10591</v>
      </c>
      <c r="C1397" s="272" t="s">
        <v>10174</v>
      </c>
      <c r="D1397" s="259" t="s">
        <v>10175</v>
      </c>
      <c r="E1397" s="265" t="s">
        <v>10655</v>
      </c>
      <c r="F1397" s="272" t="s">
        <v>9198</v>
      </c>
      <c r="G1397" s="272" t="s">
        <v>9197</v>
      </c>
      <c r="H1397" s="265" t="s">
        <v>10968</v>
      </c>
      <c r="I1397" s="290" t="s">
        <v>10969</v>
      </c>
      <c r="J1397" s="265" t="s">
        <v>10655</v>
      </c>
      <c r="K1397" s="265" t="s">
        <v>10655</v>
      </c>
    </row>
    <row r="1398" spans="1:11" s="75" customFormat="1" ht="14.55" customHeight="1" x14ac:dyDescent="0.25">
      <c r="A1398" s="272" t="s">
        <v>8816</v>
      </c>
      <c r="B1398" s="272" t="s">
        <v>10591</v>
      </c>
      <c r="C1398" s="272" t="s">
        <v>10174</v>
      </c>
      <c r="D1398" s="259" t="s">
        <v>10175</v>
      </c>
      <c r="E1398" s="265" t="s">
        <v>10655</v>
      </c>
      <c r="F1398" s="272" t="s">
        <v>9198</v>
      </c>
      <c r="G1398" s="272" t="s">
        <v>9197</v>
      </c>
      <c r="H1398" s="265" t="s">
        <v>10970</v>
      </c>
      <c r="I1398" s="290" t="s">
        <v>10971</v>
      </c>
      <c r="J1398" s="265" t="s">
        <v>10655</v>
      </c>
      <c r="K1398" s="265" t="s">
        <v>10655</v>
      </c>
    </row>
    <row r="1399" spans="1:11" s="75" customFormat="1" ht="14.55" customHeight="1" x14ac:dyDescent="0.25">
      <c r="A1399" s="272" t="s">
        <v>8816</v>
      </c>
      <c r="B1399" s="272" t="s">
        <v>10591</v>
      </c>
      <c r="C1399" s="272" t="s">
        <v>10174</v>
      </c>
      <c r="D1399" s="259" t="s">
        <v>10175</v>
      </c>
      <c r="E1399" s="265" t="s">
        <v>10655</v>
      </c>
      <c r="F1399" s="272" t="s">
        <v>9198</v>
      </c>
      <c r="G1399" s="272" t="s">
        <v>9197</v>
      </c>
      <c r="H1399" s="265" t="s">
        <v>10972</v>
      </c>
      <c r="I1399" s="290" t="s">
        <v>10973</v>
      </c>
      <c r="J1399" s="265" t="s">
        <v>10655</v>
      </c>
      <c r="K1399" s="265" t="s">
        <v>10655</v>
      </c>
    </row>
    <row r="1400" spans="1:11" s="75" customFormat="1" ht="14.55" customHeight="1" x14ac:dyDescent="0.25">
      <c r="A1400" s="272" t="s">
        <v>8816</v>
      </c>
      <c r="B1400" s="272" t="s">
        <v>10591</v>
      </c>
      <c r="C1400" s="272" t="s">
        <v>10174</v>
      </c>
      <c r="D1400" s="259" t="s">
        <v>10175</v>
      </c>
      <c r="E1400" s="265" t="s">
        <v>10655</v>
      </c>
      <c r="F1400" s="272" t="s">
        <v>9198</v>
      </c>
      <c r="G1400" s="272" t="s">
        <v>9197</v>
      </c>
      <c r="H1400" s="265" t="s">
        <v>10911</v>
      </c>
      <c r="I1400" s="290" t="s">
        <v>10912</v>
      </c>
      <c r="J1400" s="265" t="s">
        <v>10655</v>
      </c>
      <c r="K1400" s="265" t="s">
        <v>10655</v>
      </c>
    </row>
    <row r="1401" spans="1:11" s="75" customFormat="1" ht="14.55" customHeight="1" x14ac:dyDescent="0.25">
      <c r="A1401" s="272" t="s">
        <v>8816</v>
      </c>
      <c r="B1401" s="272" t="s">
        <v>10591</v>
      </c>
      <c r="C1401" s="272" t="s">
        <v>10176</v>
      </c>
      <c r="D1401" s="259" t="s">
        <v>10177</v>
      </c>
      <c r="E1401" s="265" t="s">
        <v>10655</v>
      </c>
      <c r="F1401" s="272" t="s">
        <v>9198</v>
      </c>
      <c r="G1401" s="272" t="s">
        <v>9197</v>
      </c>
      <c r="H1401" s="265" t="s">
        <v>10911</v>
      </c>
      <c r="I1401" s="290" t="s">
        <v>10912</v>
      </c>
      <c r="J1401" s="265" t="s">
        <v>10655</v>
      </c>
      <c r="K1401" s="265" t="s">
        <v>10655</v>
      </c>
    </row>
    <row r="1402" spans="1:11" s="75" customFormat="1" ht="14.55" customHeight="1" x14ac:dyDescent="0.25">
      <c r="A1402" s="272" t="s">
        <v>8816</v>
      </c>
      <c r="B1402" s="272" t="s">
        <v>10591</v>
      </c>
      <c r="C1402" s="272" t="s">
        <v>10178</v>
      </c>
      <c r="D1402" s="259" t="s">
        <v>10179</v>
      </c>
      <c r="E1402" s="265" t="s">
        <v>10655</v>
      </c>
      <c r="F1402" s="272" t="s">
        <v>9198</v>
      </c>
      <c r="G1402" s="272" t="s">
        <v>9197</v>
      </c>
      <c r="H1402" s="265" t="s">
        <v>10911</v>
      </c>
      <c r="I1402" s="290" t="s">
        <v>10912</v>
      </c>
      <c r="J1402" s="265" t="s">
        <v>10655</v>
      </c>
      <c r="K1402" s="265" t="s">
        <v>10655</v>
      </c>
    </row>
    <row r="1403" spans="1:11" s="75" customFormat="1" ht="14.55" customHeight="1" x14ac:dyDescent="0.25">
      <c r="A1403" s="272" t="s">
        <v>8816</v>
      </c>
      <c r="B1403" s="272" t="s">
        <v>10591</v>
      </c>
      <c r="C1403" s="272" t="s">
        <v>10180</v>
      </c>
      <c r="D1403" s="259" t="s">
        <v>10181</v>
      </c>
      <c r="E1403" s="265" t="s">
        <v>10655</v>
      </c>
      <c r="F1403" s="272" t="s">
        <v>9198</v>
      </c>
      <c r="G1403" s="272" t="s">
        <v>9197</v>
      </c>
      <c r="H1403" s="265" t="s">
        <v>10972</v>
      </c>
      <c r="I1403" s="290" t="s">
        <v>10973</v>
      </c>
      <c r="J1403" s="265" t="s">
        <v>10655</v>
      </c>
      <c r="K1403" s="265" t="s">
        <v>10655</v>
      </c>
    </row>
    <row r="1404" spans="1:11" s="75" customFormat="1" ht="14.55" customHeight="1" x14ac:dyDescent="0.25">
      <c r="A1404" s="272" t="s">
        <v>8816</v>
      </c>
      <c r="B1404" s="272" t="s">
        <v>10591</v>
      </c>
      <c r="C1404" s="272" t="s">
        <v>10182</v>
      </c>
      <c r="D1404" s="259" t="s">
        <v>10183</v>
      </c>
      <c r="E1404" s="265" t="s">
        <v>10655</v>
      </c>
      <c r="F1404" s="272" t="s">
        <v>9198</v>
      </c>
      <c r="G1404" s="272" t="s">
        <v>9197</v>
      </c>
      <c r="H1404" s="265" t="s">
        <v>10972</v>
      </c>
      <c r="I1404" s="290" t="s">
        <v>10973</v>
      </c>
      <c r="J1404" s="265" t="s">
        <v>10655</v>
      </c>
      <c r="K1404" s="265" t="s">
        <v>10655</v>
      </c>
    </row>
    <row r="1405" spans="1:11" s="75" customFormat="1" ht="14.55" customHeight="1" x14ac:dyDescent="0.25">
      <c r="A1405" s="272" t="s">
        <v>8816</v>
      </c>
      <c r="B1405" s="272" t="s">
        <v>10591</v>
      </c>
      <c r="C1405" s="272" t="s">
        <v>10184</v>
      </c>
      <c r="D1405" s="259" t="s">
        <v>10185</v>
      </c>
      <c r="E1405" s="265" t="s">
        <v>10655</v>
      </c>
      <c r="F1405" s="272" t="s">
        <v>9198</v>
      </c>
      <c r="G1405" s="272" t="s">
        <v>9198</v>
      </c>
      <c r="H1405" s="265" t="s">
        <v>10972</v>
      </c>
      <c r="I1405" s="290" t="s">
        <v>10973</v>
      </c>
      <c r="J1405" s="265" t="s">
        <v>10655</v>
      </c>
      <c r="K1405" s="265" t="s">
        <v>10655</v>
      </c>
    </row>
    <row r="1406" spans="1:11" s="75" customFormat="1" ht="14.55" customHeight="1" x14ac:dyDescent="0.25">
      <c r="A1406" s="272" t="s">
        <v>8816</v>
      </c>
      <c r="B1406" s="272" t="s">
        <v>10591</v>
      </c>
      <c r="C1406" s="272" t="s">
        <v>10186</v>
      </c>
      <c r="D1406" s="259" t="s">
        <v>10187</v>
      </c>
      <c r="E1406" s="265" t="s">
        <v>10655</v>
      </c>
      <c r="F1406" s="272" t="s">
        <v>9198</v>
      </c>
      <c r="G1406" s="272" t="s">
        <v>9197</v>
      </c>
      <c r="H1406" s="265" t="s">
        <v>10911</v>
      </c>
      <c r="I1406" s="290" t="s">
        <v>10912</v>
      </c>
      <c r="J1406" s="265" t="s">
        <v>10655</v>
      </c>
      <c r="K1406" s="265" t="s">
        <v>10655</v>
      </c>
    </row>
    <row r="1407" spans="1:11" s="75" customFormat="1" ht="14.55" customHeight="1" x14ac:dyDescent="0.25">
      <c r="A1407" s="272" t="s">
        <v>8816</v>
      </c>
      <c r="B1407" s="272" t="s">
        <v>10591</v>
      </c>
      <c r="C1407" s="272" t="s">
        <v>10188</v>
      </c>
      <c r="D1407" s="259" t="s">
        <v>10189</v>
      </c>
      <c r="E1407" s="265" t="s">
        <v>10655</v>
      </c>
      <c r="F1407" s="272" t="s">
        <v>9198</v>
      </c>
      <c r="G1407" s="272" t="s">
        <v>9197</v>
      </c>
      <c r="H1407" s="265" t="s">
        <v>10964</v>
      </c>
      <c r="I1407" s="290" t="s">
        <v>10965</v>
      </c>
      <c r="J1407" s="265" t="s">
        <v>10655</v>
      </c>
      <c r="K1407" s="265" t="s">
        <v>10655</v>
      </c>
    </row>
    <row r="1408" spans="1:11" s="75" customFormat="1" ht="14.55" customHeight="1" x14ac:dyDescent="0.25">
      <c r="A1408" s="272" t="s">
        <v>8816</v>
      </c>
      <c r="B1408" s="272" t="s">
        <v>10591</v>
      </c>
      <c r="C1408" s="272" t="s">
        <v>10188</v>
      </c>
      <c r="D1408" s="259" t="s">
        <v>10189</v>
      </c>
      <c r="E1408" s="265" t="s">
        <v>10655</v>
      </c>
      <c r="F1408" s="272" t="s">
        <v>9198</v>
      </c>
      <c r="G1408" s="272" t="s">
        <v>9197</v>
      </c>
      <c r="H1408" s="265" t="s">
        <v>10972</v>
      </c>
      <c r="I1408" s="290" t="s">
        <v>10973</v>
      </c>
      <c r="J1408" s="265" t="s">
        <v>10655</v>
      </c>
      <c r="K1408" s="265" t="s">
        <v>10655</v>
      </c>
    </row>
    <row r="1409" spans="1:11" s="75" customFormat="1" ht="14.55" customHeight="1" x14ac:dyDescent="0.25">
      <c r="A1409" s="272" t="s">
        <v>8816</v>
      </c>
      <c r="B1409" s="272" t="s">
        <v>10591</v>
      </c>
      <c r="C1409" s="272" t="s">
        <v>10190</v>
      </c>
      <c r="D1409" s="259" t="s">
        <v>10191</v>
      </c>
      <c r="E1409" s="265" t="s">
        <v>10655</v>
      </c>
      <c r="F1409" s="272" t="s">
        <v>9198</v>
      </c>
      <c r="G1409" s="272" t="s">
        <v>9197</v>
      </c>
      <c r="H1409" s="265" t="s">
        <v>10964</v>
      </c>
      <c r="I1409" s="290" t="s">
        <v>10965</v>
      </c>
      <c r="J1409" s="265" t="s">
        <v>10655</v>
      </c>
      <c r="K1409" s="265" t="s">
        <v>10655</v>
      </c>
    </row>
    <row r="1410" spans="1:11" s="75" customFormat="1" ht="14.55" customHeight="1" x14ac:dyDescent="0.25">
      <c r="A1410" s="272" t="s">
        <v>8816</v>
      </c>
      <c r="B1410" s="272" t="s">
        <v>10591</v>
      </c>
      <c r="C1410" s="272" t="s">
        <v>10190</v>
      </c>
      <c r="D1410" s="259" t="s">
        <v>10191</v>
      </c>
      <c r="E1410" s="265" t="s">
        <v>10655</v>
      </c>
      <c r="F1410" s="272" t="s">
        <v>9198</v>
      </c>
      <c r="G1410" s="272" t="s">
        <v>9197</v>
      </c>
      <c r="H1410" s="265" t="s">
        <v>10972</v>
      </c>
      <c r="I1410" s="290" t="s">
        <v>10973</v>
      </c>
      <c r="J1410" s="265" t="s">
        <v>10655</v>
      </c>
      <c r="K1410" s="265" t="s">
        <v>10655</v>
      </c>
    </row>
    <row r="1411" spans="1:11" s="75" customFormat="1" ht="14.55" customHeight="1" x14ac:dyDescent="0.25">
      <c r="A1411" s="272" t="s">
        <v>8816</v>
      </c>
      <c r="B1411" s="272" t="s">
        <v>10591</v>
      </c>
      <c r="C1411" s="272" t="s">
        <v>10192</v>
      </c>
      <c r="D1411" s="259" t="s">
        <v>10193</v>
      </c>
      <c r="E1411" s="265" t="s">
        <v>10655</v>
      </c>
      <c r="F1411" s="272" t="s">
        <v>9198</v>
      </c>
      <c r="G1411" s="272" t="s">
        <v>9198</v>
      </c>
      <c r="H1411" s="265" t="s">
        <v>10964</v>
      </c>
      <c r="I1411" s="290" t="s">
        <v>10965</v>
      </c>
      <c r="J1411" s="265" t="s">
        <v>10655</v>
      </c>
      <c r="K1411" s="265" t="s">
        <v>10655</v>
      </c>
    </row>
    <row r="1412" spans="1:11" s="75" customFormat="1" ht="14.55" customHeight="1" x14ac:dyDescent="0.25">
      <c r="A1412" s="272" t="s">
        <v>8816</v>
      </c>
      <c r="B1412" s="272" t="s">
        <v>10591</v>
      </c>
      <c r="C1412" s="272" t="s">
        <v>10192</v>
      </c>
      <c r="D1412" s="259" t="s">
        <v>10193</v>
      </c>
      <c r="E1412" s="265" t="s">
        <v>10655</v>
      </c>
      <c r="F1412" s="272" t="s">
        <v>9198</v>
      </c>
      <c r="G1412" s="272" t="s">
        <v>9198</v>
      </c>
      <c r="H1412" s="265" t="s">
        <v>10972</v>
      </c>
      <c r="I1412" s="290" t="s">
        <v>10973</v>
      </c>
      <c r="J1412" s="265" t="s">
        <v>10655</v>
      </c>
      <c r="K1412" s="265" t="s">
        <v>10655</v>
      </c>
    </row>
    <row r="1413" spans="1:11" s="75" customFormat="1" ht="14.55" customHeight="1" x14ac:dyDescent="0.25">
      <c r="A1413" s="272" t="s">
        <v>8816</v>
      </c>
      <c r="B1413" s="272" t="s">
        <v>10591</v>
      </c>
      <c r="C1413" s="272" t="s">
        <v>10194</v>
      </c>
      <c r="D1413" s="259" t="s">
        <v>10195</v>
      </c>
      <c r="E1413" s="265" t="s">
        <v>10655</v>
      </c>
      <c r="F1413" s="272" t="s">
        <v>9198</v>
      </c>
      <c r="G1413" s="272" t="s">
        <v>9197</v>
      </c>
      <c r="H1413" s="265" t="s">
        <v>10911</v>
      </c>
      <c r="I1413" s="290" t="s">
        <v>10912</v>
      </c>
      <c r="J1413" s="265" t="s">
        <v>10655</v>
      </c>
      <c r="K1413" s="265" t="s">
        <v>10655</v>
      </c>
    </row>
    <row r="1414" spans="1:11" s="75" customFormat="1" ht="14.55" customHeight="1" x14ac:dyDescent="0.25">
      <c r="A1414" s="272" t="s">
        <v>8816</v>
      </c>
      <c r="B1414" s="272" t="s">
        <v>10591</v>
      </c>
      <c r="C1414" s="272" t="s">
        <v>10196</v>
      </c>
      <c r="D1414" s="259" t="s">
        <v>10197</v>
      </c>
      <c r="E1414" s="265" t="s">
        <v>10655</v>
      </c>
      <c r="F1414" s="272" t="s">
        <v>9198</v>
      </c>
      <c r="G1414" s="272" t="s">
        <v>9197</v>
      </c>
      <c r="H1414" s="265" t="s">
        <v>10906</v>
      </c>
      <c r="I1414" s="290" t="s">
        <v>10907</v>
      </c>
      <c r="J1414" s="265" t="s">
        <v>10655</v>
      </c>
      <c r="K1414" s="265" t="s">
        <v>10655</v>
      </c>
    </row>
    <row r="1415" spans="1:11" s="75" customFormat="1" ht="14.55" customHeight="1" x14ac:dyDescent="0.25">
      <c r="A1415" s="272" t="s">
        <v>8816</v>
      </c>
      <c r="B1415" s="272" t="s">
        <v>10591</v>
      </c>
      <c r="C1415" s="272" t="s">
        <v>10196</v>
      </c>
      <c r="D1415" s="259" t="s">
        <v>10197</v>
      </c>
      <c r="E1415" s="265" t="s">
        <v>10655</v>
      </c>
      <c r="F1415" s="272" t="s">
        <v>9198</v>
      </c>
      <c r="G1415" s="272" t="s">
        <v>9197</v>
      </c>
      <c r="H1415" s="265" t="s">
        <v>10972</v>
      </c>
      <c r="I1415" s="290" t="s">
        <v>10973</v>
      </c>
      <c r="J1415" s="265" t="s">
        <v>10655</v>
      </c>
      <c r="K1415" s="265" t="s">
        <v>10655</v>
      </c>
    </row>
    <row r="1416" spans="1:11" s="75" customFormat="1" ht="14.55" customHeight="1" x14ac:dyDescent="0.25">
      <c r="A1416" s="272" t="s">
        <v>8816</v>
      </c>
      <c r="B1416" s="272" t="s">
        <v>10591</v>
      </c>
      <c r="C1416" s="272" t="s">
        <v>10196</v>
      </c>
      <c r="D1416" s="259" t="s">
        <v>10197</v>
      </c>
      <c r="E1416" s="265" t="s">
        <v>10655</v>
      </c>
      <c r="F1416" s="272" t="s">
        <v>9198</v>
      </c>
      <c r="G1416" s="272" t="s">
        <v>9197</v>
      </c>
      <c r="H1416" s="265" t="s">
        <v>10908</v>
      </c>
      <c r="I1416" s="290" t="s">
        <v>10909</v>
      </c>
      <c r="J1416" s="265" t="s">
        <v>10655</v>
      </c>
      <c r="K1416" s="265" t="s">
        <v>10655</v>
      </c>
    </row>
    <row r="1417" spans="1:11" s="75" customFormat="1" ht="14.55" customHeight="1" x14ac:dyDescent="0.25">
      <c r="A1417" s="272" t="s">
        <v>8816</v>
      </c>
      <c r="B1417" s="272" t="s">
        <v>10591</v>
      </c>
      <c r="C1417" s="272" t="s">
        <v>10198</v>
      </c>
      <c r="D1417" s="259" t="s">
        <v>10199</v>
      </c>
      <c r="E1417" s="265" t="s">
        <v>10655</v>
      </c>
      <c r="F1417" s="272" t="s">
        <v>9198</v>
      </c>
      <c r="G1417" s="272" t="s">
        <v>9197</v>
      </c>
      <c r="H1417" s="265" t="s">
        <v>10906</v>
      </c>
      <c r="I1417" s="290" t="s">
        <v>10907</v>
      </c>
      <c r="J1417" s="265" t="s">
        <v>10655</v>
      </c>
      <c r="K1417" s="265" t="s">
        <v>10655</v>
      </c>
    </row>
    <row r="1418" spans="1:11" s="75" customFormat="1" ht="14.55" customHeight="1" x14ac:dyDescent="0.25">
      <c r="A1418" s="272" t="s">
        <v>8816</v>
      </c>
      <c r="B1418" s="272" t="s">
        <v>10591</v>
      </c>
      <c r="C1418" s="272" t="s">
        <v>10198</v>
      </c>
      <c r="D1418" s="259" t="s">
        <v>10199</v>
      </c>
      <c r="E1418" s="265" t="s">
        <v>10655</v>
      </c>
      <c r="F1418" s="272" t="s">
        <v>9198</v>
      </c>
      <c r="G1418" s="272" t="s">
        <v>9197</v>
      </c>
      <c r="H1418" s="265" t="s">
        <v>10964</v>
      </c>
      <c r="I1418" s="290" t="s">
        <v>10965</v>
      </c>
      <c r="J1418" s="265" t="s">
        <v>10655</v>
      </c>
      <c r="K1418" s="265" t="s">
        <v>10655</v>
      </c>
    </row>
    <row r="1419" spans="1:11" s="75" customFormat="1" ht="14.55" customHeight="1" x14ac:dyDescent="0.25">
      <c r="A1419" s="272" t="s">
        <v>8816</v>
      </c>
      <c r="B1419" s="272" t="s">
        <v>10591</v>
      </c>
      <c r="C1419" s="272" t="s">
        <v>10198</v>
      </c>
      <c r="D1419" s="259" t="s">
        <v>10199</v>
      </c>
      <c r="E1419" s="265" t="s">
        <v>10655</v>
      </c>
      <c r="F1419" s="272" t="s">
        <v>9198</v>
      </c>
      <c r="G1419" s="272" t="s">
        <v>9197</v>
      </c>
      <c r="H1419" s="265" t="s">
        <v>10972</v>
      </c>
      <c r="I1419" s="290" t="s">
        <v>10973</v>
      </c>
      <c r="J1419" s="265" t="s">
        <v>10655</v>
      </c>
      <c r="K1419" s="265" t="s">
        <v>10655</v>
      </c>
    </row>
    <row r="1420" spans="1:11" s="75" customFormat="1" ht="14.55" customHeight="1" x14ac:dyDescent="0.25">
      <c r="A1420" s="272" t="s">
        <v>8816</v>
      </c>
      <c r="B1420" s="272" t="s">
        <v>10591</v>
      </c>
      <c r="C1420" s="272" t="s">
        <v>10198</v>
      </c>
      <c r="D1420" s="259" t="s">
        <v>10199</v>
      </c>
      <c r="E1420" s="265" t="s">
        <v>10655</v>
      </c>
      <c r="F1420" s="272" t="s">
        <v>9198</v>
      </c>
      <c r="G1420" s="272" t="s">
        <v>9197</v>
      </c>
      <c r="H1420" s="265" t="s">
        <v>10908</v>
      </c>
      <c r="I1420" s="290" t="s">
        <v>10909</v>
      </c>
      <c r="J1420" s="265" t="s">
        <v>10655</v>
      </c>
      <c r="K1420" s="265" t="s">
        <v>10655</v>
      </c>
    </row>
    <row r="1421" spans="1:11" s="75" customFormat="1" ht="14.55" customHeight="1" x14ac:dyDescent="0.25">
      <c r="A1421" s="272" t="s">
        <v>8816</v>
      </c>
      <c r="B1421" s="272" t="s">
        <v>10591</v>
      </c>
      <c r="C1421" s="272" t="s">
        <v>10200</v>
      </c>
      <c r="D1421" s="259" t="s">
        <v>10201</v>
      </c>
      <c r="E1421" s="265" t="s">
        <v>10655</v>
      </c>
      <c r="F1421" s="272" t="s">
        <v>9198</v>
      </c>
      <c r="G1421" s="272" t="s">
        <v>9197</v>
      </c>
      <c r="H1421" s="265" t="s">
        <v>10968</v>
      </c>
      <c r="I1421" s="290" t="s">
        <v>10969</v>
      </c>
      <c r="J1421" s="265" t="s">
        <v>10655</v>
      </c>
      <c r="K1421" s="265" t="s">
        <v>10655</v>
      </c>
    </row>
    <row r="1422" spans="1:11" s="75" customFormat="1" ht="14.55" customHeight="1" x14ac:dyDescent="0.25">
      <c r="A1422" s="297" t="s">
        <v>8816</v>
      </c>
      <c r="B1422" s="296" t="s">
        <v>10591</v>
      </c>
      <c r="C1422" s="275" t="s">
        <v>10202</v>
      </c>
      <c r="D1422" s="276" t="s">
        <v>10203</v>
      </c>
      <c r="E1422" s="275" t="s">
        <v>10655</v>
      </c>
      <c r="F1422" s="296" t="s">
        <v>9198</v>
      </c>
      <c r="G1422" s="296" t="s">
        <v>9197</v>
      </c>
      <c r="H1422" s="296" t="s">
        <v>10968</v>
      </c>
      <c r="I1422" s="276" t="s">
        <v>10969</v>
      </c>
      <c r="J1422" s="275" t="s">
        <v>10655</v>
      </c>
      <c r="K1422" s="275" t="s">
        <v>10655</v>
      </c>
    </row>
    <row r="1423" spans="1:11" s="75" customFormat="1" ht="14.55" customHeight="1" x14ac:dyDescent="0.25">
      <c r="A1423" s="272" t="s">
        <v>8816</v>
      </c>
      <c r="B1423" s="272" t="s">
        <v>10591</v>
      </c>
      <c r="C1423" s="272" t="s">
        <v>10204</v>
      </c>
      <c r="D1423" s="259" t="s">
        <v>10205</v>
      </c>
      <c r="E1423" s="265" t="s">
        <v>10655</v>
      </c>
      <c r="F1423" s="272" t="s">
        <v>9198</v>
      </c>
      <c r="G1423" s="272" t="s">
        <v>9198</v>
      </c>
      <c r="H1423" s="265" t="s">
        <v>10968</v>
      </c>
      <c r="I1423" s="290" t="s">
        <v>10969</v>
      </c>
      <c r="J1423" s="265" t="s">
        <v>10655</v>
      </c>
      <c r="K1423" s="265" t="s">
        <v>10655</v>
      </c>
    </row>
    <row r="1424" spans="1:11" s="75" customFormat="1" ht="14.55" customHeight="1" x14ac:dyDescent="0.25">
      <c r="A1424" s="272" t="s">
        <v>8816</v>
      </c>
      <c r="B1424" s="272" t="s">
        <v>10591</v>
      </c>
      <c r="C1424" s="272" t="s">
        <v>10206</v>
      </c>
      <c r="D1424" s="259" t="s">
        <v>10207</v>
      </c>
      <c r="E1424" s="265" t="s">
        <v>10655</v>
      </c>
      <c r="F1424" s="272" t="s">
        <v>9198</v>
      </c>
      <c r="G1424" s="272" t="s">
        <v>9197</v>
      </c>
      <c r="H1424" s="265" t="s">
        <v>10970</v>
      </c>
      <c r="I1424" s="290" t="s">
        <v>10971</v>
      </c>
      <c r="J1424" s="265" t="s">
        <v>10655</v>
      </c>
      <c r="K1424" s="265" t="s">
        <v>10655</v>
      </c>
    </row>
    <row r="1425" spans="1:11" s="75" customFormat="1" ht="14.55" customHeight="1" x14ac:dyDescent="0.25">
      <c r="A1425" s="297" t="s">
        <v>8816</v>
      </c>
      <c r="B1425" s="296" t="s">
        <v>10591</v>
      </c>
      <c r="C1425" s="275">
        <v>170582</v>
      </c>
      <c r="D1425" s="276" t="s">
        <v>10209</v>
      </c>
      <c r="E1425" s="275" t="s">
        <v>10655</v>
      </c>
      <c r="F1425" s="296" t="s">
        <v>9198</v>
      </c>
      <c r="G1425" s="296" t="s">
        <v>9197</v>
      </c>
      <c r="H1425" s="296" t="s">
        <v>10970</v>
      </c>
      <c r="I1425" s="276" t="s">
        <v>10971</v>
      </c>
      <c r="J1425" s="275" t="s">
        <v>10655</v>
      </c>
      <c r="K1425" s="275" t="s">
        <v>10655</v>
      </c>
    </row>
    <row r="1426" spans="1:11" s="75" customFormat="1" ht="14.55" customHeight="1" x14ac:dyDescent="0.25">
      <c r="A1426" s="272" t="s">
        <v>8816</v>
      </c>
      <c r="B1426" s="272" t="s">
        <v>10591</v>
      </c>
      <c r="C1426" s="272" t="s">
        <v>10210</v>
      </c>
      <c r="D1426" s="259" t="s">
        <v>10211</v>
      </c>
      <c r="E1426" s="265" t="s">
        <v>10655</v>
      </c>
      <c r="F1426" s="272" t="s">
        <v>9198</v>
      </c>
      <c r="G1426" s="272" t="s">
        <v>9198</v>
      </c>
      <c r="H1426" s="265" t="s">
        <v>10970</v>
      </c>
      <c r="I1426" s="290" t="s">
        <v>10971</v>
      </c>
      <c r="J1426" s="265" t="s">
        <v>10655</v>
      </c>
      <c r="K1426" s="265" t="s">
        <v>10655</v>
      </c>
    </row>
    <row r="1427" spans="1:11" s="75" customFormat="1" ht="14.55" customHeight="1" x14ac:dyDescent="0.25">
      <c r="A1427" s="272" t="s">
        <v>8816</v>
      </c>
      <c r="B1427" s="272" t="s">
        <v>10591</v>
      </c>
      <c r="C1427" s="272" t="s">
        <v>10212</v>
      </c>
      <c r="D1427" s="259" t="s">
        <v>10213</v>
      </c>
      <c r="E1427" s="265" t="s">
        <v>10655</v>
      </c>
      <c r="F1427" s="272" t="s">
        <v>9198</v>
      </c>
      <c r="G1427" s="272" t="s">
        <v>9197</v>
      </c>
      <c r="H1427" s="265" t="s">
        <v>10906</v>
      </c>
      <c r="I1427" s="290" t="s">
        <v>10907</v>
      </c>
      <c r="J1427" s="265" t="s">
        <v>10655</v>
      </c>
      <c r="K1427" s="265" t="s">
        <v>10655</v>
      </c>
    </row>
    <row r="1428" spans="1:11" s="75" customFormat="1" ht="14.55" customHeight="1" x14ac:dyDescent="0.25">
      <c r="A1428" s="272" t="s">
        <v>8816</v>
      </c>
      <c r="B1428" s="272" t="s">
        <v>10591</v>
      </c>
      <c r="C1428" s="272" t="s">
        <v>10212</v>
      </c>
      <c r="D1428" s="259" t="s">
        <v>10213</v>
      </c>
      <c r="E1428" s="265" t="s">
        <v>10655</v>
      </c>
      <c r="F1428" s="272" t="s">
        <v>9198</v>
      </c>
      <c r="G1428" s="272" t="s">
        <v>9197</v>
      </c>
      <c r="H1428" s="265" t="s">
        <v>10968</v>
      </c>
      <c r="I1428" s="290" t="s">
        <v>10969</v>
      </c>
      <c r="J1428" s="265" t="s">
        <v>10655</v>
      </c>
      <c r="K1428" s="265" t="s">
        <v>10655</v>
      </c>
    </row>
    <row r="1429" spans="1:11" s="75" customFormat="1" ht="14.55" customHeight="1" x14ac:dyDescent="0.25">
      <c r="A1429" s="272" t="s">
        <v>8816</v>
      </c>
      <c r="B1429" s="272" t="s">
        <v>10591</v>
      </c>
      <c r="C1429" s="272" t="s">
        <v>10212</v>
      </c>
      <c r="D1429" s="259" t="s">
        <v>10213</v>
      </c>
      <c r="E1429" s="265" t="s">
        <v>10655</v>
      </c>
      <c r="F1429" s="272" t="s">
        <v>9198</v>
      </c>
      <c r="G1429" s="272" t="s">
        <v>9197</v>
      </c>
      <c r="H1429" s="265" t="s">
        <v>10908</v>
      </c>
      <c r="I1429" s="290" t="s">
        <v>10909</v>
      </c>
      <c r="J1429" s="265" t="s">
        <v>10655</v>
      </c>
      <c r="K1429" s="265" t="s">
        <v>10655</v>
      </c>
    </row>
    <row r="1430" spans="1:11" s="75" customFormat="1" ht="14.55" customHeight="1" x14ac:dyDescent="0.25">
      <c r="A1430" s="272" t="s">
        <v>8816</v>
      </c>
      <c r="B1430" s="272" t="s">
        <v>10591</v>
      </c>
      <c r="C1430" s="272" t="s">
        <v>10214</v>
      </c>
      <c r="D1430" s="259" t="s">
        <v>10215</v>
      </c>
      <c r="E1430" s="265" t="s">
        <v>10655</v>
      </c>
      <c r="F1430" s="272" t="s">
        <v>9198</v>
      </c>
      <c r="G1430" s="272" t="s">
        <v>9197</v>
      </c>
      <c r="H1430" s="265" t="s">
        <v>10906</v>
      </c>
      <c r="I1430" s="290" t="s">
        <v>10907</v>
      </c>
      <c r="J1430" s="265" t="s">
        <v>10655</v>
      </c>
      <c r="K1430" s="265" t="s">
        <v>10655</v>
      </c>
    </row>
    <row r="1431" spans="1:11" s="75" customFormat="1" ht="14.55" customHeight="1" x14ac:dyDescent="0.25">
      <c r="A1431" s="272" t="s">
        <v>8816</v>
      </c>
      <c r="B1431" s="272" t="s">
        <v>10591</v>
      </c>
      <c r="C1431" s="272" t="s">
        <v>10214</v>
      </c>
      <c r="D1431" s="259" t="s">
        <v>10215</v>
      </c>
      <c r="E1431" s="265" t="s">
        <v>10655</v>
      </c>
      <c r="F1431" s="272" t="s">
        <v>9198</v>
      </c>
      <c r="G1431" s="272" t="s">
        <v>9197</v>
      </c>
      <c r="H1431" s="265" t="s">
        <v>10970</v>
      </c>
      <c r="I1431" s="290" t="s">
        <v>10971</v>
      </c>
      <c r="J1431" s="265" t="s">
        <v>10655</v>
      </c>
      <c r="K1431" s="265" t="s">
        <v>10655</v>
      </c>
    </row>
    <row r="1432" spans="1:11" s="75" customFormat="1" ht="14.55" customHeight="1" x14ac:dyDescent="0.25">
      <c r="A1432" s="272" t="s">
        <v>8816</v>
      </c>
      <c r="B1432" s="272" t="s">
        <v>10591</v>
      </c>
      <c r="C1432" s="272" t="s">
        <v>10214</v>
      </c>
      <c r="D1432" s="259" t="s">
        <v>10215</v>
      </c>
      <c r="E1432" s="265" t="s">
        <v>10655</v>
      </c>
      <c r="F1432" s="272" t="s">
        <v>9198</v>
      </c>
      <c r="G1432" s="272" t="s">
        <v>9197</v>
      </c>
      <c r="H1432" s="265" t="s">
        <v>10908</v>
      </c>
      <c r="I1432" s="290" t="s">
        <v>10909</v>
      </c>
      <c r="J1432" s="265" t="s">
        <v>10655</v>
      </c>
      <c r="K1432" s="265" t="s">
        <v>10655</v>
      </c>
    </row>
    <row r="1433" spans="1:11" s="75" customFormat="1" ht="14.55" customHeight="1" x14ac:dyDescent="0.25">
      <c r="A1433" s="272" t="s">
        <v>8816</v>
      </c>
      <c r="B1433" s="272" t="s">
        <v>10591</v>
      </c>
      <c r="C1433" s="272" t="s">
        <v>10216</v>
      </c>
      <c r="D1433" s="259" t="s">
        <v>10217</v>
      </c>
      <c r="E1433" s="265" t="s">
        <v>10655</v>
      </c>
      <c r="F1433" s="272" t="s">
        <v>9198</v>
      </c>
      <c r="G1433" s="272" t="s">
        <v>9197</v>
      </c>
      <c r="H1433" s="265" t="s">
        <v>10966</v>
      </c>
      <c r="I1433" s="290" t="s">
        <v>10967</v>
      </c>
      <c r="J1433" s="265" t="s">
        <v>10655</v>
      </c>
      <c r="K1433" s="265" t="s">
        <v>10655</v>
      </c>
    </row>
    <row r="1434" spans="1:11" s="75" customFormat="1" ht="14.55" customHeight="1" x14ac:dyDescent="0.25">
      <c r="A1434" s="297" t="s">
        <v>8816</v>
      </c>
      <c r="B1434" s="296" t="s">
        <v>10591</v>
      </c>
      <c r="C1434" s="275" t="s">
        <v>10218</v>
      </c>
      <c r="D1434" s="276" t="s">
        <v>10219</v>
      </c>
      <c r="E1434" s="275" t="s">
        <v>10655</v>
      </c>
      <c r="F1434" s="296" t="s">
        <v>9198</v>
      </c>
      <c r="G1434" s="296" t="s">
        <v>9197</v>
      </c>
      <c r="H1434" s="296" t="s">
        <v>10966</v>
      </c>
      <c r="I1434" s="276" t="s">
        <v>10967</v>
      </c>
      <c r="J1434" s="275" t="s">
        <v>10655</v>
      </c>
      <c r="K1434" s="275" t="s">
        <v>10655</v>
      </c>
    </row>
    <row r="1435" spans="1:11" s="75" customFormat="1" ht="14.55" customHeight="1" x14ac:dyDescent="0.25">
      <c r="A1435" s="272" t="s">
        <v>8816</v>
      </c>
      <c r="B1435" s="272" t="s">
        <v>10591</v>
      </c>
      <c r="C1435" s="272" t="s">
        <v>10220</v>
      </c>
      <c r="D1435" s="259" t="s">
        <v>10221</v>
      </c>
      <c r="E1435" s="265" t="s">
        <v>10655</v>
      </c>
      <c r="F1435" s="272" t="s">
        <v>9198</v>
      </c>
      <c r="G1435" s="272" t="s">
        <v>9198</v>
      </c>
      <c r="H1435" s="265" t="s">
        <v>10966</v>
      </c>
      <c r="I1435" s="290" t="s">
        <v>10967</v>
      </c>
      <c r="J1435" s="265" t="s">
        <v>10655</v>
      </c>
      <c r="K1435" s="265" t="s">
        <v>10655</v>
      </c>
    </row>
    <row r="1436" spans="1:11" s="75" customFormat="1" ht="14.55" customHeight="1" x14ac:dyDescent="0.25">
      <c r="A1436" s="272" t="s">
        <v>8816</v>
      </c>
      <c r="B1436" s="272" t="s">
        <v>10591</v>
      </c>
      <c r="C1436" s="272" t="s">
        <v>10222</v>
      </c>
      <c r="D1436" s="259" t="s">
        <v>10223</v>
      </c>
      <c r="E1436" s="265" t="s">
        <v>10655</v>
      </c>
      <c r="F1436" s="272" t="s">
        <v>9198</v>
      </c>
      <c r="G1436" s="272" t="s">
        <v>9197</v>
      </c>
      <c r="H1436" s="265" t="s">
        <v>10911</v>
      </c>
      <c r="I1436" s="290" t="s">
        <v>10912</v>
      </c>
      <c r="J1436" s="265" t="s">
        <v>10655</v>
      </c>
      <c r="K1436" s="265" t="s">
        <v>10655</v>
      </c>
    </row>
    <row r="1437" spans="1:11" s="75" customFormat="1" ht="14.55" customHeight="1" x14ac:dyDescent="0.25">
      <c r="A1437" s="272" t="s">
        <v>8816</v>
      </c>
      <c r="B1437" s="272" t="s">
        <v>10591</v>
      </c>
      <c r="C1437" s="272" t="s">
        <v>10224</v>
      </c>
      <c r="D1437" s="259" t="s">
        <v>10225</v>
      </c>
      <c r="E1437" s="265" t="s">
        <v>10655</v>
      </c>
      <c r="F1437" s="272" t="s">
        <v>9198</v>
      </c>
      <c r="G1437" s="272" t="s">
        <v>9197</v>
      </c>
      <c r="H1437" s="265" t="s">
        <v>10911</v>
      </c>
      <c r="I1437" s="290" t="s">
        <v>10912</v>
      </c>
      <c r="J1437" s="265" t="s">
        <v>10655</v>
      </c>
      <c r="K1437" s="265" t="s">
        <v>10655</v>
      </c>
    </row>
    <row r="1438" spans="1:11" s="75" customFormat="1" ht="14.55" customHeight="1" x14ac:dyDescent="0.25">
      <c r="A1438" s="272" t="s">
        <v>8816</v>
      </c>
      <c r="B1438" s="272" t="s">
        <v>10591</v>
      </c>
      <c r="C1438" s="272" t="s">
        <v>10226</v>
      </c>
      <c r="D1438" s="259" t="s">
        <v>10227</v>
      </c>
      <c r="E1438" s="265" t="s">
        <v>10655</v>
      </c>
      <c r="F1438" s="272" t="s">
        <v>9198</v>
      </c>
      <c r="G1438" s="272" t="s">
        <v>9197</v>
      </c>
      <c r="H1438" s="265" t="s">
        <v>10974</v>
      </c>
      <c r="I1438" s="290" t="s">
        <v>10975</v>
      </c>
      <c r="J1438" s="265" t="s">
        <v>10655</v>
      </c>
      <c r="K1438" s="265" t="s">
        <v>10655</v>
      </c>
    </row>
    <row r="1439" spans="1:11" s="75" customFormat="1" ht="14.55" customHeight="1" x14ac:dyDescent="0.25">
      <c r="A1439" s="272" t="s">
        <v>8816</v>
      </c>
      <c r="B1439" s="272" t="s">
        <v>10591</v>
      </c>
      <c r="C1439" s="272" t="s">
        <v>10226</v>
      </c>
      <c r="D1439" s="259" t="s">
        <v>10227</v>
      </c>
      <c r="E1439" s="265" t="s">
        <v>10655</v>
      </c>
      <c r="F1439" s="272" t="s">
        <v>9198</v>
      </c>
      <c r="G1439" s="272" t="s">
        <v>9197</v>
      </c>
      <c r="H1439" s="265" t="s">
        <v>10966</v>
      </c>
      <c r="I1439" s="290" t="s">
        <v>10967</v>
      </c>
      <c r="J1439" s="265" t="s">
        <v>10655</v>
      </c>
      <c r="K1439" s="265" t="s">
        <v>10655</v>
      </c>
    </row>
    <row r="1440" spans="1:11" s="75" customFormat="1" ht="14.55" customHeight="1" x14ac:dyDescent="0.25">
      <c r="A1440" s="272" t="s">
        <v>8816</v>
      </c>
      <c r="B1440" s="272" t="s">
        <v>10591</v>
      </c>
      <c r="C1440" s="272" t="s">
        <v>10228</v>
      </c>
      <c r="D1440" s="259" t="s">
        <v>10229</v>
      </c>
      <c r="E1440" s="265" t="s">
        <v>10655</v>
      </c>
      <c r="F1440" s="272" t="s">
        <v>9198</v>
      </c>
      <c r="G1440" s="272" t="s">
        <v>9197</v>
      </c>
      <c r="H1440" s="265" t="s">
        <v>10974</v>
      </c>
      <c r="I1440" s="290" t="s">
        <v>10975</v>
      </c>
      <c r="J1440" s="265" t="s">
        <v>10655</v>
      </c>
      <c r="K1440" s="265" t="s">
        <v>10655</v>
      </c>
    </row>
    <row r="1441" spans="1:11" s="75" customFormat="1" ht="14.55" customHeight="1" x14ac:dyDescent="0.25">
      <c r="A1441" s="272" t="s">
        <v>8816</v>
      </c>
      <c r="B1441" s="272" t="s">
        <v>10591</v>
      </c>
      <c r="C1441" s="272" t="s">
        <v>10228</v>
      </c>
      <c r="D1441" s="259" t="s">
        <v>10229</v>
      </c>
      <c r="E1441" s="265" t="s">
        <v>10655</v>
      </c>
      <c r="F1441" s="272" t="s">
        <v>9198</v>
      </c>
      <c r="G1441" s="272" t="s">
        <v>9197</v>
      </c>
      <c r="H1441" s="265" t="s">
        <v>10966</v>
      </c>
      <c r="I1441" s="290" t="s">
        <v>10967</v>
      </c>
      <c r="J1441" s="265" t="s">
        <v>10655</v>
      </c>
      <c r="K1441" s="265" t="s">
        <v>10655</v>
      </c>
    </row>
    <row r="1442" spans="1:11" s="75" customFormat="1" ht="14.55" customHeight="1" x14ac:dyDescent="0.25">
      <c r="A1442" s="272" t="s">
        <v>8816</v>
      </c>
      <c r="B1442" s="272" t="s">
        <v>10591</v>
      </c>
      <c r="C1442" s="272" t="s">
        <v>10230</v>
      </c>
      <c r="D1442" s="259" t="s">
        <v>10231</v>
      </c>
      <c r="E1442" s="265" t="s">
        <v>10655</v>
      </c>
      <c r="F1442" s="272" t="s">
        <v>9198</v>
      </c>
      <c r="G1442" s="272" t="s">
        <v>9198</v>
      </c>
      <c r="H1442" s="265" t="s">
        <v>10974</v>
      </c>
      <c r="I1442" s="290" t="s">
        <v>10975</v>
      </c>
      <c r="J1442" s="265" t="s">
        <v>10655</v>
      </c>
      <c r="K1442" s="265" t="s">
        <v>10655</v>
      </c>
    </row>
    <row r="1443" spans="1:11" s="75" customFormat="1" ht="14.55" customHeight="1" x14ac:dyDescent="0.25">
      <c r="A1443" s="272" t="s">
        <v>8816</v>
      </c>
      <c r="B1443" s="272" t="s">
        <v>10591</v>
      </c>
      <c r="C1443" s="272" t="s">
        <v>10230</v>
      </c>
      <c r="D1443" s="259" t="s">
        <v>10231</v>
      </c>
      <c r="E1443" s="265" t="s">
        <v>10655</v>
      </c>
      <c r="F1443" s="272" t="s">
        <v>9198</v>
      </c>
      <c r="G1443" s="272" t="s">
        <v>9198</v>
      </c>
      <c r="H1443" s="265" t="s">
        <v>10966</v>
      </c>
      <c r="I1443" s="290" t="s">
        <v>10967</v>
      </c>
      <c r="J1443" s="265" t="s">
        <v>10655</v>
      </c>
      <c r="K1443" s="265" t="s">
        <v>10655</v>
      </c>
    </row>
    <row r="1444" spans="1:11" s="75" customFormat="1" ht="14.55" customHeight="1" x14ac:dyDescent="0.25">
      <c r="A1444" s="272" t="s">
        <v>8816</v>
      </c>
      <c r="B1444" s="272" t="s">
        <v>10591</v>
      </c>
      <c r="C1444" s="272" t="s">
        <v>10232</v>
      </c>
      <c r="D1444" s="259" t="s">
        <v>10233</v>
      </c>
      <c r="E1444" s="265" t="s">
        <v>10655</v>
      </c>
      <c r="F1444" s="272" t="s">
        <v>9198</v>
      </c>
      <c r="G1444" s="272" t="s">
        <v>9197</v>
      </c>
      <c r="H1444" s="265" t="s">
        <v>10906</v>
      </c>
      <c r="I1444" s="290" t="s">
        <v>10907</v>
      </c>
      <c r="J1444" s="265" t="s">
        <v>10655</v>
      </c>
      <c r="K1444" s="265" t="s">
        <v>10655</v>
      </c>
    </row>
    <row r="1445" spans="1:11" s="75" customFormat="1" ht="14.55" customHeight="1" x14ac:dyDescent="0.25">
      <c r="A1445" s="272" t="s">
        <v>8816</v>
      </c>
      <c r="B1445" s="272" t="s">
        <v>10591</v>
      </c>
      <c r="C1445" s="272" t="s">
        <v>10232</v>
      </c>
      <c r="D1445" s="259" t="s">
        <v>10233</v>
      </c>
      <c r="E1445" s="265" t="s">
        <v>10655</v>
      </c>
      <c r="F1445" s="272" t="s">
        <v>9198</v>
      </c>
      <c r="G1445" s="272" t="s">
        <v>9197</v>
      </c>
      <c r="H1445" s="265" t="s">
        <v>10974</v>
      </c>
      <c r="I1445" s="290" t="s">
        <v>10975</v>
      </c>
      <c r="J1445" s="265" t="s">
        <v>10655</v>
      </c>
      <c r="K1445" s="265" t="s">
        <v>10655</v>
      </c>
    </row>
    <row r="1446" spans="1:11" s="75" customFormat="1" ht="14.55" customHeight="1" x14ac:dyDescent="0.25">
      <c r="A1446" s="272" t="s">
        <v>8816</v>
      </c>
      <c r="B1446" s="272" t="s">
        <v>10591</v>
      </c>
      <c r="C1446" s="272" t="s">
        <v>10232</v>
      </c>
      <c r="D1446" s="259" t="s">
        <v>10233</v>
      </c>
      <c r="E1446" s="265" t="s">
        <v>10655</v>
      </c>
      <c r="F1446" s="272" t="s">
        <v>9198</v>
      </c>
      <c r="G1446" s="272" t="s">
        <v>9197</v>
      </c>
      <c r="H1446" s="265" t="s">
        <v>10966</v>
      </c>
      <c r="I1446" s="290" t="s">
        <v>10967</v>
      </c>
      <c r="J1446" s="265" t="s">
        <v>10655</v>
      </c>
      <c r="K1446" s="265" t="s">
        <v>10655</v>
      </c>
    </row>
    <row r="1447" spans="1:11" s="75" customFormat="1" ht="14.55" customHeight="1" x14ac:dyDescent="0.25">
      <c r="A1447" s="272" t="s">
        <v>8816</v>
      </c>
      <c r="B1447" s="272" t="s">
        <v>10591</v>
      </c>
      <c r="C1447" s="272" t="s">
        <v>10232</v>
      </c>
      <c r="D1447" s="259" t="s">
        <v>10233</v>
      </c>
      <c r="E1447" s="265" t="s">
        <v>10655</v>
      </c>
      <c r="F1447" s="272" t="s">
        <v>9198</v>
      </c>
      <c r="G1447" s="272" t="s">
        <v>9197</v>
      </c>
      <c r="H1447" s="265" t="s">
        <v>10908</v>
      </c>
      <c r="I1447" s="290" t="s">
        <v>10909</v>
      </c>
      <c r="J1447" s="265" t="s">
        <v>10655</v>
      </c>
      <c r="K1447" s="265" t="s">
        <v>10655</v>
      </c>
    </row>
    <row r="1448" spans="1:11" s="75" customFormat="1" ht="14.55" customHeight="1" x14ac:dyDescent="0.25">
      <c r="A1448" s="272" t="s">
        <v>8816</v>
      </c>
      <c r="B1448" s="272" t="s">
        <v>10591</v>
      </c>
      <c r="C1448" s="272" t="s">
        <v>10232</v>
      </c>
      <c r="D1448" s="259" t="s">
        <v>10233</v>
      </c>
      <c r="E1448" s="265" t="s">
        <v>10655</v>
      </c>
      <c r="F1448" s="272" t="s">
        <v>9198</v>
      </c>
      <c r="G1448" s="272" t="s">
        <v>9197</v>
      </c>
      <c r="H1448" s="265" t="s">
        <v>10911</v>
      </c>
      <c r="I1448" s="290" t="s">
        <v>10912</v>
      </c>
      <c r="J1448" s="265" t="s">
        <v>10655</v>
      </c>
      <c r="K1448" s="265" t="s">
        <v>10655</v>
      </c>
    </row>
    <row r="1449" spans="1:11" s="75" customFormat="1" ht="14.55" customHeight="1" x14ac:dyDescent="0.25">
      <c r="A1449" s="272" t="s">
        <v>8816</v>
      </c>
      <c r="B1449" s="272" t="s">
        <v>10591</v>
      </c>
      <c r="C1449" s="272" t="s">
        <v>10234</v>
      </c>
      <c r="D1449" s="259" t="s">
        <v>10235</v>
      </c>
      <c r="E1449" s="265" t="s">
        <v>10655</v>
      </c>
      <c r="F1449" s="272" t="s">
        <v>9198</v>
      </c>
      <c r="G1449" s="272" t="s">
        <v>9197</v>
      </c>
      <c r="H1449" s="265" t="s">
        <v>10906</v>
      </c>
      <c r="I1449" s="290" t="s">
        <v>10907</v>
      </c>
      <c r="J1449" s="265" t="s">
        <v>10655</v>
      </c>
      <c r="K1449" s="265" t="s">
        <v>10655</v>
      </c>
    </row>
    <row r="1450" spans="1:11" s="75" customFormat="1" ht="14.55" customHeight="1" x14ac:dyDescent="0.25">
      <c r="A1450" s="272" t="s">
        <v>8816</v>
      </c>
      <c r="B1450" s="272" t="s">
        <v>10591</v>
      </c>
      <c r="C1450" s="272" t="s">
        <v>10234</v>
      </c>
      <c r="D1450" s="259" t="s">
        <v>10235</v>
      </c>
      <c r="E1450" s="265" t="s">
        <v>10655</v>
      </c>
      <c r="F1450" s="272" t="s">
        <v>9198</v>
      </c>
      <c r="G1450" s="272" t="s">
        <v>9197</v>
      </c>
      <c r="H1450" s="265" t="s">
        <v>10966</v>
      </c>
      <c r="I1450" s="290" t="s">
        <v>10967</v>
      </c>
      <c r="J1450" s="265" t="s">
        <v>10655</v>
      </c>
      <c r="K1450" s="265" t="s">
        <v>10655</v>
      </c>
    </row>
    <row r="1451" spans="1:11" s="75" customFormat="1" ht="14.55" customHeight="1" x14ac:dyDescent="0.25">
      <c r="A1451" s="272" t="s">
        <v>8816</v>
      </c>
      <c r="B1451" s="272" t="s">
        <v>10591</v>
      </c>
      <c r="C1451" s="272" t="s">
        <v>10234</v>
      </c>
      <c r="D1451" s="259" t="s">
        <v>10235</v>
      </c>
      <c r="E1451" s="265" t="s">
        <v>10655</v>
      </c>
      <c r="F1451" s="272" t="s">
        <v>9198</v>
      </c>
      <c r="G1451" s="272" t="s">
        <v>9197</v>
      </c>
      <c r="H1451" s="265" t="s">
        <v>10908</v>
      </c>
      <c r="I1451" s="290" t="s">
        <v>10909</v>
      </c>
      <c r="J1451" s="265" t="s">
        <v>10655</v>
      </c>
      <c r="K1451" s="265" t="s">
        <v>10655</v>
      </c>
    </row>
    <row r="1452" spans="1:11" s="75" customFormat="1" ht="14.55" customHeight="1" x14ac:dyDescent="0.25">
      <c r="A1452" s="272" t="s">
        <v>8816</v>
      </c>
      <c r="B1452" s="272" t="s">
        <v>10591</v>
      </c>
      <c r="C1452" s="272" t="s">
        <v>10236</v>
      </c>
      <c r="D1452" s="259" t="s">
        <v>10237</v>
      </c>
      <c r="E1452" s="265" t="s">
        <v>10655</v>
      </c>
      <c r="F1452" s="272" t="s">
        <v>9198</v>
      </c>
      <c r="G1452" s="272" t="s">
        <v>9197</v>
      </c>
      <c r="H1452" s="265" t="s">
        <v>10976</v>
      </c>
      <c r="I1452" s="290" t="s">
        <v>10977</v>
      </c>
      <c r="J1452" s="265" t="s">
        <v>10655</v>
      </c>
      <c r="K1452" s="265" t="s">
        <v>10655</v>
      </c>
    </row>
    <row r="1453" spans="1:11" s="75" customFormat="1" ht="14.55" customHeight="1" x14ac:dyDescent="0.25">
      <c r="A1453" s="272" t="s">
        <v>8816</v>
      </c>
      <c r="B1453" s="272" t="s">
        <v>10591</v>
      </c>
      <c r="C1453" s="272" t="s">
        <v>10236</v>
      </c>
      <c r="D1453" s="259" t="s">
        <v>10237</v>
      </c>
      <c r="E1453" s="265" t="s">
        <v>10655</v>
      </c>
      <c r="F1453" s="272" t="s">
        <v>9198</v>
      </c>
      <c r="G1453" s="272" t="s">
        <v>9197</v>
      </c>
      <c r="H1453" s="265" t="s">
        <v>10978</v>
      </c>
      <c r="I1453" s="290" t="s">
        <v>10979</v>
      </c>
      <c r="J1453" s="265" t="s">
        <v>10655</v>
      </c>
      <c r="K1453" s="265" t="s">
        <v>10655</v>
      </c>
    </row>
    <row r="1454" spans="1:11" s="75" customFormat="1" ht="14.55" customHeight="1" x14ac:dyDescent="0.25">
      <c r="A1454" s="272" t="s">
        <v>8816</v>
      </c>
      <c r="B1454" s="272" t="s">
        <v>10591</v>
      </c>
      <c r="C1454" s="272" t="s">
        <v>10236</v>
      </c>
      <c r="D1454" s="259" t="s">
        <v>10237</v>
      </c>
      <c r="E1454" s="265" t="s">
        <v>10655</v>
      </c>
      <c r="F1454" s="272" t="s">
        <v>9198</v>
      </c>
      <c r="G1454" s="272" t="s">
        <v>9197</v>
      </c>
      <c r="H1454" s="265" t="s">
        <v>10980</v>
      </c>
      <c r="I1454" s="290" t="s">
        <v>10981</v>
      </c>
      <c r="J1454" s="265" t="s">
        <v>10655</v>
      </c>
      <c r="K1454" s="265" t="s">
        <v>10655</v>
      </c>
    </row>
    <row r="1455" spans="1:11" s="75" customFormat="1" ht="14.55" customHeight="1" x14ac:dyDescent="0.25">
      <c r="A1455" s="272" t="s">
        <v>8816</v>
      </c>
      <c r="B1455" s="272" t="s">
        <v>10591</v>
      </c>
      <c r="C1455" s="272" t="s">
        <v>10236</v>
      </c>
      <c r="D1455" s="259" t="s">
        <v>10237</v>
      </c>
      <c r="E1455" s="265" t="s">
        <v>10655</v>
      </c>
      <c r="F1455" s="272" t="s">
        <v>9198</v>
      </c>
      <c r="G1455" s="272" t="s">
        <v>9197</v>
      </c>
      <c r="H1455" s="265" t="s">
        <v>10982</v>
      </c>
      <c r="I1455" s="290" t="s">
        <v>10983</v>
      </c>
      <c r="J1455" s="265" t="s">
        <v>10655</v>
      </c>
      <c r="K1455" s="265" t="s">
        <v>10655</v>
      </c>
    </row>
    <row r="1456" spans="1:11" s="75" customFormat="1" ht="14.55" customHeight="1" x14ac:dyDescent="0.25">
      <c r="A1456" s="272" t="s">
        <v>8816</v>
      </c>
      <c r="B1456" s="272" t="s">
        <v>10591</v>
      </c>
      <c r="C1456" s="272" t="s">
        <v>10236</v>
      </c>
      <c r="D1456" s="259" t="s">
        <v>10237</v>
      </c>
      <c r="E1456" s="265" t="s">
        <v>10655</v>
      </c>
      <c r="F1456" s="272" t="s">
        <v>9198</v>
      </c>
      <c r="G1456" s="272" t="s">
        <v>9197</v>
      </c>
      <c r="H1456" s="265" t="s">
        <v>10984</v>
      </c>
      <c r="I1456" s="290" t="s">
        <v>10985</v>
      </c>
      <c r="J1456" s="265" t="s">
        <v>10655</v>
      </c>
      <c r="K1456" s="265" t="s">
        <v>10655</v>
      </c>
    </row>
    <row r="1457" spans="1:11" s="75" customFormat="1" ht="14.55" customHeight="1" x14ac:dyDescent="0.25">
      <c r="A1457" s="272" t="s">
        <v>8816</v>
      </c>
      <c r="B1457" s="272" t="s">
        <v>10591</v>
      </c>
      <c r="C1457" s="272" t="s">
        <v>10236</v>
      </c>
      <c r="D1457" s="259" t="s">
        <v>10237</v>
      </c>
      <c r="E1457" s="265" t="s">
        <v>10655</v>
      </c>
      <c r="F1457" s="272" t="s">
        <v>9198</v>
      </c>
      <c r="G1457" s="272" t="s">
        <v>9197</v>
      </c>
      <c r="H1457" s="265" t="s">
        <v>10986</v>
      </c>
      <c r="I1457" s="290" t="s">
        <v>10987</v>
      </c>
      <c r="J1457" s="265" t="s">
        <v>10655</v>
      </c>
      <c r="K1457" s="265" t="s">
        <v>10655</v>
      </c>
    </row>
    <row r="1458" spans="1:11" s="75" customFormat="1" ht="14.55" customHeight="1" x14ac:dyDescent="0.25">
      <c r="A1458" s="272" t="s">
        <v>8816</v>
      </c>
      <c r="B1458" s="272" t="s">
        <v>10591</v>
      </c>
      <c r="C1458" s="272" t="s">
        <v>10236</v>
      </c>
      <c r="D1458" s="259" t="s">
        <v>10237</v>
      </c>
      <c r="E1458" s="265" t="s">
        <v>10655</v>
      </c>
      <c r="F1458" s="272" t="s">
        <v>9198</v>
      </c>
      <c r="G1458" s="272" t="s">
        <v>9197</v>
      </c>
      <c r="H1458" s="265" t="s">
        <v>10988</v>
      </c>
      <c r="I1458" s="290" t="s">
        <v>10989</v>
      </c>
      <c r="J1458" s="265" t="s">
        <v>10655</v>
      </c>
      <c r="K1458" s="265" t="s">
        <v>10655</v>
      </c>
    </row>
    <row r="1459" spans="1:11" s="75" customFormat="1" ht="14.55" customHeight="1" x14ac:dyDescent="0.25">
      <c r="A1459" s="272" t="s">
        <v>8816</v>
      </c>
      <c r="B1459" s="272" t="s">
        <v>10591</v>
      </c>
      <c r="C1459" s="272" t="s">
        <v>10236</v>
      </c>
      <c r="D1459" s="259" t="s">
        <v>10237</v>
      </c>
      <c r="E1459" s="265" t="s">
        <v>10655</v>
      </c>
      <c r="F1459" s="272" t="s">
        <v>9198</v>
      </c>
      <c r="G1459" s="272" t="s">
        <v>9197</v>
      </c>
      <c r="H1459" s="265" t="s">
        <v>10990</v>
      </c>
      <c r="I1459" s="290" t="s">
        <v>10991</v>
      </c>
      <c r="J1459" s="265" t="s">
        <v>10655</v>
      </c>
      <c r="K1459" s="265" t="s">
        <v>10655</v>
      </c>
    </row>
    <row r="1460" spans="1:11" s="75" customFormat="1" ht="14.55" customHeight="1" x14ac:dyDescent="0.25">
      <c r="A1460" s="272" t="s">
        <v>8816</v>
      </c>
      <c r="B1460" s="272" t="s">
        <v>10591</v>
      </c>
      <c r="C1460" s="272" t="s">
        <v>10236</v>
      </c>
      <c r="D1460" s="259" t="s">
        <v>10237</v>
      </c>
      <c r="E1460" s="265" t="s">
        <v>10655</v>
      </c>
      <c r="F1460" s="272" t="s">
        <v>9198</v>
      </c>
      <c r="G1460" s="272" t="s">
        <v>9197</v>
      </c>
      <c r="H1460" s="265" t="s">
        <v>10992</v>
      </c>
      <c r="I1460" s="290" t="s">
        <v>10993</v>
      </c>
      <c r="J1460" s="265" t="s">
        <v>10655</v>
      </c>
      <c r="K1460" s="265" t="s">
        <v>10655</v>
      </c>
    </row>
    <row r="1461" spans="1:11" s="75" customFormat="1" ht="14.55" customHeight="1" x14ac:dyDescent="0.25">
      <c r="A1461" s="272" t="s">
        <v>8816</v>
      </c>
      <c r="B1461" s="272" t="s">
        <v>10591</v>
      </c>
      <c r="C1461" s="272" t="s">
        <v>10236</v>
      </c>
      <c r="D1461" s="259" t="s">
        <v>10237</v>
      </c>
      <c r="E1461" s="265" t="s">
        <v>10655</v>
      </c>
      <c r="F1461" s="272" t="s">
        <v>9198</v>
      </c>
      <c r="G1461" s="272" t="s">
        <v>9197</v>
      </c>
      <c r="H1461" s="265" t="s">
        <v>10994</v>
      </c>
      <c r="I1461" s="290" t="s">
        <v>10995</v>
      </c>
      <c r="J1461" s="265" t="s">
        <v>10655</v>
      </c>
      <c r="K1461" s="265" t="s">
        <v>10655</v>
      </c>
    </row>
    <row r="1462" spans="1:11" s="75" customFormat="1" ht="14.55" customHeight="1" x14ac:dyDescent="0.25">
      <c r="A1462" s="272" t="s">
        <v>8816</v>
      </c>
      <c r="B1462" s="272" t="s">
        <v>10591</v>
      </c>
      <c r="C1462" s="272" t="s">
        <v>10236</v>
      </c>
      <c r="D1462" s="259" t="s">
        <v>10237</v>
      </c>
      <c r="E1462" s="265" t="s">
        <v>10655</v>
      </c>
      <c r="F1462" s="272" t="s">
        <v>9198</v>
      </c>
      <c r="G1462" s="272" t="s">
        <v>9197</v>
      </c>
      <c r="H1462" s="265" t="s">
        <v>10996</v>
      </c>
      <c r="I1462" s="290" t="s">
        <v>10997</v>
      </c>
      <c r="J1462" s="265" t="s">
        <v>10655</v>
      </c>
      <c r="K1462" s="265" t="s">
        <v>10655</v>
      </c>
    </row>
    <row r="1463" spans="1:11" s="75" customFormat="1" ht="14.55" customHeight="1" x14ac:dyDescent="0.25">
      <c r="A1463" s="272" t="s">
        <v>8816</v>
      </c>
      <c r="B1463" s="272" t="s">
        <v>10591</v>
      </c>
      <c r="C1463" s="272" t="s">
        <v>10236</v>
      </c>
      <c r="D1463" s="259" t="s">
        <v>10237</v>
      </c>
      <c r="E1463" s="265" t="s">
        <v>10655</v>
      </c>
      <c r="F1463" s="272" t="s">
        <v>9198</v>
      </c>
      <c r="G1463" s="272" t="s">
        <v>9197</v>
      </c>
      <c r="H1463" s="265" t="s">
        <v>10998</v>
      </c>
      <c r="I1463" s="290" t="s">
        <v>10999</v>
      </c>
      <c r="J1463" s="265" t="s">
        <v>10655</v>
      </c>
      <c r="K1463" s="265" t="s">
        <v>10655</v>
      </c>
    </row>
    <row r="1464" spans="1:11" s="75" customFormat="1" ht="14.55" customHeight="1" x14ac:dyDescent="0.25">
      <c r="A1464" s="272" t="s">
        <v>8816</v>
      </c>
      <c r="B1464" s="272" t="s">
        <v>10591</v>
      </c>
      <c r="C1464" s="272" t="s">
        <v>10236</v>
      </c>
      <c r="D1464" s="259" t="s">
        <v>10237</v>
      </c>
      <c r="E1464" s="265" t="s">
        <v>10655</v>
      </c>
      <c r="F1464" s="272" t="s">
        <v>9198</v>
      </c>
      <c r="G1464" s="272" t="s">
        <v>9197</v>
      </c>
      <c r="H1464" s="265" t="s">
        <v>11000</v>
      </c>
      <c r="I1464" s="290" t="s">
        <v>11001</v>
      </c>
      <c r="J1464" s="265" t="s">
        <v>10655</v>
      </c>
      <c r="K1464" s="265" t="s">
        <v>10655</v>
      </c>
    </row>
    <row r="1465" spans="1:11" s="75" customFormat="1" ht="14.55" customHeight="1" x14ac:dyDescent="0.25">
      <c r="A1465" s="272" t="s">
        <v>8816</v>
      </c>
      <c r="B1465" s="272" t="s">
        <v>10591</v>
      </c>
      <c r="C1465" s="272" t="s">
        <v>10238</v>
      </c>
      <c r="D1465" s="259" t="s">
        <v>10239</v>
      </c>
      <c r="E1465" s="265" t="s">
        <v>10655</v>
      </c>
      <c r="F1465" s="272" t="s">
        <v>9198</v>
      </c>
      <c r="G1465" s="272" t="s">
        <v>9197</v>
      </c>
      <c r="H1465" s="265" t="s">
        <v>10990</v>
      </c>
      <c r="I1465" s="290" t="s">
        <v>10991</v>
      </c>
      <c r="J1465" s="265" t="s">
        <v>10655</v>
      </c>
      <c r="K1465" s="265" t="s">
        <v>10655</v>
      </c>
    </row>
    <row r="1466" spans="1:11" s="75" customFormat="1" ht="14.55" customHeight="1" x14ac:dyDescent="0.25">
      <c r="A1466" s="272" t="s">
        <v>8816</v>
      </c>
      <c r="B1466" s="272" t="s">
        <v>10591</v>
      </c>
      <c r="C1466" s="272" t="s">
        <v>10238</v>
      </c>
      <c r="D1466" s="259" t="s">
        <v>10239</v>
      </c>
      <c r="E1466" s="265" t="s">
        <v>10655</v>
      </c>
      <c r="F1466" s="272" t="s">
        <v>9198</v>
      </c>
      <c r="G1466" s="272" t="s">
        <v>9197</v>
      </c>
      <c r="H1466" s="265" t="s">
        <v>10994</v>
      </c>
      <c r="I1466" s="290" t="s">
        <v>10995</v>
      </c>
      <c r="J1466" s="265" t="s">
        <v>10655</v>
      </c>
      <c r="K1466" s="265" t="s">
        <v>10655</v>
      </c>
    </row>
    <row r="1467" spans="1:11" s="75" customFormat="1" ht="14.55" customHeight="1" x14ac:dyDescent="0.25">
      <c r="A1467" s="272" t="s">
        <v>8816</v>
      </c>
      <c r="B1467" s="272" t="s">
        <v>10591</v>
      </c>
      <c r="C1467" s="272" t="s">
        <v>10238</v>
      </c>
      <c r="D1467" s="259" t="s">
        <v>10239</v>
      </c>
      <c r="E1467" s="265" t="s">
        <v>10655</v>
      </c>
      <c r="F1467" s="272" t="s">
        <v>9198</v>
      </c>
      <c r="G1467" s="272" t="s">
        <v>9197</v>
      </c>
      <c r="H1467" s="265" t="s">
        <v>10996</v>
      </c>
      <c r="I1467" s="290" t="s">
        <v>10997</v>
      </c>
      <c r="J1467" s="265" t="s">
        <v>10655</v>
      </c>
      <c r="K1467" s="265" t="s">
        <v>10655</v>
      </c>
    </row>
    <row r="1468" spans="1:11" s="75" customFormat="1" ht="14.55" customHeight="1" x14ac:dyDescent="0.25">
      <c r="A1468" s="272" t="s">
        <v>8816</v>
      </c>
      <c r="B1468" s="272" t="s">
        <v>10591</v>
      </c>
      <c r="C1468" s="272" t="s">
        <v>10238</v>
      </c>
      <c r="D1468" s="259" t="s">
        <v>10239</v>
      </c>
      <c r="E1468" s="265" t="s">
        <v>10655</v>
      </c>
      <c r="F1468" s="272" t="s">
        <v>9198</v>
      </c>
      <c r="G1468" s="272" t="s">
        <v>9197</v>
      </c>
      <c r="H1468" s="265" t="s">
        <v>10998</v>
      </c>
      <c r="I1468" s="290" t="s">
        <v>10999</v>
      </c>
      <c r="J1468" s="265" t="s">
        <v>10655</v>
      </c>
      <c r="K1468" s="265" t="s">
        <v>10655</v>
      </c>
    </row>
    <row r="1469" spans="1:11" s="75" customFormat="1" ht="14.55" customHeight="1" x14ac:dyDescent="0.25">
      <c r="A1469" s="272" t="s">
        <v>8816</v>
      </c>
      <c r="B1469" s="272" t="s">
        <v>10591</v>
      </c>
      <c r="C1469" s="272" t="s">
        <v>10238</v>
      </c>
      <c r="D1469" s="259" t="s">
        <v>10239</v>
      </c>
      <c r="E1469" s="265" t="s">
        <v>10655</v>
      </c>
      <c r="F1469" s="272" t="s">
        <v>9198</v>
      </c>
      <c r="G1469" s="272" t="s">
        <v>9197</v>
      </c>
      <c r="H1469" s="265" t="s">
        <v>11000</v>
      </c>
      <c r="I1469" s="290" t="s">
        <v>11001</v>
      </c>
      <c r="J1469" s="265" t="s">
        <v>10655</v>
      </c>
      <c r="K1469" s="265" t="s">
        <v>10655</v>
      </c>
    </row>
    <row r="1470" spans="1:11" s="75" customFormat="1" ht="14.55" customHeight="1" x14ac:dyDescent="0.25">
      <c r="A1470" s="272" t="s">
        <v>8816</v>
      </c>
      <c r="B1470" s="272" t="s">
        <v>10591</v>
      </c>
      <c r="C1470" s="272" t="s">
        <v>10240</v>
      </c>
      <c r="D1470" s="259" t="s">
        <v>10241</v>
      </c>
      <c r="E1470" s="265" t="s">
        <v>10655</v>
      </c>
      <c r="F1470" s="272" t="s">
        <v>9198</v>
      </c>
      <c r="G1470" s="272" t="s">
        <v>9197</v>
      </c>
      <c r="H1470" s="265" t="s">
        <v>10976</v>
      </c>
      <c r="I1470" s="290" t="s">
        <v>10977</v>
      </c>
      <c r="J1470" s="265" t="s">
        <v>10655</v>
      </c>
      <c r="K1470" s="265" t="s">
        <v>10655</v>
      </c>
    </row>
    <row r="1471" spans="1:11" s="75" customFormat="1" ht="14.55" customHeight="1" x14ac:dyDescent="0.25">
      <c r="A1471" s="272" t="s">
        <v>8816</v>
      </c>
      <c r="B1471" s="272" t="s">
        <v>10591</v>
      </c>
      <c r="C1471" s="272" t="s">
        <v>10240</v>
      </c>
      <c r="D1471" s="259" t="s">
        <v>10241</v>
      </c>
      <c r="E1471" s="265" t="s">
        <v>10655</v>
      </c>
      <c r="F1471" s="272" t="s">
        <v>9198</v>
      </c>
      <c r="G1471" s="272" t="s">
        <v>9197</v>
      </c>
      <c r="H1471" s="265" t="s">
        <v>10978</v>
      </c>
      <c r="I1471" s="290" t="s">
        <v>10979</v>
      </c>
      <c r="J1471" s="265" t="s">
        <v>10655</v>
      </c>
      <c r="K1471" s="265" t="s">
        <v>10655</v>
      </c>
    </row>
    <row r="1472" spans="1:11" s="75" customFormat="1" ht="14.55" customHeight="1" x14ac:dyDescent="0.25">
      <c r="A1472" s="272" t="s">
        <v>8816</v>
      </c>
      <c r="B1472" s="272" t="s">
        <v>10591</v>
      </c>
      <c r="C1472" s="272" t="s">
        <v>10240</v>
      </c>
      <c r="D1472" s="259" t="s">
        <v>10241</v>
      </c>
      <c r="E1472" s="265" t="s">
        <v>10655</v>
      </c>
      <c r="F1472" s="272" t="s">
        <v>9198</v>
      </c>
      <c r="G1472" s="272" t="s">
        <v>9197</v>
      </c>
      <c r="H1472" s="265" t="s">
        <v>10980</v>
      </c>
      <c r="I1472" s="290" t="s">
        <v>10981</v>
      </c>
      <c r="J1472" s="265" t="s">
        <v>10655</v>
      </c>
      <c r="K1472" s="265" t="s">
        <v>10655</v>
      </c>
    </row>
    <row r="1473" spans="1:11" s="75" customFormat="1" ht="14.55" customHeight="1" x14ac:dyDescent="0.25">
      <c r="A1473" s="272" t="s">
        <v>8816</v>
      </c>
      <c r="B1473" s="272" t="s">
        <v>10591</v>
      </c>
      <c r="C1473" s="272" t="s">
        <v>10240</v>
      </c>
      <c r="D1473" s="259" t="s">
        <v>10241</v>
      </c>
      <c r="E1473" s="265" t="s">
        <v>10655</v>
      </c>
      <c r="F1473" s="272" t="s">
        <v>9198</v>
      </c>
      <c r="G1473" s="272" t="s">
        <v>9197</v>
      </c>
      <c r="H1473" s="265" t="s">
        <v>10982</v>
      </c>
      <c r="I1473" s="290" t="s">
        <v>10983</v>
      </c>
      <c r="J1473" s="265" t="s">
        <v>10655</v>
      </c>
      <c r="K1473" s="265" t="s">
        <v>10655</v>
      </c>
    </row>
    <row r="1474" spans="1:11" s="75" customFormat="1" ht="14.55" customHeight="1" x14ac:dyDescent="0.25">
      <c r="A1474" s="272" t="s">
        <v>8816</v>
      </c>
      <c r="B1474" s="272" t="s">
        <v>10591</v>
      </c>
      <c r="C1474" s="272" t="s">
        <v>10240</v>
      </c>
      <c r="D1474" s="259" t="s">
        <v>10241</v>
      </c>
      <c r="E1474" s="265" t="s">
        <v>10655</v>
      </c>
      <c r="F1474" s="272" t="s">
        <v>9198</v>
      </c>
      <c r="G1474" s="272" t="s">
        <v>9197</v>
      </c>
      <c r="H1474" s="265" t="s">
        <v>11002</v>
      </c>
      <c r="I1474" s="290" t="s">
        <v>11003</v>
      </c>
      <c r="J1474" s="265" t="s">
        <v>10655</v>
      </c>
      <c r="K1474" s="265" t="s">
        <v>10655</v>
      </c>
    </row>
    <row r="1475" spans="1:11" s="75" customFormat="1" ht="14.55" customHeight="1" x14ac:dyDescent="0.25">
      <c r="A1475" s="272" t="s">
        <v>8816</v>
      </c>
      <c r="B1475" s="272" t="s">
        <v>10591</v>
      </c>
      <c r="C1475" s="272" t="s">
        <v>10240</v>
      </c>
      <c r="D1475" s="259" t="s">
        <v>10241</v>
      </c>
      <c r="E1475" s="265" t="s">
        <v>10655</v>
      </c>
      <c r="F1475" s="272" t="s">
        <v>9198</v>
      </c>
      <c r="G1475" s="272" t="s">
        <v>9197</v>
      </c>
      <c r="H1475" s="265" t="s">
        <v>11004</v>
      </c>
      <c r="I1475" s="290" t="s">
        <v>11005</v>
      </c>
      <c r="J1475" s="265" t="s">
        <v>10655</v>
      </c>
      <c r="K1475" s="265" t="s">
        <v>10655</v>
      </c>
    </row>
    <row r="1476" spans="1:11" s="75" customFormat="1" ht="14.55" customHeight="1" x14ac:dyDescent="0.25">
      <c r="A1476" s="272" t="s">
        <v>8816</v>
      </c>
      <c r="B1476" s="272" t="s">
        <v>10591</v>
      </c>
      <c r="C1476" s="272" t="s">
        <v>10240</v>
      </c>
      <c r="D1476" s="259" t="s">
        <v>10241</v>
      </c>
      <c r="E1476" s="265" t="s">
        <v>10655</v>
      </c>
      <c r="F1476" s="272" t="s">
        <v>9198</v>
      </c>
      <c r="G1476" s="272" t="s">
        <v>9197</v>
      </c>
      <c r="H1476" s="265" t="s">
        <v>10986</v>
      </c>
      <c r="I1476" s="290" t="s">
        <v>10987</v>
      </c>
      <c r="J1476" s="265" t="s">
        <v>10655</v>
      </c>
      <c r="K1476" s="265" t="s">
        <v>10655</v>
      </c>
    </row>
    <row r="1477" spans="1:11" s="75" customFormat="1" ht="14.55" customHeight="1" x14ac:dyDescent="0.25">
      <c r="A1477" s="272" t="s">
        <v>8816</v>
      </c>
      <c r="B1477" s="272" t="s">
        <v>10591</v>
      </c>
      <c r="C1477" s="272" t="s">
        <v>10240</v>
      </c>
      <c r="D1477" s="259" t="s">
        <v>10241</v>
      </c>
      <c r="E1477" s="265" t="s">
        <v>10655</v>
      </c>
      <c r="F1477" s="272" t="s">
        <v>9198</v>
      </c>
      <c r="G1477" s="272" t="s">
        <v>9197</v>
      </c>
      <c r="H1477" s="265" t="s">
        <v>11006</v>
      </c>
      <c r="I1477" s="290" t="s">
        <v>11007</v>
      </c>
      <c r="J1477" s="265" t="s">
        <v>10655</v>
      </c>
      <c r="K1477" s="265" t="s">
        <v>10655</v>
      </c>
    </row>
    <row r="1478" spans="1:11" s="75" customFormat="1" ht="14.55" customHeight="1" x14ac:dyDescent="0.25">
      <c r="A1478" s="272" t="s">
        <v>8816</v>
      </c>
      <c r="B1478" s="272" t="s">
        <v>10591</v>
      </c>
      <c r="C1478" s="272" t="s">
        <v>10240</v>
      </c>
      <c r="D1478" s="259" t="s">
        <v>10241</v>
      </c>
      <c r="E1478" s="265" t="s">
        <v>10655</v>
      </c>
      <c r="F1478" s="272" t="s">
        <v>9198</v>
      </c>
      <c r="G1478" s="272" t="s">
        <v>9197</v>
      </c>
      <c r="H1478" s="265" t="s">
        <v>11008</v>
      </c>
      <c r="I1478" s="290" t="s">
        <v>11009</v>
      </c>
      <c r="J1478" s="265" t="s">
        <v>10655</v>
      </c>
      <c r="K1478" s="265" t="s">
        <v>10655</v>
      </c>
    </row>
    <row r="1479" spans="1:11" s="75" customFormat="1" ht="14.55" customHeight="1" x14ac:dyDescent="0.25">
      <c r="A1479" s="272" t="s">
        <v>8816</v>
      </c>
      <c r="B1479" s="272" t="s">
        <v>10591</v>
      </c>
      <c r="C1479" s="272" t="s">
        <v>10240</v>
      </c>
      <c r="D1479" s="259" t="s">
        <v>10241</v>
      </c>
      <c r="E1479" s="265" t="s">
        <v>10655</v>
      </c>
      <c r="F1479" s="272" t="s">
        <v>9198</v>
      </c>
      <c r="G1479" s="272" t="s">
        <v>9197</v>
      </c>
      <c r="H1479" s="265" t="s">
        <v>10988</v>
      </c>
      <c r="I1479" s="290" t="s">
        <v>10989</v>
      </c>
      <c r="J1479" s="265" t="s">
        <v>10655</v>
      </c>
      <c r="K1479" s="265" t="s">
        <v>10655</v>
      </c>
    </row>
    <row r="1480" spans="1:11" s="75" customFormat="1" ht="14.55" customHeight="1" x14ac:dyDescent="0.25">
      <c r="A1480" s="272" t="s">
        <v>8816</v>
      </c>
      <c r="B1480" s="272" t="s">
        <v>10591</v>
      </c>
      <c r="C1480" s="272" t="s">
        <v>10240</v>
      </c>
      <c r="D1480" s="259" t="s">
        <v>10241</v>
      </c>
      <c r="E1480" s="265" t="s">
        <v>10655</v>
      </c>
      <c r="F1480" s="272" t="s">
        <v>9198</v>
      </c>
      <c r="G1480" s="272" t="s">
        <v>9197</v>
      </c>
      <c r="H1480" s="265" t="s">
        <v>10990</v>
      </c>
      <c r="I1480" s="290" t="s">
        <v>10991</v>
      </c>
      <c r="J1480" s="265" t="s">
        <v>10655</v>
      </c>
      <c r="K1480" s="265" t="s">
        <v>10655</v>
      </c>
    </row>
    <row r="1481" spans="1:11" s="75" customFormat="1" ht="14.55" customHeight="1" x14ac:dyDescent="0.25">
      <c r="A1481" s="272" t="s">
        <v>8816</v>
      </c>
      <c r="B1481" s="272" t="s">
        <v>10591</v>
      </c>
      <c r="C1481" s="272" t="s">
        <v>10240</v>
      </c>
      <c r="D1481" s="259" t="s">
        <v>10241</v>
      </c>
      <c r="E1481" s="265" t="s">
        <v>10655</v>
      </c>
      <c r="F1481" s="272" t="s">
        <v>9198</v>
      </c>
      <c r="G1481" s="272" t="s">
        <v>9197</v>
      </c>
      <c r="H1481" s="265" t="s">
        <v>10992</v>
      </c>
      <c r="I1481" s="290" t="s">
        <v>10993</v>
      </c>
      <c r="J1481" s="265" t="s">
        <v>10655</v>
      </c>
      <c r="K1481" s="265" t="s">
        <v>10655</v>
      </c>
    </row>
    <row r="1482" spans="1:11" s="75" customFormat="1" ht="14.55" customHeight="1" x14ac:dyDescent="0.25">
      <c r="A1482" s="272" t="s">
        <v>8816</v>
      </c>
      <c r="B1482" s="272" t="s">
        <v>10591</v>
      </c>
      <c r="C1482" s="272" t="s">
        <v>10240</v>
      </c>
      <c r="D1482" s="259" t="s">
        <v>10241</v>
      </c>
      <c r="E1482" s="265" t="s">
        <v>10655</v>
      </c>
      <c r="F1482" s="272" t="s">
        <v>9198</v>
      </c>
      <c r="G1482" s="272" t="s">
        <v>9197</v>
      </c>
      <c r="H1482" s="265" t="s">
        <v>10994</v>
      </c>
      <c r="I1482" s="290" t="s">
        <v>10995</v>
      </c>
      <c r="J1482" s="265" t="s">
        <v>10655</v>
      </c>
      <c r="K1482" s="265" t="s">
        <v>10655</v>
      </c>
    </row>
    <row r="1483" spans="1:11" s="75" customFormat="1" ht="14.55" customHeight="1" x14ac:dyDescent="0.25">
      <c r="A1483" s="272" t="s">
        <v>8816</v>
      </c>
      <c r="B1483" s="272" t="s">
        <v>10591</v>
      </c>
      <c r="C1483" s="272" t="s">
        <v>10240</v>
      </c>
      <c r="D1483" s="259" t="s">
        <v>10241</v>
      </c>
      <c r="E1483" s="265" t="s">
        <v>10655</v>
      </c>
      <c r="F1483" s="272" t="s">
        <v>9198</v>
      </c>
      <c r="G1483" s="272" t="s">
        <v>9197</v>
      </c>
      <c r="H1483" s="265" t="s">
        <v>10996</v>
      </c>
      <c r="I1483" s="290" t="s">
        <v>10997</v>
      </c>
      <c r="J1483" s="265" t="s">
        <v>10655</v>
      </c>
      <c r="K1483" s="265" t="s">
        <v>10655</v>
      </c>
    </row>
    <row r="1484" spans="1:11" s="75" customFormat="1" ht="14.55" customHeight="1" x14ac:dyDescent="0.25">
      <c r="A1484" s="272" t="s">
        <v>8816</v>
      </c>
      <c r="B1484" s="272" t="s">
        <v>10591</v>
      </c>
      <c r="C1484" s="272" t="s">
        <v>10240</v>
      </c>
      <c r="D1484" s="259" t="s">
        <v>10241</v>
      </c>
      <c r="E1484" s="265" t="s">
        <v>10655</v>
      </c>
      <c r="F1484" s="272" t="s">
        <v>9198</v>
      </c>
      <c r="G1484" s="272" t="s">
        <v>9197</v>
      </c>
      <c r="H1484" s="265" t="s">
        <v>11000</v>
      </c>
      <c r="I1484" s="290" t="s">
        <v>11001</v>
      </c>
      <c r="J1484" s="265" t="s">
        <v>10655</v>
      </c>
      <c r="K1484" s="265" t="s">
        <v>10655</v>
      </c>
    </row>
    <row r="1485" spans="1:11" s="75" customFormat="1" ht="14.55" customHeight="1" x14ac:dyDescent="0.25">
      <c r="A1485" s="272" t="s">
        <v>8816</v>
      </c>
      <c r="B1485" s="272" t="s">
        <v>10591</v>
      </c>
      <c r="C1485" s="272" t="s">
        <v>10242</v>
      </c>
      <c r="D1485" s="259" t="s">
        <v>10243</v>
      </c>
      <c r="E1485" s="265" t="s">
        <v>10655</v>
      </c>
      <c r="F1485" s="272" t="s">
        <v>9198</v>
      </c>
      <c r="G1485" s="272" t="s">
        <v>9197</v>
      </c>
      <c r="H1485" s="265" t="s">
        <v>10976</v>
      </c>
      <c r="I1485" s="290" t="s">
        <v>10977</v>
      </c>
      <c r="J1485" s="265" t="s">
        <v>10655</v>
      </c>
      <c r="K1485" s="265" t="s">
        <v>10655</v>
      </c>
    </row>
    <row r="1486" spans="1:11" s="75" customFormat="1" ht="14.55" customHeight="1" x14ac:dyDescent="0.25">
      <c r="A1486" s="272" t="s">
        <v>8816</v>
      </c>
      <c r="B1486" s="272" t="s">
        <v>10591</v>
      </c>
      <c r="C1486" s="272" t="s">
        <v>10242</v>
      </c>
      <c r="D1486" s="259" t="s">
        <v>10243</v>
      </c>
      <c r="E1486" s="265" t="s">
        <v>10655</v>
      </c>
      <c r="F1486" s="272" t="s">
        <v>9198</v>
      </c>
      <c r="G1486" s="272" t="s">
        <v>9197</v>
      </c>
      <c r="H1486" s="265" t="s">
        <v>10978</v>
      </c>
      <c r="I1486" s="290" t="s">
        <v>10979</v>
      </c>
      <c r="J1486" s="265" t="s">
        <v>10655</v>
      </c>
      <c r="K1486" s="265" t="s">
        <v>10655</v>
      </c>
    </row>
    <row r="1487" spans="1:11" s="75" customFormat="1" ht="14.55" customHeight="1" x14ac:dyDescent="0.25">
      <c r="A1487" s="272" t="s">
        <v>8816</v>
      </c>
      <c r="B1487" s="272" t="s">
        <v>10591</v>
      </c>
      <c r="C1487" s="272" t="s">
        <v>10242</v>
      </c>
      <c r="D1487" s="259" t="s">
        <v>10243</v>
      </c>
      <c r="E1487" s="265" t="s">
        <v>10655</v>
      </c>
      <c r="F1487" s="272" t="s">
        <v>9198</v>
      </c>
      <c r="G1487" s="272" t="s">
        <v>9197</v>
      </c>
      <c r="H1487" s="265" t="s">
        <v>10980</v>
      </c>
      <c r="I1487" s="290" t="s">
        <v>10981</v>
      </c>
      <c r="J1487" s="265" t="s">
        <v>10655</v>
      </c>
      <c r="K1487" s="265" t="s">
        <v>10655</v>
      </c>
    </row>
    <row r="1488" spans="1:11" s="75" customFormat="1" ht="14.55" customHeight="1" x14ac:dyDescent="0.25">
      <c r="A1488" s="272" t="s">
        <v>8816</v>
      </c>
      <c r="B1488" s="272" t="s">
        <v>10591</v>
      </c>
      <c r="C1488" s="272" t="s">
        <v>10242</v>
      </c>
      <c r="D1488" s="259" t="s">
        <v>10243</v>
      </c>
      <c r="E1488" s="265" t="s">
        <v>10655</v>
      </c>
      <c r="F1488" s="272" t="s">
        <v>9198</v>
      </c>
      <c r="G1488" s="272" t="s">
        <v>9197</v>
      </c>
      <c r="H1488" s="265" t="s">
        <v>10982</v>
      </c>
      <c r="I1488" s="290" t="s">
        <v>10983</v>
      </c>
      <c r="J1488" s="265" t="s">
        <v>10655</v>
      </c>
      <c r="K1488" s="265" t="s">
        <v>10655</v>
      </c>
    </row>
    <row r="1489" spans="1:11" s="75" customFormat="1" ht="14.55" customHeight="1" x14ac:dyDescent="0.25">
      <c r="A1489" s="272" t="s">
        <v>8816</v>
      </c>
      <c r="B1489" s="272" t="s">
        <v>10591</v>
      </c>
      <c r="C1489" s="272" t="s">
        <v>10242</v>
      </c>
      <c r="D1489" s="259" t="s">
        <v>10243</v>
      </c>
      <c r="E1489" s="265" t="s">
        <v>10655</v>
      </c>
      <c r="F1489" s="272" t="s">
        <v>9198</v>
      </c>
      <c r="G1489" s="272" t="s">
        <v>9197</v>
      </c>
      <c r="H1489" s="265" t="s">
        <v>10984</v>
      </c>
      <c r="I1489" s="290" t="s">
        <v>10985</v>
      </c>
      <c r="J1489" s="265" t="s">
        <v>10655</v>
      </c>
      <c r="K1489" s="265" t="s">
        <v>10655</v>
      </c>
    </row>
    <row r="1490" spans="1:11" s="75" customFormat="1" ht="14.55" customHeight="1" x14ac:dyDescent="0.25">
      <c r="A1490" s="272" t="s">
        <v>8816</v>
      </c>
      <c r="B1490" s="272" t="s">
        <v>10591</v>
      </c>
      <c r="C1490" s="272" t="s">
        <v>10242</v>
      </c>
      <c r="D1490" s="259" t="s">
        <v>10243</v>
      </c>
      <c r="E1490" s="265" t="s">
        <v>10655</v>
      </c>
      <c r="F1490" s="272" t="s">
        <v>9198</v>
      </c>
      <c r="G1490" s="272" t="s">
        <v>9197</v>
      </c>
      <c r="H1490" s="265" t="s">
        <v>10986</v>
      </c>
      <c r="I1490" s="290" t="s">
        <v>10987</v>
      </c>
      <c r="J1490" s="265" t="s">
        <v>10655</v>
      </c>
      <c r="K1490" s="265" t="s">
        <v>10655</v>
      </c>
    </row>
    <row r="1491" spans="1:11" s="75" customFormat="1" ht="14.55" customHeight="1" x14ac:dyDescent="0.25">
      <c r="A1491" s="272" t="s">
        <v>8816</v>
      </c>
      <c r="B1491" s="272" t="s">
        <v>10591</v>
      </c>
      <c r="C1491" s="272" t="s">
        <v>10242</v>
      </c>
      <c r="D1491" s="259" t="s">
        <v>10243</v>
      </c>
      <c r="E1491" s="265" t="s">
        <v>10655</v>
      </c>
      <c r="F1491" s="272" t="s">
        <v>9198</v>
      </c>
      <c r="G1491" s="272" t="s">
        <v>9197</v>
      </c>
      <c r="H1491" s="265" t="s">
        <v>10988</v>
      </c>
      <c r="I1491" s="290" t="s">
        <v>10989</v>
      </c>
      <c r="J1491" s="265" t="s">
        <v>10655</v>
      </c>
      <c r="K1491" s="265" t="s">
        <v>10655</v>
      </c>
    </row>
    <row r="1492" spans="1:11" s="75" customFormat="1" ht="14.55" customHeight="1" x14ac:dyDescent="0.25">
      <c r="A1492" s="272" t="s">
        <v>8816</v>
      </c>
      <c r="B1492" s="272" t="s">
        <v>10591</v>
      </c>
      <c r="C1492" s="272" t="s">
        <v>10242</v>
      </c>
      <c r="D1492" s="259" t="s">
        <v>10243</v>
      </c>
      <c r="E1492" s="265" t="s">
        <v>10655</v>
      </c>
      <c r="F1492" s="272" t="s">
        <v>9198</v>
      </c>
      <c r="G1492" s="272" t="s">
        <v>9197</v>
      </c>
      <c r="H1492" s="265" t="s">
        <v>10992</v>
      </c>
      <c r="I1492" s="290" t="s">
        <v>10993</v>
      </c>
      <c r="J1492" s="265" t="s">
        <v>10655</v>
      </c>
      <c r="K1492" s="265" t="s">
        <v>10655</v>
      </c>
    </row>
    <row r="1493" spans="1:11" s="75" customFormat="1" ht="14.55" customHeight="1" x14ac:dyDescent="0.25">
      <c r="A1493" s="272" t="s">
        <v>8816</v>
      </c>
      <c r="B1493" s="272" t="s">
        <v>10591</v>
      </c>
      <c r="C1493" s="272" t="s">
        <v>10242</v>
      </c>
      <c r="D1493" s="259" t="s">
        <v>10243</v>
      </c>
      <c r="E1493" s="265" t="s">
        <v>10655</v>
      </c>
      <c r="F1493" s="272" t="s">
        <v>9198</v>
      </c>
      <c r="G1493" s="272" t="s">
        <v>9197</v>
      </c>
      <c r="H1493" s="265" t="s">
        <v>10994</v>
      </c>
      <c r="I1493" s="290" t="s">
        <v>10995</v>
      </c>
      <c r="J1493" s="265" t="s">
        <v>10655</v>
      </c>
      <c r="K1493" s="265" t="s">
        <v>10655</v>
      </c>
    </row>
    <row r="1494" spans="1:11" s="75" customFormat="1" ht="14.55" customHeight="1" x14ac:dyDescent="0.25">
      <c r="A1494" s="272" t="s">
        <v>8816</v>
      </c>
      <c r="B1494" s="272" t="s">
        <v>10591</v>
      </c>
      <c r="C1494" s="272" t="s">
        <v>10242</v>
      </c>
      <c r="D1494" s="259" t="s">
        <v>10243</v>
      </c>
      <c r="E1494" s="265" t="s">
        <v>10655</v>
      </c>
      <c r="F1494" s="272" t="s">
        <v>9198</v>
      </c>
      <c r="G1494" s="272" t="s">
        <v>9197</v>
      </c>
      <c r="H1494" s="265" t="s">
        <v>10996</v>
      </c>
      <c r="I1494" s="290" t="s">
        <v>10997</v>
      </c>
      <c r="J1494" s="265" t="s">
        <v>10655</v>
      </c>
      <c r="K1494" s="265" t="s">
        <v>10655</v>
      </c>
    </row>
    <row r="1495" spans="1:11" s="75" customFormat="1" ht="14.55" customHeight="1" x14ac:dyDescent="0.25">
      <c r="A1495" s="272" t="s">
        <v>8816</v>
      </c>
      <c r="B1495" s="272" t="s">
        <v>10591</v>
      </c>
      <c r="C1495" s="272" t="s">
        <v>10242</v>
      </c>
      <c r="D1495" s="259" t="s">
        <v>10243</v>
      </c>
      <c r="E1495" s="265" t="s">
        <v>10655</v>
      </c>
      <c r="F1495" s="272" t="s">
        <v>9198</v>
      </c>
      <c r="G1495" s="272" t="s">
        <v>9197</v>
      </c>
      <c r="H1495" s="265" t="s">
        <v>11000</v>
      </c>
      <c r="I1495" s="290" t="s">
        <v>11001</v>
      </c>
      <c r="J1495" s="265" t="s">
        <v>10655</v>
      </c>
      <c r="K1495" s="265" t="s">
        <v>10655</v>
      </c>
    </row>
    <row r="1496" spans="1:11" s="75" customFormat="1" ht="14.55" customHeight="1" x14ac:dyDescent="0.25">
      <c r="A1496" s="272" t="s">
        <v>8816</v>
      </c>
      <c r="B1496" s="272" t="s">
        <v>10591</v>
      </c>
      <c r="C1496" s="272" t="s">
        <v>10244</v>
      </c>
      <c r="D1496" s="259" t="s">
        <v>10245</v>
      </c>
      <c r="E1496" s="265" t="s">
        <v>10655</v>
      </c>
      <c r="F1496" s="272" t="s">
        <v>9198</v>
      </c>
      <c r="G1496" s="272" t="s">
        <v>9197</v>
      </c>
      <c r="H1496" s="265" t="s">
        <v>10984</v>
      </c>
      <c r="I1496" s="290" t="s">
        <v>10985</v>
      </c>
      <c r="J1496" s="265" t="s">
        <v>10655</v>
      </c>
      <c r="K1496" s="265" t="s">
        <v>10655</v>
      </c>
    </row>
    <row r="1497" spans="1:11" s="75" customFormat="1" ht="14.55" customHeight="1" x14ac:dyDescent="0.25">
      <c r="A1497" s="272" t="s">
        <v>8816</v>
      </c>
      <c r="B1497" s="272" t="s">
        <v>10591</v>
      </c>
      <c r="C1497" s="272" t="s">
        <v>10244</v>
      </c>
      <c r="D1497" s="259" t="s">
        <v>10245</v>
      </c>
      <c r="E1497" s="265" t="s">
        <v>10655</v>
      </c>
      <c r="F1497" s="272" t="s">
        <v>9198</v>
      </c>
      <c r="G1497" s="272" t="s">
        <v>9197</v>
      </c>
      <c r="H1497" s="265" t="s">
        <v>10990</v>
      </c>
      <c r="I1497" s="290" t="s">
        <v>10991</v>
      </c>
      <c r="J1497" s="265" t="s">
        <v>10655</v>
      </c>
      <c r="K1497" s="265" t="s">
        <v>10655</v>
      </c>
    </row>
    <row r="1498" spans="1:11" s="75" customFormat="1" ht="14.55" customHeight="1" x14ac:dyDescent="0.25">
      <c r="A1498" s="272" t="s">
        <v>8816</v>
      </c>
      <c r="B1498" s="272" t="s">
        <v>10591</v>
      </c>
      <c r="C1498" s="272" t="s">
        <v>10244</v>
      </c>
      <c r="D1498" s="259" t="s">
        <v>10245</v>
      </c>
      <c r="E1498" s="265" t="s">
        <v>10655</v>
      </c>
      <c r="F1498" s="272" t="s">
        <v>9198</v>
      </c>
      <c r="G1498" s="272" t="s">
        <v>9197</v>
      </c>
      <c r="H1498" s="265" t="s">
        <v>10992</v>
      </c>
      <c r="I1498" s="290" t="s">
        <v>10993</v>
      </c>
      <c r="J1498" s="265" t="s">
        <v>10655</v>
      </c>
      <c r="K1498" s="265" t="s">
        <v>10655</v>
      </c>
    </row>
    <row r="1499" spans="1:11" s="75" customFormat="1" ht="14.55" customHeight="1" x14ac:dyDescent="0.25">
      <c r="A1499" s="272" t="s">
        <v>8816</v>
      </c>
      <c r="B1499" s="272" t="s">
        <v>10591</v>
      </c>
      <c r="C1499" s="272" t="s">
        <v>10244</v>
      </c>
      <c r="D1499" s="259" t="s">
        <v>10245</v>
      </c>
      <c r="E1499" s="265" t="s">
        <v>10655</v>
      </c>
      <c r="F1499" s="272" t="s">
        <v>9198</v>
      </c>
      <c r="G1499" s="272" t="s">
        <v>9197</v>
      </c>
      <c r="H1499" s="265" t="s">
        <v>10994</v>
      </c>
      <c r="I1499" s="290" t="s">
        <v>10995</v>
      </c>
      <c r="J1499" s="265" t="s">
        <v>10655</v>
      </c>
      <c r="K1499" s="265" t="s">
        <v>10655</v>
      </c>
    </row>
    <row r="1500" spans="1:11" s="75" customFormat="1" ht="14.55" customHeight="1" x14ac:dyDescent="0.25">
      <c r="A1500" s="272" t="s">
        <v>8816</v>
      </c>
      <c r="B1500" s="272" t="s">
        <v>10591</v>
      </c>
      <c r="C1500" s="272" t="s">
        <v>10244</v>
      </c>
      <c r="D1500" s="259" t="s">
        <v>10245</v>
      </c>
      <c r="E1500" s="265" t="s">
        <v>10655</v>
      </c>
      <c r="F1500" s="272" t="s">
        <v>9198</v>
      </c>
      <c r="G1500" s="272" t="s">
        <v>9197</v>
      </c>
      <c r="H1500" s="265" t="s">
        <v>10996</v>
      </c>
      <c r="I1500" s="290" t="s">
        <v>10997</v>
      </c>
      <c r="J1500" s="265" t="s">
        <v>10655</v>
      </c>
      <c r="K1500" s="265" t="s">
        <v>10655</v>
      </c>
    </row>
    <row r="1501" spans="1:11" s="75" customFormat="1" ht="14.55" customHeight="1" x14ac:dyDescent="0.25">
      <c r="A1501" s="272" t="s">
        <v>8816</v>
      </c>
      <c r="B1501" s="272" t="s">
        <v>10591</v>
      </c>
      <c r="C1501" s="272" t="s">
        <v>10244</v>
      </c>
      <c r="D1501" s="259" t="s">
        <v>10245</v>
      </c>
      <c r="E1501" s="265" t="s">
        <v>10655</v>
      </c>
      <c r="F1501" s="272" t="s">
        <v>9198</v>
      </c>
      <c r="G1501" s="272" t="s">
        <v>9197</v>
      </c>
      <c r="H1501" s="265" t="s">
        <v>10998</v>
      </c>
      <c r="I1501" s="290" t="s">
        <v>10999</v>
      </c>
      <c r="J1501" s="265" t="s">
        <v>10655</v>
      </c>
      <c r="K1501" s="265" t="s">
        <v>10655</v>
      </c>
    </row>
    <row r="1502" spans="1:11" s="75" customFormat="1" ht="14.55" customHeight="1" x14ac:dyDescent="0.25">
      <c r="A1502" s="272" t="s">
        <v>8816</v>
      </c>
      <c r="B1502" s="272" t="s">
        <v>10591</v>
      </c>
      <c r="C1502" s="272" t="s">
        <v>10244</v>
      </c>
      <c r="D1502" s="259" t="s">
        <v>10245</v>
      </c>
      <c r="E1502" s="265" t="s">
        <v>10655</v>
      </c>
      <c r="F1502" s="272" t="s">
        <v>9198</v>
      </c>
      <c r="G1502" s="272" t="s">
        <v>9197</v>
      </c>
      <c r="H1502" s="265" t="s">
        <v>11000</v>
      </c>
      <c r="I1502" s="290" t="s">
        <v>11001</v>
      </c>
      <c r="J1502" s="265" t="s">
        <v>10655</v>
      </c>
      <c r="K1502" s="265" t="s">
        <v>10655</v>
      </c>
    </row>
    <row r="1503" spans="1:11" s="75" customFormat="1" ht="14.55" customHeight="1" x14ac:dyDescent="0.25">
      <c r="A1503" s="272" t="s">
        <v>8816</v>
      </c>
      <c r="B1503" s="272" t="s">
        <v>10591</v>
      </c>
      <c r="C1503" s="272" t="s">
        <v>10246</v>
      </c>
      <c r="D1503" s="259" t="s">
        <v>10247</v>
      </c>
      <c r="E1503" s="265" t="s">
        <v>10655</v>
      </c>
      <c r="F1503" s="272" t="s">
        <v>9198</v>
      </c>
      <c r="G1503" s="272" t="s">
        <v>9197</v>
      </c>
      <c r="H1503" s="265" t="s">
        <v>10976</v>
      </c>
      <c r="I1503" s="290" t="s">
        <v>10977</v>
      </c>
      <c r="J1503" s="265" t="s">
        <v>10655</v>
      </c>
      <c r="K1503" s="265" t="s">
        <v>10655</v>
      </c>
    </row>
    <row r="1504" spans="1:11" s="75" customFormat="1" ht="14.55" customHeight="1" x14ac:dyDescent="0.25">
      <c r="A1504" s="272" t="s">
        <v>8816</v>
      </c>
      <c r="B1504" s="272" t="s">
        <v>10591</v>
      </c>
      <c r="C1504" s="272" t="s">
        <v>10246</v>
      </c>
      <c r="D1504" s="259" t="s">
        <v>10247</v>
      </c>
      <c r="E1504" s="265" t="s">
        <v>10655</v>
      </c>
      <c r="F1504" s="272" t="s">
        <v>9198</v>
      </c>
      <c r="G1504" s="272" t="s">
        <v>9197</v>
      </c>
      <c r="H1504" s="265" t="s">
        <v>10992</v>
      </c>
      <c r="I1504" s="290" t="s">
        <v>10993</v>
      </c>
      <c r="J1504" s="265" t="s">
        <v>10655</v>
      </c>
      <c r="K1504" s="265" t="s">
        <v>10655</v>
      </c>
    </row>
    <row r="1505" spans="1:11" s="75" customFormat="1" ht="14.55" customHeight="1" x14ac:dyDescent="0.25">
      <c r="A1505" s="272" t="s">
        <v>8816</v>
      </c>
      <c r="B1505" s="272" t="s">
        <v>10591</v>
      </c>
      <c r="C1505" s="272" t="s">
        <v>10246</v>
      </c>
      <c r="D1505" s="259" t="s">
        <v>10247</v>
      </c>
      <c r="E1505" s="265" t="s">
        <v>10655</v>
      </c>
      <c r="F1505" s="272" t="s">
        <v>9198</v>
      </c>
      <c r="G1505" s="272" t="s">
        <v>9197</v>
      </c>
      <c r="H1505" s="265" t="s">
        <v>10994</v>
      </c>
      <c r="I1505" s="290" t="s">
        <v>10995</v>
      </c>
      <c r="J1505" s="265" t="s">
        <v>10655</v>
      </c>
      <c r="K1505" s="265" t="s">
        <v>10655</v>
      </c>
    </row>
    <row r="1506" spans="1:11" s="75" customFormat="1" ht="14.55" customHeight="1" x14ac:dyDescent="0.25">
      <c r="A1506" s="272" t="s">
        <v>8816</v>
      </c>
      <c r="B1506" s="272" t="s">
        <v>10591</v>
      </c>
      <c r="C1506" s="272" t="s">
        <v>10246</v>
      </c>
      <c r="D1506" s="259" t="s">
        <v>10247</v>
      </c>
      <c r="E1506" s="265" t="s">
        <v>10655</v>
      </c>
      <c r="F1506" s="272" t="s">
        <v>9198</v>
      </c>
      <c r="G1506" s="272" t="s">
        <v>9197</v>
      </c>
      <c r="H1506" s="265" t="s">
        <v>10996</v>
      </c>
      <c r="I1506" s="290" t="s">
        <v>10997</v>
      </c>
      <c r="J1506" s="265" t="s">
        <v>10655</v>
      </c>
      <c r="K1506" s="265" t="s">
        <v>10655</v>
      </c>
    </row>
    <row r="1507" spans="1:11" s="75" customFormat="1" ht="14.55" customHeight="1" x14ac:dyDescent="0.25">
      <c r="A1507" s="272" t="s">
        <v>8816</v>
      </c>
      <c r="B1507" s="272" t="s">
        <v>10591</v>
      </c>
      <c r="C1507" s="272" t="s">
        <v>10246</v>
      </c>
      <c r="D1507" s="259" t="s">
        <v>10247</v>
      </c>
      <c r="E1507" s="265" t="s">
        <v>10655</v>
      </c>
      <c r="F1507" s="272" t="s">
        <v>9198</v>
      </c>
      <c r="G1507" s="272" t="s">
        <v>9197</v>
      </c>
      <c r="H1507" s="265" t="s">
        <v>10998</v>
      </c>
      <c r="I1507" s="290" t="s">
        <v>10999</v>
      </c>
      <c r="J1507" s="265" t="s">
        <v>10655</v>
      </c>
      <c r="K1507" s="265" t="s">
        <v>10655</v>
      </c>
    </row>
    <row r="1508" spans="1:11" s="75" customFormat="1" ht="14.55" customHeight="1" x14ac:dyDescent="0.25">
      <c r="A1508" s="272" t="s">
        <v>8816</v>
      </c>
      <c r="B1508" s="272" t="s">
        <v>10591</v>
      </c>
      <c r="C1508" s="272" t="s">
        <v>10246</v>
      </c>
      <c r="D1508" s="259" t="s">
        <v>10247</v>
      </c>
      <c r="E1508" s="265" t="s">
        <v>10655</v>
      </c>
      <c r="F1508" s="272" t="s">
        <v>9198</v>
      </c>
      <c r="G1508" s="272" t="s">
        <v>9197</v>
      </c>
      <c r="H1508" s="265" t="s">
        <v>11000</v>
      </c>
      <c r="I1508" s="290" t="s">
        <v>11001</v>
      </c>
      <c r="J1508" s="265" t="s">
        <v>10655</v>
      </c>
      <c r="K1508" s="265" t="s">
        <v>10655</v>
      </c>
    </row>
    <row r="1509" spans="1:11" s="75" customFormat="1" ht="14.55" customHeight="1" x14ac:dyDescent="0.25">
      <c r="A1509" s="272" t="s">
        <v>8816</v>
      </c>
      <c r="B1509" s="272" t="s">
        <v>10591</v>
      </c>
      <c r="C1509" s="272" t="s">
        <v>10248</v>
      </c>
      <c r="D1509" s="259" t="s">
        <v>10249</v>
      </c>
      <c r="E1509" s="265" t="s">
        <v>10655</v>
      </c>
      <c r="F1509" s="272" t="s">
        <v>9198</v>
      </c>
      <c r="G1509" s="272" t="s">
        <v>9197</v>
      </c>
      <c r="H1509" s="265" t="s">
        <v>10976</v>
      </c>
      <c r="I1509" s="290" t="s">
        <v>10977</v>
      </c>
      <c r="J1509" s="265" t="s">
        <v>10655</v>
      </c>
      <c r="K1509" s="265" t="s">
        <v>10655</v>
      </c>
    </row>
    <row r="1510" spans="1:11" s="75" customFormat="1" ht="14.55" customHeight="1" x14ac:dyDescent="0.25">
      <c r="A1510" s="272" t="s">
        <v>8816</v>
      </c>
      <c r="B1510" s="272" t="s">
        <v>10591</v>
      </c>
      <c r="C1510" s="272" t="s">
        <v>10248</v>
      </c>
      <c r="D1510" s="259" t="s">
        <v>10249</v>
      </c>
      <c r="E1510" s="265" t="s">
        <v>10655</v>
      </c>
      <c r="F1510" s="272" t="s">
        <v>9198</v>
      </c>
      <c r="G1510" s="272" t="s">
        <v>9197</v>
      </c>
      <c r="H1510" s="265" t="s">
        <v>10992</v>
      </c>
      <c r="I1510" s="290" t="s">
        <v>10993</v>
      </c>
      <c r="J1510" s="265" t="s">
        <v>10655</v>
      </c>
      <c r="K1510" s="265" t="s">
        <v>10655</v>
      </c>
    </row>
    <row r="1511" spans="1:11" s="75" customFormat="1" ht="14.55" customHeight="1" x14ac:dyDescent="0.25">
      <c r="A1511" s="272" t="s">
        <v>8816</v>
      </c>
      <c r="B1511" s="272" t="s">
        <v>10591</v>
      </c>
      <c r="C1511" s="272" t="s">
        <v>10248</v>
      </c>
      <c r="D1511" s="259" t="s">
        <v>10249</v>
      </c>
      <c r="E1511" s="265" t="s">
        <v>10655</v>
      </c>
      <c r="F1511" s="272" t="s">
        <v>9198</v>
      </c>
      <c r="G1511" s="272" t="s">
        <v>9197</v>
      </c>
      <c r="H1511" s="265" t="s">
        <v>10994</v>
      </c>
      <c r="I1511" s="290" t="s">
        <v>10995</v>
      </c>
      <c r="J1511" s="265" t="s">
        <v>10655</v>
      </c>
      <c r="K1511" s="265" t="s">
        <v>10655</v>
      </c>
    </row>
    <row r="1512" spans="1:11" s="75" customFormat="1" ht="14.55" customHeight="1" x14ac:dyDescent="0.25">
      <c r="A1512" s="272" t="s">
        <v>8816</v>
      </c>
      <c r="B1512" s="272" t="s">
        <v>10591</v>
      </c>
      <c r="C1512" s="272" t="s">
        <v>10248</v>
      </c>
      <c r="D1512" s="259" t="s">
        <v>10249</v>
      </c>
      <c r="E1512" s="265" t="s">
        <v>10655</v>
      </c>
      <c r="F1512" s="272" t="s">
        <v>9198</v>
      </c>
      <c r="G1512" s="272" t="s">
        <v>9197</v>
      </c>
      <c r="H1512" s="265" t="s">
        <v>10996</v>
      </c>
      <c r="I1512" s="290" t="s">
        <v>10997</v>
      </c>
      <c r="J1512" s="265" t="s">
        <v>10655</v>
      </c>
      <c r="K1512" s="265" t="s">
        <v>10655</v>
      </c>
    </row>
    <row r="1513" spans="1:11" s="75" customFormat="1" ht="14.55" customHeight="1" x14ac:dyDescent="0.25">
      <c r="A1513" s="272" t="s">
        <v>8816</v>
      </c>
      <c r="B1513" s="272" t="s">
        <v>10591</v>
      </c>
      <c r="C1513" s="272" t="s">
        <v>10248</v>
      </c>
      <c r="D1513" s="259" t="s">
        <v>10249</v>
      </c>
      <c r="E1513" s="265" t="s">
        <v>10655</v>
      </c>
      <c r="F1513" s="272" t="s">
        <v>9198</v>
      </c>
      <c r="G1513" s="272" t="s">
        <v>9197</v>
      </c>
      <c r="H1513" s="265" t="s">
        <v>10998</v>
      </c>
      <c r="I1513" s="290" t="s">
        <v>10999</v>
      </c>
      <c r="J1513" s="265" t="s">
        <v>10655</v>
      </c>
      <c r="K1513" s="265" t="s">
        <v>10655</v>
      </c>
    </row>
    <row r="1514" spans="1:11" s="75" customFormat="1" ht="14.55" customHeight="1" x14ac:dyDescent="0.25">
      <c r="A1514" s="272" t="s">
        <v>8816</v>
      </c>
      <c r="B1514" s="272" t="s">
        <v>10591</v>
      </c>
      <c r="C1514" s="272" t="s">
        <v>10248</v>
      </c>
      <c r="D1514" s="259" t="s">
        <v>10249</v>
      </c>
      <c r="E1514" s="265" t="s">
        <v>10655</v>
      </c>
      <c r="F1514" s="272" t="s">
        <v>9198</v>
      </c>
      <c r="G1514" s="272" t="s">
        <v>9197</v>
      </c>
      <c r="H1514" s="265" t="s">
        <v>11000</v>
      </c>
      <c r="I1514" s="290" t="s">
        <v>11001</v>
      </c>
      <c r="J1514" s="265" t="s">
        <v>10655</v>
      </c>
      <c r="K1514" s="265" t="s">
        <v>10655</v>
      </c>
    </row>
    <row r="1515" spans="1:11" s="75" customFormat="1" ht="14.55" customHeight="1" x14ac:dyDescent="0.25">
      <c r="A1515" s="286" t="s">
        <v>8816</v>
      </c>
      <c r="B1515" s="293" t="s">
        <v>10591</v>
      </c>
      <c r="C1515" s="293">
        <v>180053</v>
      </c>
      <c r="D1515" s="295" t="s">
        <v>10251</v>
      </c>
      <c r="E1515" s="294" t="s">
        <v>10655</v>
      </c>
      <c r="F1515" s="293" t="s">
        <v>9198</v>
      </c>
      <c r="G1515" s="293" t="s">
        <v>9197</v>
      </c>
      <c r="H1515" s="275" t="s">
        <v>10992</v>
      </c>
      <c r="I1515" s="298" t="s">
        <v>10993</v>
      </c>
      <c r="J1515" s="275" t="s">
        <v>10655</v>
      </c>
      <c r="K1515" s="275" t="s">
        <v>10655</v>
      </c>
    </row>
    <row r="1516" spans="1:11" s="75" customFormat="1" ht="14.55" customHeight="1" x14ac:dyDescent="0.25">
      <c r="A1516" s="272" t="s">
        <v>8816</v>
      </c>
      <c r="B1516" s="272" t="s">
        <v>10591</v>
      </c>
      <c r="C1516" s="272">
        <v>180053</v>
      </c>
      <c r="D1516" s="259" t="s">
        <v>10251</v>
      </c>
      <c r="E1516" s="265" t="s">
        <v>10655</v>
      </c>
      <c r="F1516" s="272" t="s">
        <v>9198</v>
      </c>
      <c r="G1516" s="272" t="s">
        <v>9197</v>
      </c>
      <c r="H1516" s="265" t="s">
        <v>10994</v>
      </c>
      <c r="I1516" s="290" t="s">
        <v>10995</v>
      </c>
      <c r="J1516" s="265" t="s">
        <v>10655</v>
      </c>
      <c r="K1516" s="265" t="s">
        <v>10655</v>
      </c>
    </row>
    <row r="1517" spans="1:11" s="75" customFormat="1" ht="14.55" customHeight="1" x14ac:dyDescent="0.25">
      <c r="A1517" s="272" t="s">
        <v>8816</v>
      </c>
      <c r="B1517" s="272" t="s">
        <v>10591</v>
      </c>
      <c r="C1517" s="272">
        <v>180053</v>
      </c>
      <c r="D1517" s="259" t="s">
        <v>10251</v>
      </c>
      <c r="E1517" s="265" t="s">
        <v>10655</v>
      </c>
      <c r="F1517" s="272" t="s">
        <v>9198</v>
      </c>
      <c r="G1517" s="272" t="s">
        <v>9197</v>
      </c>
      <c r="H1517" s="265" t="s">
        <v>10996</v>
      </c>
      <c r="I1517" s="290" t="s">
        <v>10997</v>
      </c>
      <c r="J1517" s="265" t="s">
        <v>10655</v>
      </c>
      <c r="K1517" s="265" t="s">
        <v>10655</v>
      </c>
    </row>
    <row r="1518" spans="1:11" s="75" customFormat="1" ht="14.55" customHeight="1" x14ac:dyDescent="0.25">
      <c r="A1518" s="272" t="s">
        <v>8816</v>
      </c>
      <c r="B1518" s="272" t="s">
        <v>10591</v>
      </c>
      <c r="C1518" s="272">
        <v>180053</v>
      </c>
      <c r="D1518" s="259" t="s">
        <v>10251</v>
      </c>
      <c r="E1518" s="265" t="s">
        <v>10655</v>
      </c>
      <c r="F1518" s="272" t="s">
        <v>9198</v>
      </c>
      <c r="G1518" s="272" t="s">
        <v>9197</v>
      </c>
      <c r="H1518" s="265" t="s">
        <v>10998</v>
      </c>
      <c r="I1518" s="290" t="s">
        <v>10999</v>
      </c>
      <c r="J1518" s="265" t="s">
        <v>10655</v>
      </c>
      <c r="K1518" s="265" t="s">
        <v>10655</v>
      </c>
    </row>
    <row r="1519" spans="1:11" s="75" customFormat="1" ht="14.55" customHeight="1" x14ac:dyDescent="0.25">
      <c r="A1519" s="272" t="s">
        <v>8816</v>
      </c>
      <c r="B1519" s="272" t="s">
        <v>10591</v>
      </c>
      <c r="C1519" s="272">
        <v>180053</v>
      </c>
      <c r="D1519" s="259" t="s">
        <v>10251</v>
      </c>
      <c r="E1519" s="265" t="s">
        <v>10655</v>
      </c>
      <c r="F1519" s="272" t="s">
        <v>9198</v>
      </c>
      <c r="G1519" s="272" t="s">
        <v>9197</v>
      </c>
      <c r="H1519" s="265" t="s">
        <v>11000</v>
      </c>
      <c r="I1519" s="290" t="s">
        <v>11001</v>
      </c>
      <c r="J1519" s="265" t="s">
        <v>10655</v>
      </c>
      <c r="K1519" s="265" t="s">
        <v>10655</v>
      </c>
    </row>
    <row r="1520" spans="1:11" s="75" customFormat="1" ht="14.55" customHeight="1" x14ac:dyDescent="0.25">
      <c r="A1520" s="272" t="s">
        <v>8816</v>
      </c>
      <c r="B1520" s="272" t="s">
        <v>10591</v>
      </c>
      <c r="C1520" s="272" t="s">
        <v>10252</v>
      </c>
      <c r="D1520" s="259" t="s">
        <v>10253</v>
      </c>
      <c r="E1520" s="265" t="s">
        <v>10655</v>
      </c>
      <c r="F1520" s="272" t="s">
        <v>9198</v>
      </c>
      <c r="G1520" s="272" t="s">
        <v>9197</v>
      </c>
      <c r="H1520" s="265" t="s">
        <v>10976</v>
      </c>
      <c r="I1520" s="290" t="s">
        <v>10977</v>
      </c>
      <c r="J1520" s="265" t="s">
        <v>10655</v>
      </c>
      <c r="K1520" s="265" t="s">
        <v>10655</v>
      </c>
    </row>
    <row r="1521" spans="1:11" s="75" customFormat="1" ht="14.55" customHeight="1" x14ac:dyDescent="0.25">
      <c r="A1521" s="272" t="s">
        <v>8816</v>
      </c>
      <c r="B1521" s="272" t="s">
        <v>10591</v>
      </c>
      <c r="C1521" s="272" t="s">
        <v>10252</v>
      </c>
      <c r="D1521" s="259" t="s">
        <v>10253</v>
      </c>
      <c r="E1521" s="265" t="s">
        <v>10655</v>
      </c>
      <c r="F1521" s="272" t="s">
        <v>9198</v>
      </c>
      <c r="G1521" s="272" t="s">
        <v>9197</v>
      </c>
      <c r="H1521" s="265" t="s">
        <v>10978</v>
      </c>
      <c r="I1521" s="290" t="s">
        <v>10979</v>
      </c>
      <c r="J1521" s="265" t="s">
        <v>10655</v>
      </c>
      <c r="K1521" s="265" t="s">
        <v>10655</v>
      </c>
    </row>
    <row r="1522" spans="1:11" s="75" customFormat="1" ht="14.55" customHeight="1" x14ac:dyDescent="0.25">
      <c r="A1522" s="272" t="s">
        <v>8816</v>
      </c>
      <c r="B1522" s="272" t="s">
        <v>10591</v>
      </c>
      <c r="C1522" s="272" t="s">
        <v>10252</v>
      </c>
      <c r="D1522" s="259" t="s">
        <v>10253</v>
      </c>
      <c r="E1522" s="265" t="s">
        <v>10655</v>
      </c>
      <c r="F1522" s="272" t="s">
        <v>9198</v>
      </c>
      <c r="G1522" s="272" t="s">
        <v>9197</v>
      </c>
      <c r="H1522" s="265" t="s">
        <v>10980</v>
      </c>
      <c r="I1522" s="290" t="s">
        <v>10981</v>
      </c>
      <c r="J1522" s="265" t="s">
        <v>10655</v>
      </c>
      <c r="K1522" s="265" t="s">
        <v>10655</v>
      </c>
    </row>
    <row r="1523" spans="1:11" s="75" customFormat="1" ht="14.55" customHeight="1" x14ac:dyDescent="0.25">
      <c r="A1523" s="272" t="s">
        <v>8816</v>
      </c>
      <c r="B1523" s="272" t="s">
        <v>10591</v>
      </c>
      <c r="C1523" s="272" t="s">
        <v>10252</v>
      </c>
      <c r="D1523" s="259" t="s">
        <v>10253</v>
      </c>
      <c r="E1523" s="265" t="s">
        <v>10655</v>
      </c>
      <c r="F1523" s="272" t="s">
        <v>9198</v>
      </c>
      <c r="G1523" s="272" t="s">
        <v>9197</v>
      </c>
      <c r="H1523" s="265" t="s">
        <v>10982</v>
      </c>
      <c r="I1523" s="290" t="s">
        <v>10983</v>
      </c>
      <c r="J1523" s="265" t="s">
        <v>10655</v>
      </c>
      <c r="K1523" s="265" t="s">
        <v>10655</v>
      </c>
    </row>
    <row r="1524" spans="1:11" s="75" customFormat="1" ht="14.55" customHeight="1" x14ac:dyDescent="0.25">
      <c r="A1524" s="272" t="s">
        <v>8816</v>
      </c>
      <c r="B1524" s="272" t="s">
        <v>10591</v>
      </c>
      <c r="C1524" s="272" t="s">
        <v>10252</v>
      </c>
      <c r="D1524" s="259" t="s">
        <v>10253</v>
      </c>
      <c r="E1524" s="265" t="s">
        <v>10655</v>
      </c>
      <c r="F1524" s="272" t="s">
        <v>9198</v>
      </c>
      <c r="G1524" s="272" t="s">
        <v>9197</v>
      </c>
      <c r="H1524" s="265" t="s">
        <v>11004</v>
      </c>
      <c r="I1524" s="290" t="s">
        <v>11005</v>
      </c>
      <c r="J1524" s="265" t="s">
        <v>10655</v>
      </c>
      <c r="K1524" s="265" t="s">
        <v>10655</v>
      </c>
    </row>
    <row r="1525" spans="1:11" s="75" customFormat="1" ht="14.55" customHeight="1" x14ac:dyDescent="0.25">
      <c r="A1525" s="272" t="s">
        <v>8816</v>
      </c>
      <c r="B1525" s="272" t="s">
        <v>10591</v>
      </c>
      <c r="C1525" s="272" t="s">
        <v>10252</v>
      </c>
      <c r="D1525" s="259" t="s">
        <v>10253</v>
      </c>
      <c r="E1525" s="265" t="s">
        <v>10655</v>
      </c>
      <c r="F1525" s="272" t="s">
        <v>9198</v>
      </c>
      <c r="G1525" s="272" t="s">
        <v>9197</v>
      </c>
      <c r="H1525" s="265" t="s">
        <v>10986</v>
      </c>
      <c r="I1525" s="290" t="s">
        <v>10987</v>
      </c>
      <c r="J1525" s="265" t="s">
        <v>10655</v>
      </c>
      <c r="K1525" s="265" t="s">
        <v>10655</v>
      </c>
    </row>
    <row r="1526" spans="1:11" s="75" customFormat="1" ht="14.55" customHeight="1" x14ac:dyDescent="0.25">
      <c r="A1526" s="272" t="s">
        <v>8816</v>
      </c>
      <c r="B1526" s="272" t="s">
        <v>10591</v>
      </c>
      <c r="C1526" s="272" t="s">
        <v>10252</v>
      </c>
      <c r="D1526" s="259" t="s">
        <v>10253</v>
      </c>
      <c r="E1526" s="265" t="s">
        <v>10655</v>
      </c>
      <c r="F1526" s="272" t="s">
        <v>9198</v>
      </c>
      <c r="G1526" s="272" t="s">
        <v>9197</v>
      </c>
      <c r="H1526" s="265" t="s">
        <v>10988</v>
      </c>
      <c r="I1526" s="290" t="s">
        <v>10989</v>
      </c>
      <c r="J1526" s="265" t="s">
        <v>10655</v>
      </c>
      <c r="K1526" s="265" t="s">
        <v>10655</v>
      </c>
    </row>
    <row r="1527" spans="1:11" s="75" customFormat="1" ht="14.55" customHeight="1" x14ac:dyDescent="0.25">
      <c r="A1527" s="272" t="s">
        <v>8816</v>
      </c>
      <c r="B1527" s="272" t="s">
        <v>10591</v>
      </c>
      <c r="C1527" s="272" t="s">
        <v>10252</v>
      </c>
      <c r="D1527" s="259" t="s">
        <v>10253</v>
      </c>
      <c r="E1527" s="265" t="s">
        <v>10655</v>
      </c>
      <c r="F1527" s="272" t="s">
        <v>9198</v>
      </c>
      <c r="G1527" s="272" t="s">
        <v>9197</v>
      </c>
      <c r="H1527" s="265" t="s">
        <v>11010</v>
      </c>
      <c r="I1527" s="290" t="s">
        <v>11011</v>
      </c>
      <c r="J1527" s="265" t="s">
        <v>10655</v>
      </c>
      <c r="K1527" s="265" t="s">
        <v>10655</v>
      </c>
    </row>
    <row r="1528" spans="1:11" s="75" customFormat="1" ht="14.55" customHeight="1" x14ac:dyDescent="0.25">
      <c r="A1528" s="272" t="s">
        <v>8816</v>
      </c>
      <c r="B1528" s="272" t="s">
        <v>10591</v>
      </c>
      <c r="C1528" s="272" t="s">
        <v>10252</v>
      </c>
      <c r="D1528" s="259" t="s">
        <v>10253</v>
      </c>
      <c r="E1528" s="265" t="s">
        <v>10655</v>
      </c>
      <c r="F1528" s="272" t="s">
        <v>9198</v>
      </c>
      <c r="G1528" s="272" t="s">
        <v>9197</v>
      </c>
      <c r="H1528" s="265" t="s">
        <v>10990</v>
      </c>
      <c r="I1528" s="290" t="s">
        <v>10991</v>
      </c>
      <c r="J1528" s="265" t="s">
        <v>10655</v>
      </c>
      <c r="K1528" s="265" t="s">
        <v>10655</v>
      </c>
    </row>
    <row r="1529" spans="1:11" s="75" customFormat="1" ht="14.55" customHeight="1" x14ac:dyDescent="0.25">
      <c r="A1529" s="272" t="s">
        <v>8816</v>
      </c>
      <c r="B1529" s="272" t="s">
        <v>10591</v>
      </c>
      <c r="C1529" s="272" t="s">
        <v>10252</v>
      </c>
      <c r="D1529" s="259" t="s">
        <v>10253</v>
      </c>
      <c r="E1529" s="265" t="s">
        <v>10655</v>
      </c>
      <c r="F1529" s="272" t="s">
        <v>9198</v>
      </c>
      <c r="G1529" s="272" t="s">
        <v>9197</v>
      </c>
      <c r="H1529" s="265" t="s">
        <v>10992</v>
      </c>
      <c r="I1529" s="290" t="s">
        <v>10993</v>
      </c>
      <c r="J1529" s="265" t="s">
        <v>10655</v>
      </c>
      <c r="K1529" s="265" t="s">
        <v>10655</v>
      </c>
    </row>
    <row r="1530" spans="1:11" s="75" customFormat="1" ht="14.55" customHeight="1" x14ac:dyDescent="0.25">
      <c r="A1530" s="272" t="s">
        <v>8816</v>
      </c>
      <c r="B1530" s="272" t="s">
        <v>10591</v>
      </c>
      <c r="C1530" s="272" t="s">
        <v>10252</v>
      </c>
      <c r="D1530" s="259" t="s">
        <v>10253</v>
      </c>
      <c r="E1530" s="265" t="s">
        <v>10655</v>
      </c>
      <c r="F1530" s="272" t="s">
        <v>9198</v>
      </c>
      <c r="G1530" s="272" t="s">
        <v>9197</v>
      </c>
      <c r="H1530" s="265" t="s">
        <v>10994</v>
      </c>
      <c r="I1530" s="290" t="s">
        <v>10995</v>
      </c>
      <c r="J1530" s="265" t="s">
        <v>10655</v>
      </c>
      <c r="K1530" s="265" t="s">
        <v>10655</v>
      </c>
    </row>
    <row r="1531" spans="1:11" s="75" customFormat="1" ht="14.55" customHeight="1" x14ac:dyDescent="0.25">
      <c r="A1531" s="272" t="s">
        <v>8816</v>
      </c>
      <c r="B1531" s="272" t="s">
        <v>10591</v>
      </c>
      <c r="C1531" s="272" t="s">
        <v>10252</v>
      </c>
      <c r="D1531" s="259" t="s">
        <v>10253</v>
      </c>
      <c r="E1531" s="265" t="s">
        <v>10655</v>
      </c>
      <c r="F1531" s="272" t="s">
        <v>9198</v>
      </c>
      <c r="G1531" s="272" t="s">
        <v>9197</v>
      </c>
      <c r="H1531" s="265" t="s">
        <v>10996</v>
      </c>
      <c r="I1531" s="290" t="s">
        <v>10997</v>
      </c>
      <c r="J1531" s="265" t="s">
        <v>10655</v>
      </c>
      <c r="K1531" s="265" t="s">
        <v>10655</v>
      </c>
    </row>
    <row r="1532" spans="1:11" s="75" customFormat="1" ht="14.55" customHeight="1" x14ac:dyDescent="0.25">
      <c r="A1532" s="272" t="s">
        <v>8816</v>
      </c>
      <c r="B1532" s="272" t="s">
        <v>10591</v>
      </c>
      <c r="C1532" s="272" t="s">
        <v>10252</v>
      </c>
      <c r="D1532" s="259" t="s">
        <v>10253</v>
      </c>
      <c r="E1532" s="265" t="s">
        <v>10655</v>
      </c>
      <c r="F1532" s="272" t="s">
        <v>9198</v>
      </c>
      <c r="G1532" s="272" t="s">
        <v>9197</v>
      </c>
      <c r="H1532" s="265" t="s">
        <v>10998</v>
      </c>
      <c r="I1532" s="290" t="s">
        <v>10999</v>
      </c>
      <c r="J1532" s="265" t="s">
        <v>10655</v>
      </c>
      <c r="K1532" s="265" t="s">
        <v>10655</v>
      </c>
    </row>
    <row r="1533" spans="1:11" s="75" customFormat="1" ht="14.55" customHeight="1" x14ac:dyDescent="0.25">
      <c r="A1533" s="272" t="s">
        <v>8816</v>
      </c>
      <c r="B1533" s="272" t="s">
        <v>10591</v>
      </c>
      <c r="C1533" s="272" t="s">
        <v>10252</v>
      </c>
      <c r="D1533" s="259" t="s">
        <v>10253</v>
      </c>
      <c r="E1533" s="265" t="s">
        <v>10655</v>
      </c>
      <c r="F1533" s="272" t="s">
        <v>9198</v>
      </c>
      <c r="G1533" s="272" t="s">
        <v>9197</v>
      </c>
      <c r="H1533" s="265" t="s">
        <v>11000</v>
      </c>
      <c r="I1533" s="290" t="s">
        <v>11001</v>
      </c>
      <c r="J1533" s="265" t="s">
        <v>10655</v>
      </c>
      <c r="K1533" s="265" t="s">
        <v>10655</v>
      </c>
    </row>
    <row r="1534" spans="1:11" s="75" customFormat="1" ht="14.55" customHeight="1" x14ac:dyDescent="0.25">
      <c r="A1534" s="272" t="s">
        <v>8816</v>
      </c>
      <c r="B1534" s="272" t="s">
        <v>10591</v>
      </c>
      <c r="C1534" s="272" t="s">
        <v>10254</v>
      </c>
      <c r="D1534" s="259" t="s">
        <v>10255</v>
      </c>
      <c r="E1534" s="265" t="s">
        <v>10655</v>
      </c>
      <c r="F1534" s="272" t="s">
        <v>9198</v>
      </c>
      <c r="G1534" s="272" t="s">
        <v>9197</v>
      </c>
      <c r="H1534" s="265" t="s">
        <v>10980</v>
      </c>
      <c r="I1534" s="290" t="s">
        <v>10981</v>
      </c>
      <c r="J1534" s="265" t="s">
        <v>10655</v>
      </c>
      <c r="K1534" s="265" t="s">
        <v>10655</v>
      </c>
    </row>
    <row r="1535" spans="1:11" s="75" customFormat="1" ht="14.55" customHeight="1" x14ac:dyDescent="0.25">
      <c r="A1535" s="272" t="s">
        <v>8816</v>
      </c>
      <c r="B1535" s="272" t="s">
        <v>10591</v>
      </c>
      <c r="C1535" s="272" t="s">
        <v>10254</v>
      </c>
      <c r="D1535" s="259" t="s">
        <v>10255</v>
      </c>
      <c r="E1535" s="265" t="s">
        <v>10655</v>
      </c>
      <c r="F1535" s="272" t="s">
        <v>9198</v>
      </c>
      <c r="G1535" s="272" t="s">
        <v>9197</v>
      </c>
      <c r="H1535" s="265" t="s">
        <v>10988</v>
      </c>
      <c r="I1535" s="290" t="s">
        <v>10989</v>
      </c>
      <c r="J1535" s="265" t="s">
        <v>10655</v>
      </c>
      <c r="K1535" s="265" t="s">
        <v>10655</v>
      </c>
    </row>
    <row r="1536" spans="1:11" s="75" customFormat="1" ht="14.55" customHeight="1" x14ac:dyDescent="0.25">
      <c r="A1536" s="272" t="s">
        <v>8816</v>
      </c>
      <c r="B1536" s="272" t="s">
        <v>10591</v>
      </c>
      <c r="C1536" s="272" t="s">
        <v>10254</v>
      </c>
      <c r="D1536" s="259" t="s">
        <v>10255</v>
      </c>
      <c r="E1536" s="265" t="s">
        <v>10655</v>
      </c>
      <c r="F1536" s="272" t="s">
        <v>9198</v>
      </c>
      <c r="G1536" s="272" t="s">
        <v>9197</v>
      </c>
      <c r="H1536" s="265" t="s">
        <v>10990</v>
      </c>
      <c r="I1536" s="290" t="s">
        <v>10991</v>
      </c>
      <c r="J1536" s="265" t="s">
        <v>10655</v>
      </c>
      <c r="K1536" s="265" t="s">
        <v>10655</v>
      </c>
    </row>
    <row r="1537" spans="1:11" s="75" customFormat="1" ht="14.55" customHeight="1" x14ac:dyDescent="0.25">
      <c r="A1537" s="272" t="s">
        <v>8816</v>
      </c>
      <c r="B1537" s="272" t="s">
        <v>10591</v>
      </c>
      <c r="C1537" s="272" t="s">
        <v>10254</v>
      </c>
      <c r="D1537" s="259" t="s">
        <v>10255</v>
      </c>
      <c r="E1537" s="265" t="s">
        <v>10655</v>
      </c>
      <c r="F1537" s="272" t="s">
        <v>9198</v>
      </c>
      <c r="G1537" s="272" t="s">
        <v>9197</v>
      </c>
      <c r="H1537" s="265" t="s">
        <v>10994</v>
      </c>
      <c r="I1537" s="290" t="s">
        <v>10995</v>
      </c>
      <c r="J1537" s="265" t="s">
        <v>10655</v>
      </c>
      <c r="K1537" s="265" t="s">
        <v>10655</v>
      </c>
    </row>
    <row r="1538" spans="1:11" s="75" customFormat="1" ht="14.55" customHeight="1" x14ac:dyDescent="0.25">
      <c r="A1538" s="272" t="s">
        <v>8816</v>
      </c>
      <c r="B1538" s="272" t="s">
        <v>10591</v>
      </c>
      <c r="C1538" s="272" t="s">
        <v>10254</v>
      </c>
      <c r="D1538" s="259" t="s">
        <v>10255</v>
      </c>
      <c r="E1538" s="265" t="s">
        <v>10655</v>
      </c>
      <c r="F1538" s="272" t="s">
        <v>9198</v>
      </c>
      <c r="G1538" s="272" t="s">
        <v>9197</v>
      </c>
      <c r="H1538" s="265" t="s">
        <v>10996</v>
      </c>
      <c r="I1538" s="290" t="s">
        <v>10997</v>
      </c>
      <c r="J1538" s="265" t="s">
        <v>10655</v>
      </c>
      <c r="K1538" s="265" t="s">
        <v>10655</v>
      </c>
    </row>
    <row r="1539" spans="1:11" s="75" customFormat="1" ht="14.55" customHeight="1" x14ac:dyDescent="0.25">
      <c r="A1539" s="272" t="s">
        <v>8816</v>
      </c>
      <c r="B1539" s="272" t="s">
        <v>10591</v>
      </c>
      <c r="C1539" s="272" t="s">
        <v>10254</v>
      </c>
      <c r="D1539" s="259" t="s">
        <v>10255</v>
      </c>
      <c r="E1539" s="265" t="s">
        <v>10655</v>
      </c>
      <c r="F1539" s="272" t="s">
        <v>9198</v>
      </c>
      <c r="G1539" s="272" t="s">
        <v>9197</v>
      </c>
      <c r="H1539" s="265" t="s">
        <v>11000</v>
      </c>
      <c r="I1539" s="290" t="s">
        <v>11001</v>
      </c>
      <c r="J1539" s="265" t="s">
        <v>10655</v>
      </c>
      <c r="K1539" s="265" t="s">
        <v>10655</v>
      </c>
    </row>
    <row r="1540" spans="1:11" s="75" customFormat="1" ht="14.55" customHeight="1" x14ac:dyDescent="0.25">
      <c r="A1540" s="272" t="s">
        <v>8816</v>
      </c>
      <c r="B1540" s="272" t="s">
        <v>10591</v>
      </c>
      <c r="C1540" s="272" t="s">
        <v>10256</v>
      </c>
      <c r="D1540" s="259" t="s">
        <v>10257</v>
      </c>
      <c r="E1540" s="265" t="s">
        <v>10655</v>
      </c>
      <c r="F1540" s="272" t="s">
        <v>9198</v>
      </c>
      <c r="G1540" s="272" t="s">
        <v>9197</v>
      </c>
      <c r="H1540" s="265" t="s">
        <v>10978</v>
      </c>
      <c r="I1540" s="290" t="s">
        <v>10979</v>
      </c>
      <c r="J1540" s="265" t="s">
        <v>10655</v>
      </c>
      <c r="K1540" s="265" t="s">
        <v>10655</v>
      </c>
    </row>
    <row r="1541" spans="1:11" s="75" customFormat="1" ht="14.55" customHeight="1" x14ac:dyDescent="0.25">
      <c r="A1541" s="272" t="s">
        <v>8816</v>
      </c>
      <c r="B1541" s="272" t="s">
        <v>10591</v>
      </c>
      <c r="C1541" s="272" t="s">
        <v>10256</v>
      </c>
      <c r="D1541" s="259" t="s">
        <v>10257</v>
      </c>
      <c r="E1541" s="265" t="s">
        <v>10655</v>
      </c>
      <c r="F1541" s="272" t="s">
        <v>9198</v>
      </c>
      <c r="G1541" s="272" t="s">
        <v>9197</v>
      </c>
      <c r="H1541" s="265" t="s">
        <v>10980</v>
      </c>
      <c r="I1541" s="290" t="s">
        <v>10981</v>
      </c>
      <c r="J1541" s="265" t="s">
        <v>10655</v>
      </c>
      <c r="K1541" s="265" t="s">
        <v>10655</v>
      </c>
    </row>
    <row r="1542" spans="1:11" s="75" customFormat="1" ht="14.55" customHeight="1" x14ac:dyDescent="0.25">
      <c r="A1542" s="272" t="s">
        <v>8816</v>
      </c>
      <c r="B1542" s="272" t="s">
        <v>10591</v>
      </c>
      <c r="C1542" s="272" t="s">
        <v>10256</v>
      </c>
      <c r="D1542" s="259" t="s">
        <v>10257</v>
      </c>
      <c r="E1542" s="265" t="s">
        <v>10655</v>
      </c>
      <c r="F1542" s="272" t="s">
        <v>9198</v>
      </c>
      <c r="G1542" s="272" t="s">
        <v>9197</v>
      </c>
      <c r="H1542" s="265" t="s">
        <v>10982</v>
      </c>
      <c r="I1542" s="290" t="s">
        <v>10983</v>
      </c>
      <c r="J1542" s="265" t="s">
        <v>10655</v>
      </c>
      <c r="K1542" s="265" t="s">
        <v>10655</v>
      </c>
    </row>
    <row r="1543" spans="1:11" s="75" customFormat="1" ht="14.55" customHeight="1" x14ac:dyDescent="0.25">
      <c r="A1543" s="272" t="s">
        <v>8816</v>
      </c>
      <c r="B1543" s="272" t="s">
        <v>10591</v>
      </c>
      <c r="C1543" s="272" t="s">
        <v>10256</v>
      </c>
      <c r="D1543" s="259" t="s">
        <v>10257</v>
      </c>
      <c r="E1543" s="265" t="s">
        <v>10655</v>
      </c>
      <c r="F1543" s="272" t="s">
        <v>9198</v>
      </c>
      <c r="G1543" s="272" t="s">
        <v>9197</v>
      </c>
      <c r="H1543" s="265" t="s">
        <v>10984</v>
      </c>
      <c r="I1543" s="290" t="s">
        <v>10985</v>
      </c>
      <c r="J1543" s="265" t="s">
        <v>10655</v>
      </c>
      <c r="K1543" s="265" t="s">
        <v>10655</v>
      </c>
    </row>
    <row r="1544" spans="1:11" s="75" customFormat="1" ht="14.55" customHeight="1" x14ac:dyDescent="0.25">
      <c r="A1544" s="272" t="s">
        <v>8816</v>
      </c>
      <c r="B1544" s="272" t="s">
        <v>10591</v>
      </c>
      <c r="C1544" s="272" t="s">
        <v>10256</v>
      </c>
      <c r="D1544" s="259" t="s">
        <v>10257</v>
      </c>
      <c r="E1544" s="265" t="s">
        <v>10655</v>
      </c>
      <c r="F1544" s="272" t="s">
        <v>9198</v>
      </c>
      <c r="G1544" s="272" t="s">
        <v>9197</v>
      </c>
      <c r="H1544" s="265" t="s">
        <v>10988</v>
      </c>
      <c r="I1544" s="290" t="s">
        <v>10989</v>
      </c>
      <c r="J1544" s="265" t="s">
        <v>10655</v>
      </c>
      <c r="K1544" s="265" t="s">
        <v>10655</v>
      </c>
    </row>
    <row r="1545" spans="1:11" s="75" customFormat="1" ht="14.55" customHeight="1" x14ac:dyDescent="0.25">
      <c r="A1545" s="272" t="s">
        <v>8816</v>
      </c>
      <c r="B1545" s="272" t="s">
        <v>10591</v>
      </c>
      <c r="C1545" s="272" t="s">
        <v>10256</v>
      </c>
      <c r="D1545" s="259" t="s">
        <v>10257</v>
      </c>
      <c r="E1545" s="265" t="s">
        <v>10655</v>
      </c>
      <c r="F1545" s="272" t="s">
        <v>9198</v>
      </c>
      <c r="G1545" s="272" t="s">
        <v>9197</v>
      </c>
      <c r="H1545" s="265" t="s">
        <v>10990</v>
      </c>
      <c r="I1545" s="290" t="s">
        <v>10991</v>
      </c>
      <c r="J1545" s="265" t="s">
        <v>10655</v>
      </c>
      <c r="K1545" s="265" t="s">
        <v>10655</v>
      </c>
    </row>
    <row r="1546" spans="1:11" s="75" customFormat="1" ht="14.55" customHeight="1" x14ac:dyDescent="0.25">
      <c r="A1546" s="272" t="s">
        <v>8816</v>
      </c>
      <c r="B1546" s="272" t="s">
        <v>10591</v>
      </c>
      <c r="C1546" s="272" t="s">
        <v>10256</v>
      </c>
      <c r="D1546" s="259" t="s">
        <v>10257</v>
      </c>
      <c r="E1546" s="265" t="s">
        <v>10655</v>
      </c>
      <c r="F1546" s="272" t="s">
        <v>9198</v>
      </c>
      <c r="G1546" s="272" t="s">
        <v>9197</v>
      </c>
      <c r="H1546" s="265" t="s">
        <v>10994</v>
      </c>
      <c r="I1546" s="290" t="s">
        <v>10995</v>
      </c>
      <c r="J1546" s="265" t="s">
        <v>10655</v>
      </c>
      <c r="K1546" s="265" t="s">
        <v>10655</v>
      </c>
    </row>
    <row r="1547" spans="1:11" s="75" customFormat="1" ht="14.55" customHeight="1" x14ac:dyDescent="0.25">
      <c r="A1547" s="272" t="s">
        <v>8816</v>
      </c>
      <c r="B1547" s="272" t="s">
        <v>10591</v>
      </c>
      <c r="C1547" s="272" t="s">
        <v>10256</v>
      </c>
      <c r="D1547" s="259" t="s">
        <v>10257</v>
      </c>
      <c r="E1547" s="265" t="s">
        <v>10655</v>
      </c>
      <c r="F1547" s="272" t="s">
        <v>9198</v>
      </c>
      <c r="G1547" s="272" t="s">
        <v>9197</v>
      </c>
      <c r="H1547" s="265" t="s">
        <v>10996</v>
      </c>
      <c r="I1547" s="290" t="s">
        <v>10997</v>
      </c>
      <c r="J1547" s="265" t="s">
        <v>10655</v>
      </c>
      <c r="K1547" s="265" t="s">
        <v>10655</v>
      </c>
    </row>
    <row r="1548" spans="1:11" s="75" customFormat="1" ht="14.55" customHeight="1" x14ac:dyDescent="0.25">
      <c r="A1548" s="272" t="s">
        <v>8816</v>
      </c>
      <c r="B1548" s="272" t="s">
        <v>10591</v>
      </c>
      <c r="C1548" s="272" t="s">
        <v>10256</v>
      </c>
      <c r="D1548" s="259" t="s">
        <v>10257</v>
      </c>
      <c r="E1548" s="265" t="s">
        <v>10655</v>
      </c>
      <c r="F1548" s="272" t="s">
        <v>9198</v>
      </c>
      <c r="G1548" s="272" t="s">
        <v>9197</v>
      </c>
      <c r="H1548" s="265" t="s">
        <v>11000</v>
      </c>
      <c r="I1548" s="290" t="s">
        <v>11001</v>
      </c>
      <c r="J1548" s="265" t="s">
        <v>10655</v>
      </c>
      <c r="K1548" s="265" t="s">
        <v>10655</v>
      </c>
    </row>
    <row r="1549" spans="1:11" s="75" customFormat="1" ht="14.55" customHeight="1" x14ac:dyDescent="0.25">
      <c r="A1549" s="272" t="s">
        <v>8816</v>
      </c>
      <c r="B1549" s="272" t="s">
        <v>10591</v>
      </c>
      <c r="C1549" s="272" t="s">
        <v>10258</v>
      </c>
      <c r="D1549" s="259" t="s">
        <v>10259</v>
      </c>
      <c r="E1549" s="265" t="s">
        <v>10655</v>
      </c>
      <c r="F1549" s="272" t="s">
        <v>9198</v>
      </c>
      <c r="G1549" s="272" t="s">
        <v>9197</v>
      </c>
      <c r="H1549" s="265" t="s">
        <v>10980</v>
      </c>
      <c r="I1549" s="290" t="s">
        <v>10981</v>
      </c>
      <c r="J1549" s="265" t="s">
        <v>10655</v>
      </c>
      <c r="K1549" s="265" t="s">
        <v>10655</v>
      </c>
    </row>
    <row r="1550" spans="1:11" s="75" customFormat="1" ht="14.55" customHeight="1" x14ac:dyDescent="0.25">
      <c r="A1550" s="272" t="s">
        <v>8816</v>
      </c>
      <c r="B1550" s="272" t="s">
        <v>10591</v>
      </c>
      <c r="C1550" s="272" t="s">
        <v>10258</v>
      </c>
      <c r="D1550" s="259" t="s">
        <v>10259</v>
      </c>
      <c r="E1550" s="265" t="s">
        <v>10655</v>
      </c>
      <c r="F1550" s="272" t="s">
        <v>9198</v>
      </c>
      <c r="G1550" s="272" t="s">
        <v>9197</v>
      </c>
      <c r="H1550" s="265" t="s">
        <v>11004</v>
      </c>
      <c r="I1550" s="290" t="s">
        <v>11005</v>
      </c>
      <c r="J1550" s="265" t="s">
        <v>10655</v>
      </c>
      <c r="K1550" s="265" t="s">
        <v>10655</v>
      </c>
    </row>
    <row r="1551" spans="1:11" s="75" customFormat="1" ht="14.55" customHeight="1" x14ac:dyDescent="0.25">
      <c r="A1551" s="272" t="s">
        <v>8816</v>
      </c>
      <c r="B1551" s="272" t="s">
        <v>10591</v>
      </c>
      <c r="C1551" s="272" t="s">
        <v>10258</v>
      </c>
      <c r="D1551" s="259" t="s">
        <v>10259</v>
      </c>
      <c r="E1551" s="265" t="s">
        <v>10655</v>
      </c>
      <c r="F1551" s="272" t="s">
        <v>9198</v>
      </c>
      <c r="G1551" s="272" t="s">
        <v>9197</v>
      </c>
      <c r="H1551" s="265" t="s">
        <v>10984</v>
      </c>
      <c r="I1551" s="290" t="s">
        <v>10985</v>
      </c>
      <c r="J1551" s="265" t="s">
        <v>10655</v>
      </c>
      <c r="K1551" s="265" t="s">
        <v>10655</v>
      </c>
    </row>
    <row r="1552" spans="1:11" s="75" customFormat="1" ht="14.55" customHeight="1" x14ac:dyDescent="0.25">
      <c r="A1552" s="272" t="s">
        <v>8816</v>
      </c>
      <c r="B1552" s="272" t="s">
        <v>10591</v>
      </c>
      <c r="C1552" s="272" t="s">
        <v>10258</v>
      </c>
      <c r="D1552" s="259" t="s">
        <v>10259</v>
      </c>
      <c r="E1552" s="265" t="s">
        <v>10655</v>
      </c>
      <c r="F1552" s="272" t="s">
        <v>9198</v>
      </c>
      <c r="G1552" s="272" t="s">
        <v>9197</v>
      </c>
      <c r="H1552" s="265" t="s">
        <v>10988</v>
      </c>
      <c r="I1552" s="290" t="s">
        <v>10989</v>
      </c>
      <c r="J1552" s="265" t="s">
        <v>10655</v>
      </c>
      <c r="K1552" s="265" t="s">
        <v>10655</v>
      </c>
    </row>
    <row r="1553" spans="1:11" s="75" customFormat="1" ht="14.55" customHeight="1" x14ac:dyDescent="0.25">
      <c r="A1553" s="272" t="s">
        <v>8816</v>
      </c>
      <c r="B1553" s="272" t="s">
        <v>10591</v>
      </c>
      <c r="C1553" s="272" t="s">
        <v>10258</v>
      </c>
      <c r="D1553" s="259" t="s">
        <v>10259</v>
      </c>
      <c r="E1553" s="265" t="s">
        <v>10655</v>
      </c>
      <c r="F1553" s="272" t="s">
        <v>9198</v>
      </c>
      <c r="G1553" s="272" t="s">
        <v>9197</v>
      </c>
      <c r="H1553" s="265" t="s">
        <v>11010</v>
      </c>
      <c r="I1553" s="290" t="s">
        <v>11011</v>
      </c>
      <c r="J1553" s="265" t="s">
        <v>10655</v>
      </c>
      <c r="K1553" s="265" t="s">
        <v>10655</v>
      </c>
    </row>
    <row r="1554" spans="1:11" s="75" customFormat="1" ht="14.55" customHeight="1" x14ac:dyDescent="0.25">
      <c r="A1554" s="272" t="s">
        <v>8816</v>
      </c>
      <c r="B1554" s="272" t="s">
        <v>10591</v>
      </c>
      <c r="C1554" s="272" t="s">
        <v>10258</v>
      </c>
      <c r="D1554" s="259" t="s">
        <v>10259</v>
      </c>
      <c r="E1554" s="265" t="s">
        <v>10655</v>
      </c>
      <c r="F1554" s="272" t="s">
        <v>9198</v>
      </c>
      <c r="G1554" s="272" t="s">
        <v>9197</v>
      </c>
      <c r="H1554" s="265" t="s">
        <v>10990</v>
      </c>
      <c r="I1554" s="290" t="s">
        <v>10991</v>
      </c>
      <c r="J1554" s="265" t="s">
        <v>10655</v>
      </c>
      <c r="K1554" s="265" t="s">
        <v>10655</v>
      </c>
    </row>
    <row r="1555" spans="1:11" s="75" customFormat="1" ht="14.55" customHeight="1" x14ac:dyDescent="0.25">
      <c r="A1555" s="272" t="s">
        <v>8816</v>
      </c>
      <c r="B1555" s="272" t="s">
        <v>10591</v>
      </c>
      <c r="C1555" s="272" t="s">
        <v>10258</v>
      </c>
      <c r="D1555" s="259" t="s">
        <v>10259</v>
      </c>
      <c r="E1555" s="265" t="s">
        <v>10655</v>
      </c>
      <c r="F1555" s="272" t="s">
        <v>9198</v>
      </c>
      <c r="G1555" s="272" t="s">
        <v>9197</v>
      </c>
      <c r="H1555" s="265" t="s">
        <v>10994</v>
      </c>
      <c r="I1555" s="290" t="s">
        <v>10995</v>
      </c>
      <c r="J1555" s="265" t="s">
        <v>10655</v>
      </c>
      <c r="K1555" s="265" t="s">
        <v>10655</v>
      </c>
    </row>
    <row r="1556" spans="1:11" s="75" customFormat="1" ht="14.55" customHeight="1" x14ac:dyDescent="0.25">
      <c r="A1556" s="272" t="s">
        <v>8816</v>
      </c>
      <c r="B1556" s="272" t="s">
        <v>10591</v>
      </c>
      <c r="C1556" s="272" t="s">
        <v>10258</v>
      </c>
      <c r="D1556" s="259" t="s">
        <v>10259</v>
      </c>
      <c r="E1556" s="265" t="s">
        <v>10655</v>
      </c>
      <c r="F1556" s="272" t="s">
        <v>9198</v>
      </c>
      <c r="G1556" s="272" t="s">
        <v>9197</v>
      </c>
      <c r="H1556" s="265" t="s">
        <v>10996</v>
      </c>
      <c r="I1556" s="290" t="s">
        <v>10997</v>
      </c>
      <c r="J1556" s="265" t="s">
        <v>10655</v>
      </c>
      <c r="K1556" s="265" t="s">
        <v>10655</v>
      </c>
    </row>
    <row r="1557" spans="1:11" s="75" customFormat="1" ht="14.55" customHeight="1" x14ac:dyDescent="0.25">
      <c r="A1557" s="272" t="s">
        <v>8816</v>
      </c>
      <c r="B1557" s="272" t="s">
        <v>10591</v>
      </c>
      <c r="C1557" s="272" t="s">
        <v>10258</v>
      </c>
      <c r="D1557" s="259" t="s">
        <v>10259</v>
      </c>
      <c r="E1557" s="265" t="s">
        <v>10655</v>
      </c>
      <c r="F1557" s="272" t="s">
        <v>9198</v>
      </c>
      <c r="G1557" s="272" t="s">
        <v>9197</v>
      </c>
      <c r="H1557" s="265" t="s">
        <v>11000</v>
      </c>
      <c r="I1557" s="290" t="s">
        <v>11001</v>
      </c>
      <c r="J1557" s="265" t="s">
        <v>10655</v>
      </c>
      <c r="K1557" s="265" t="s">
        <v>10655</v>
      </c>
    </row>
    <row r="1558" spans="1:11" s="75" customFormat="1" ht="14.55" customHeight="1" x14ac:dyDescent="0.25">
      <c r="A1558" s="272" t="s">
        <v>8816</v>
      </c>
      <c r="B1558" s="272" t="s">
        <v>10591</v>
      </c>
      <c r="C1558" s="272" t="s">
        <v>10260</v>
      </c>
      <c r="D1558" s="259" t="s">
        <v>10261</v>
      </c>
      <c r="E1558" s="265" t="s">
        <v>10655</v>
      </c>
      <c r="F1558" s="272" t="s">
        <v>9198</v>
      </c>
      <c r="G1558" s="272" t="s">
        <v>9198</v>
      </c>
      <c r="H1558" s="265" t="s">
        <v>10980</v>
      </c>
      <c r="I1558" s="290" t="s">
        <v>10981</v>
      </c>
      <c r="J1558" s="265" t="s">
        <v>10655</v>
      </c>
      <c r="K1558" s="265" t="s">
        <v>10655</v>
      </c>
    </row>
    <row r="1559" spans="1:11" s="75" customFormat="1" ht="14.55" customHeight="1" x14ac:dyDescent="0.25">
      <c r="A1559" s="272" t="s">
        <v>8816</v>
      </c>
      <c r="B1559" s="272" t="s">
        <v>10591</v>
      </c>
      <c r="C1559" s="272" t="s">
        <v>10260</v>
      </c>
      <c r="D1559" s="259" t="s">
        <v>10261</v>
      </c>
      <c r="E1559" s="265" t="s">
        <v>10655</v>
      </c>
      <c r="F1559" s="272" t="s">
        <v>9198</v>
      </c>
      <c r="G1559" s="272" t="s">
        <v>9198</v>
      </c>
      <c r="H1559" s="265" t="s">
        <v>10988</v>
      </c>
      <c r="I1559" s="290" t="s">
        <v>10989</v>
      </c>
      <c r="J1559" s="265" t="s">
        <v>10655</v>
      </c>
      <c r="K1559" s="265" t="s">
        <v>10655</v>
      </c>
    </row>
    <row r="1560" spans="1:11" s="75" customFormat="1" ht="14.55" customHeight="1" x14ac:dyDescent="0.25">
      <c r="A1560" s="272" t="s">
        <v>8816</v>
      </c>
      <c r="B1560" s="272" t="s">
        <v>10591</v>
      </c>
      <c r="C1560" s="272" t="s">
        <v>10260</v>
      </c>
      <c r="D1560" s="259" t="s">
        <v>10261</v>
      </c>
      <c r="E1560" s="265" t="s">
        <v>10655</v>
      </c>
      <c r="F1560" s="272" t="s">
        <v>9198</v>
      </c>
      <c r="G1560" s="272" t="s">
        <v>9198</v>
      </c>
      <c r="H1560" s="265" t="s">
        <v>10990</v>
      </c>
      <c r="I1560" s="290" t="s">
        <v>10991</v>
      </c>
      <c r="J1560" s="265" t="s">
        <v>10655</v>
      </c>
      <c r="K1560" s="265" t="s">
        <v>10655</v>
      </c>
    </row>
    <row r="1561" spans="1:11" s="75" customFormat="1" ht="14.55" customHeight="1" x14ac:dyDescent="0.25">
      <c r="A1561" s="272" t="s">
        <v>8816</v>
      </c>
      <c r="B1561" s="272" t="s">
        <v>10591</v>
      </c>
      <c r="C1561" s="272" t="s">
        <v>10260</v>
      </c>
      <c r="D1561" s="259" t="s">
        <v>10261</v>
      </c>
      <c r="E1561" s="265" t="s">
        <v>10655</v>
      </c>
      <c r="F1561" s="272" t="s">
        <v>9198</v>
      </c>
      <c r="G1561" s="272" t="s">
        <v>9198</v>
      </c>
      <c r="H1561" s="265" t="s">
        <v>10994</v>
      </c>
      <c r="I1561" s="290" t="s">
        <v>10995</v>
      </c>
      <c r="J1561" s="265" t="s">
        <v>10655</v>
      </c>
      <c r="K1561" s="265" t="s">
        <v>10655</v>
      </c>
    </row>
    <row r="1562" spans="1:11" s="75" customFormat="1" ht="14.55" customHeight="1" x14ac:dyDescent="0.25">
      <c r="A1562" s="272" t="s">
        <v>8816</v>
      </c>
      <c r="B1562" s="272" t="s">
        <v>10591</v>
      </c>
      <c r="C1562" s="272" t="s">
        <v>10260</v>
      </c>
      <c r="D1562" s="259" t="s">
        <v>10261</v>
      </c>
      <c r="E1562" s="265" t="s">
        <v>10655</v>
      </c>
      <c r="F1562" s="272" t="s">
        <v>9198</v>
      </c>
      <c r="G1562" s="272" t="s">
        <v>9198</v>
      </c>
      <c r="H1562" s="265" t="s">
        <v>10996</v>
      </c>
      <c r="I1562" s="290" t="s">
        <v>10997</v>
      </c>
      <c r="J1562" s="265" t="s">
        <v>10655</v>
      </c>
      <c r="K1562" s="265" t="s">
        <v>10655</v>
      </c>
    </row>
    <row r="1563" spans="1:11" s="75" customFormat="1" ht="14.55" customHeight="1" x14ac:dyDescent="0.25">
      <c r="A1563" s="272" t="s">
        <v>8816</v>
      </c>
      <c r="B1563" s="272" t="s">
        <v>10591</v>
      </c>
      <c r="C1563" s="272" t="s">
        <v>10260</v>
      </c>
      <c r="D1563" s="259" t="s">
        <v>10261</v>
      </c>
      <c r="E1563" s="265" t="s">
        <v>10655</v>
      </c>
      <c r="F1563" s="272" t="s">
        <v>9198</v>
      </c>
      <c r="G1563" s="272" t="s">
        <v>9198</v>
      </c>
      <c r="H1563" s="265" t="s">
        <v>11000</v>
      </c>
      <c r="I1563" s="290" t="s">
        <v>11001</v>
      </c>
      <c r="J1563" s="265" t="s">
        <v>10655</v>
      </c>
      <c r="K1563" s="265" t="s">
        <v>10655</v>
      </c>
    </row>
    <row r="1564" spans="1:11" s="75" customFormat="1" ht="14.55" customHeight="1" x14ac:dyDescent="0.25">
      <c r="A1564" s="272" t="s">
        <v>8816</v>
      </c>
      <c r="B1564" s="272" t="s">
        <v>10591</v>
      </c>
      <c r="C1564" s="272" t="s">
        <v>10262</v>
      </c>
      <c r="D1564" s="259" t="s">
        <v>10263</v>
      </c>
      <c r="E1564" s="265" t="s">
        <v>10655</v>
      </c>
      <c r="F1564" s="272" t="s">
        <v>9198</v>
      </c>
      <c r="G1564" s="272" t="s">
        <v>9197</v>
      </c>
      <c r="H1564" s="265" t="s">
        <v>10980</v>
      </c>
      <c r="I1564" s="290" t="s">
        <v>10981</v>
      </c>
      <c r="J1564" s="265" t="s">
        <v>10655</v>
      </c>
      <c r="K1564" s="265" t="s">
        <v>10655</v>
      </c>
    </row>
    <row r="1565" spans="1:11" s="75" customFormat="1" ht="14.55" customHeight="1" x14ac:dyDescent="0.25">
      <c r="A1565" s="272" t="s">
        <v>8816</v>
      </c>
      <c r="B1565" s="272" t="s">
        <v>10591</v>
      </c>
      <c r="C1565" s="272" t="s">
        <v>10262</v>
      </c>
      <c r="D1565" s="259" t="s">
        <v>10263</v>
      </c>
      <c r="E1565" s="265" t="s">
        <v>10655</v>
      </c>
      <c r="F1565" s="272" t="s">
        <v>9198</v>
      </c>
      <c r="G1565" s="272" t="s">
        <v>9197</v>
      </c>
      <c r="H1565" s="265" t="s">
        <v>10984</v>
      </c>
      <c r="I1565" s="290" t="s">
        <v>10985</v>
      </c>
      <c r="J1565" s="265" t="s">
        <v>10655</v>
      </c>
      <c r="K1565" s="265" t="s">
        <v>10655</v>
      </c>
    </row>
    <row r="1566" spans="1:11" s="75" customFormat="1" ht="14.55" customHeight="1" x14ac:dyDescent="0.25">
      <c r="A1566" s="272" t="s">
        <v>8816</v>
      </c>
      <c r="B1566" s="272" t="s">
        <v>10591</v>
      </c>
      <c r="C1566" s="272" t="s">
        <v>10262</v>
      </c>
      <c r="D1566" s="259" t="s">
        <v>10263</v>
      </c>
      <c r="E1566" s="265" t="s">
        <v>10655</v>
      </c>
      <c r="F1566" s="272" t="s">
        <v>9198</v>
      </c>
      <c r="G1566" s="272" t="s">
        <v>9197</v>
      </c>
      <c r="H1566" s="265" t="s">
        <v>10988</v>
      </c>
      <c r="I1566" s="290" t="s">
        <v>10989</v>
      </c>
      <c r="J1566" s="265" t="s">
        <v>10655</v>
      </c>
      <c r="K1566" s="265" t="s">
        <v>10655</v>
      </c>
    </row>
    <row r="1567" spans="1:11" s="75" customFormat="1" ht="14.55" customHeight="1" x14ac:dyDescent="0.25">
      <c r="A1567" s="272" t="s">
        <v>8816</v>
      </c>
      <c r="B1567" s="272" t="s">
        <v>10591</v>
      </c>
      <c r="C1567" s="272" t="s">
        <v>10262</v>
      </c>
      <c r="D1567" s="259" t="s">
        <v>10263</v>
      </c>
      <c r="E1567" s="265" t="s">
        <v>10655</v>
      </c>
      <c r="F1567" s="272" t="s">
        <v>9198</v>
      </c>
      <c r="G1567" s="272" t="s">
        <v>9197</v>
      </c>
      <c r="H1567" s="265" t="s">
        <v>11010</v>
      </c>
      <c r="I1567" s="290" t="s">
        <v>11011</v>
      </c>
      <c r="J1567" s="265" t="s">
        <v>10655</v>
      </c>
      <c r="K1567" s="265" t="s">
        <v>10655</v>
      </c>
    </row>
    <row r="1568" spans="1:11" s="75" customFormat="1" ht="14.55" customHeight="1" x14ac:dyDescent="0.25">
      <c r="A1568" s="272" t="s">
        <v>8816</v>
      </c>
      <c r="B1568" s="272" t="s">
        <v>10591</v>
      </c>
      <c r="C1568" s="272" t="s">
        <v>10262</v>
      </c>
      <c r="D1568" s="259" t="s">
        <v>10263</v>
      </c>
      <c r="E1568" s="265" t="s">
        <v>10655</v>
      </c>
      <c r="F1568" s="272" t="s">
        <v>9198</v>
      </c>
      <c r="G1568" s="272" t="s">
        <v>9197</v>
      </c>
      <c r="H1568" s="265" t="s">
        <v>10990</v>
      </c>
      <c r="I1568" s="290" t="s">
        <v>10991</v>
      </c>
      <c r="J1568" s="265" t="s">
        <v>10655</v>
      </c>
      <c r="K1568" s="265" t="s">
        <v>10655</v>
      </c>
    </row>
    <row r="1569" spans="1:11" s="75" customFormat="1" ht="14.55" customHeight="1" x14ac:dyDescent="0.25">
      <c r="A1569" s="272" t="s">
        <v>8816</v>
      </c>
      <c r="B1569" s="272" t="s">
        <v>10591</v>
      </c>
      <c r="C1569" s="272" t="s">
        <v>10262</v>
      </c>
      <c r="D1569" s="259" t="s">
        <v>10263</v>
      </c>
      <c r="E1569" s="265" t="s">
        <v>10655</v>
      </c>
      <c r="F1569" s="272" t="s">
        <v>9198</v>
      </c>
      <c r="G1569" s="272" t="s">
        <v>9197</v>
      </c>
      <c r="H1569" s="265" t="s">
        <v>10994</v>
      </c>
      <c r="I1569" s="290" t="s">
        <v>10995</v>
      </c>
      <c r="J1569" s="265" t="s">
        <v>10655</v>
      </c>
      <c r="K1569" s="265" t="s">
        <v>10655</v>
      </c>
    </row>
    <row r="1570" spans="1:11" s="75" customFormat="1" ht="14.55" customHeight="1" x14ac:dyDescent="0.25">
      <c r="A1570" s="272" t="s">
        <v>8816</v>
      </c>
      <c r="B1570" s="272" t="s">
        <v>10591</v>
      </c>
      <c r="C1570" s="272" t="s">
        <v>10262</v>
      </c>
      <c r="D1570" s="259" t="s">
        <v>10263</v>
      </c>
      <c r="E1570" s="265" t="s">
        <v>10655</v>
      </c>
      <c r="F1570" s="272" t="s">
        <v>9198</v>
      </c>
      <c r="G1570" s="272" t="s">
        <v>9197</v>
      </c>
      <c r="H1570" s="265" t="s">
        <v>10996</v>
      </c>
      <c r="I1570" s="290" t="s">
        <v>10997</v>
      </c>
      <c r="J1570" s="265" t="s">
        <v>10655</v>
      </c>
      <c r="K1570" s="265" t="s">
        <v>10655</v>
      </c>
    </row>
    <row r="1571" spans="1:11" s="75" customFormat="1" ht="14.55" customHeight="1" x14ac:dyDescent="0.25">
      <c r="A1571" s="272" t="s">
        <v>8816</v>
      </c>
      <c r="B1571" s="272" t="s">
        <v>10591</v>
      </c>
      <c r="C1571" s="272" t="s">
        <v>10262</v>
      </c>
      <c r="D1571" s="259" t="s">
        <v>10263</v>
      </c>
      <c r="E1571" s="265" t="s">
        <v>10655</v>
      </c>
      <c r="F1571" s="272" t="s">
        <v>9198</v>
      </c>
      <c r="G1571" s="272" t="s">
        <v>9197</v>
      </c>
      <c r="H1571" s="265" t="s">
        <v>11000</v>
      </c>
      <c r="I1571" s="290" t="s">
        <v>11001</v>
      </c>
      <c r="J1571" s="265" t="s">
        <v>10655</v>
      </c>
      <c r="K1571" s="265" t="s">
        <v>10655</v>
      </c>
    </row>
    <row r="1572" spans="1:11" s="75" customFormat="1" ht="14.55" customHeight="1" x14ac:dyDescent="0.25">
      <c r="A1572" s="272" t="s">
        <v>8816</v>
      </c>
      <c r="B1572" s="272" t="s">
        <v>10591</v>
      </c>
      <c r="C1572" s="272" t="s">
        <v>10264</v>
      </c>
      <c r="D1572" s="259" t="s">
        <v>10265</v>
      </c>
      <c r="E1572" s="265" t="s">
        <v>10655</v>
      </c>
      <c r="F1572" s="272" t="s">
        <v>9198</v>
      </c>
      <c r="G1572" s="272" t="s">
        <v>9197</v>
      </c>
      <c r="H1572" s="265" t="s">
        <v>10978</v>
      </c>
      <c r="I1572" s="290" t="s">
        <v>10979</v>
      </c>
      <c r="J1572" s="265" t="s">
        <v>10655</v>
      </c>
      <c r="K1572" s="265" t="s">
        <v>10655</v>
      </c>
    </row>
    <row r="1573" spans="1:11" s="75" customFormat="1" ht="14.55" customHeight="1" x14ac:dyDescent="0.25">
      <c r="A1573" s="272" t="s">
        <v>8816</v>
      </c>
      <c r="B1573" s="272" t="s">
        <v>10591</v>
      </c>
      <c r="C1573" s="272" t="s">
        <v>10264</v>
      </c>
      <c r="D1573" s="259" t="s">
        <v>10265</v>
      </c>
      <c r="E1573" s="265" t="s">
        <v>10655</v>
      </c>
      <c r="F1573" s="272" t="s">
        <v>9198</v>
      </c>
      <c r="G1573" s="272" t="s">
        <v>9197</v>
      </c>
      <c r="H1573" s="265" t="s">
        <v>10988</v>
      </c>
      <c r="I1573" s="290" t="s">
        <v>10989</v>
      </c>
      <c r="J1573" s="265" t="s">
        <v>10655</v>
      </c>
      <c r="K1573" s="265" t="s">
        <v>10655</v>
      </c>
    </row>
    <row r="1574" spans="1:11" s="75" customFormat="1" ht="14.55" customHeight="1" x14ac:dyDescent="0.25">
      <c r="A1574" s="272" t="s">
        <v>8816</v>
      </c>
      <c r="B1574" s="272" t="s">
        <v>10591</v>
      </c>
      <c r="C1574" s="272" t="s">
        <v>10264</v>
      </c>
      <c r="D1574" s="259" t="s">
        <v>10265</v>
      </c>
      <c r="E1574" s="265" t="s">
        <v>10655</v>
      </c>
      <c r="F1574" s="272" t="s">
        <v>9198</v>
      </c>
      <c r="G1574" s="272" t="s">
        <v>9197</v>
      </c>
      <c r="H1574" s="265" t="s">
        <v>11010</v>
      </c>
      <c r="I1574" s="290" t="s">
        <v>11011</v>
      </c>
      <c r="J1574" s="265" t="s">
        <v>10655</v>
      </c>
      <c r="K1574" s="265" t="s">
        <v>10655</v>
      </c>
    </row>
    <row r="1575" spans="1:11" s="75" customFormat="1" ht="14.55" customHeight="1" x14ac:dyDescent="0.25">
      <c r="A1575" s="272" t="s">
        <v>8816</v>
      </c>
      <c r="B1575" s="272" t="s">
        <v>10591</v>
      </c>
      <c r="C1575" s="272" t="s">
        <v>10264</v>
      </c>
      <c r="D1575" s="259" t="s">
        <v>10265</v>
      </c>
      <c r="E1575" s="265" t="s">
        <v>10655</v>
      </c>
      <c r="F1575" s="272" t="s">
        <v>9198</v>
      </c>
      <c r="G1575" s="272" t="s">
        <v>9197</v>
      </c>
      <c r="H1575" s="265" t="s">
        <v>10994</v>
      </c>
      <c r="I1575" s="290" t="s">
        <v>10995</v>
      </c>
      <c r="J1575" s="265" t="s">
        <v>10655</v>
      </c>
      <c r="K1575" s="265" t="s">
        <v>10655</v>
      </c>
    </row>
    <row r="1576" spans="1:11" s="75" customFormat="1" ht="14.55" customHeight="1" x14ac:dyDescent="0.25">
      <c r="A1576" s="272" t="s">
        <v>8816</v>
      </c>
      <c r="B1576" s="272" t="s">
        <v>10591</v>
      </c>
      <c r="C1576" s="272" t="s">
        <v>10264</v>
      </c>
      <c r="D1576" s="259" t="s">
        <v>10265</v>
      </c>
      <c r="E1576" s="265" t="s">
        <v>10655</v>
      </c>
      <c r="F1576" s="272" t="s">
        <v>9198</v>
      </c>
      <c r="G1576" s="272" t="s">
        <v>9197</v>
      </c>
      <c r="H1576" s="265" t="s">
        <v>10996</v>
      </c>
      <c r="I1576" s="290" t="s">
        <v>10997</v>
      </c>
      <c r="J1576" s="265" t="s">
        <v>10655</v>
      </c>
      <c r="K1576" s="265" t="s">
        <v>10655</v>
      </c>
    </row>
    <row r="1577" spans="1:11" s="75" customFormat="1" ht="14.55" customHeight="1" x14ac:dyDescent="0.25">
      <c r="A1577" s="272" t="s">
        <v>8816</v>
      </c>
      <c r="B1577" s="272" t="s">
        <v>10591</v>
      </c>
      <c r="C1577" s="272" t="s">
        <v>10264</v>
      </c>
      <c r="D1577" s="259" t="s">
        <v>10265</v>
      </c>
      <c r="E1577" s="265" t="s">
        <v>10655</v>
      </c>
      <c r="F1577" s="272" t="s">
        <v>9198</v>
      </c>
      <c r="G1577" s="272" t="s">
        <v>9197</v>
      </c>
      <c r="H1577" s="265" t="s">
        <v>11000</v>
      </c>
      <c r="I1577" s="290" t="s">
        <v>11001</v>
      </c>
      <c r="J1577" s="265" t="s">
        <v>10655</v>
      </c>
      <c r="K1577" s="265" t="s">
        <v>10655</v>
      </c>
    </row>
    <row r="1578" spans="1:11" s="75" customFormat="1" ht="14.55" customHeight="1" x14ac:dyDescent="0.25">
      <c r="A1578" s="272" t="s">
        <v>8816</v>
      </c>
      <c r="B1578" s="272" t="s">
        <v>10591</v>
      </c>
      <c r="C1578" s="272" t="s">
        <v>10266</v>
      </c>
      <c r="D1578" s="259" t="s">
        <v>10267</v>
      </c>
      <c r="E1578" s="265" t="s">
        <v>10655</v>
      </c>
      <c r="F1578" s="272" t="s">
        <v>9198</v>
      </c>
      <c r="G1578" s="272" t="s">
        <v>9197</v>
      </c>
      <c r="H1578" s="265" t="s">
        <v>10978</v>
      </c>
      <c r="I1578" s="290" t="s">
        <v>10979</v>
      </c>
      <c r="J1578" s="265" t="s">
        <v>10655</v>
      </c>
      <c r="K1578" s="265" t="s">
        <v>10655</v>
      </c>
    </row>
    <row r="1579" spans="1:11" ht="14.55" customHeight="1" x14ac:dyDescent="0.25">
      <c r="A1579" s="286" t="s">
        <v>8816</v>
      </c>
      <c r="B1579" s="293" t="s">
        <v>10591</v>
      </c>
      <c r="C1579" s="294" t="s">
        <v>10266</v>
      </c>
      <c r="D1579" s="353" t="s">
        <v>10267</v>
      </c>
      <c r="E1579" s="357" t="s">
        <v>10655</v>
      </c>
      <c r="F1579" s="293" t="s">
        <v>9198</v>
      </c>
      <c r="G1579" s="293" t="s">
        <v>9197</v>
      </c>
      <c r="H1579" s="354" t="s">
        <v>10980</v>
      </c>
      <c r="I1579" s="264" t="s">
        <v>10979</v>
      </c>
      <c r="J1579" s="354" t="s">
        <v>10655</v>
      </c>
      <c r="K1579" s="275" t="s">
        <v>10655</v>
      </c>
    </row>
    <row r="1580" spans="1:11" s="75" customFormat="1" ht="14.55" customHeight="1" x14ac:dyDescent="0.25">
      <c r="A1580" s="272" t="s">
        <v>8816</v>
      </c>
      <c r="B1580" s="272" t="s">
        <v>10591</v>
      </c>
      <c r="C1580" s="272" t="s">
        <v>10266</v>
      </c>
      <c r="D1580" s="259" t="s">
        <v>10267</v>
      </c>
      <c r="E1580" s="265" t="s">
        <v>10655</v>
      </c>
      <c r="F1580" s="272" t="s">
        <v>9198</v>
      </c>
      <c r="G1580" s="272" t="s">
        <v>9197</v>
      </c>
      <c r="H1580" s="265" t="s">
        <v>10988</v>
      </c>
      <c r="I1580" s="290" t="s">
        <v>10989</v>
      </c>
      <c r="J1580" s="265" t="s">
        <v>10655</v>
      </c>
      <c r="K1580" s="265" t="s">
        <v>10655</v>
      </c>
    </row>
    <row r="1581" spans="1:11" s="75" customFormat="1" ht="14.55" customHeight="1" x14ac:dyDescent="0.25">
      <c r="A1581" s="272" t="s">
        <v>8816</v>
      </c>
      <c r="B1581" s="272" t="s">
        <v>10591</v>
      </c>
      <c r="C1581" s="272" t="s">
        <v>10266</v>
      </c>
      <c r="D1581" s="259" t="s">
        <v>10267</v>
      </c>
      <c r="E1581" s="265" t="s">
        <v>10655</v>
      </c>
      <c r="F1581" s="272" t="s">
        <v>9198</v>
      </c>
      <c r="G1581" s="272" t="s">
        <v>9197</v>
      </c>
      <c r="H1581" s="265" t="s">
        <v>11010</v>
      </c>
      <c r="I1581" s="290" t="s">
        <v>11011</v>
      </c>
      <c r="J1581" s="265" t="s">
        <v>10655</v>
      </c>
      <c r="K1581" s="265" t="s">
        <v>10655</v>
      </c>
    </row>
    <row r="1582" spans="1:11" s="75" customFormat="1" ht="14.55" customHeight="1" x14ac:dyDescent="0.25">
      <c r="A1582" s="272" t="s">
        <v>8816</v>
      </c>
      <c r="B1582" s="272" t="s">
        <v>10591</v>
      </c>
      <c r="C1582" s="272" t="s">
        <v>10266</v>
      </c>
      <c r="D1582" s="259" t="s">
        <v>10267</v>
      </c>
      <c r="E1582" s="265" t="s">
        <v>10655</v>
      </c>
      <c r="F1582" s="272" t="s">
        <v>9198</v>
      </c>
      <c r="G1582" s="272" t="s">
        <v>9197</v>
      </c>
      <c r="H1582" s="265" t="s">
        <v>10994</v>
      </c>
      <c r="I1582" s="290" t="s">
        <v>10995</v>
      </c>
      <c r="J1582" s="265" t="s">
        <v>10655</v>
      </c>
      <c r="K1582" s="265" t="s">
        <v>10655</v>
      </c>
    </row>
    <row r="1583" spans="1:11" s="75" customFormat="1" ht="14.55" customHeight="1" x14ac:dyDescent="0.25">
      <c r="A1583" s="272" t="s">
        <v>8816</v>
      </c>
      <c r="B1583" s="272" t="s">
        <v>10591</v>
      </c>
      <c r="C1583" s="272" t="s">
        <v>10266</v>
      </c>
      <c r="D1583" s="259" t="s">
        <v>10267</v>
      </c>
      <c r="E1583" s="265" t="s">
        <v>10655</v>
      </c>
      <c r="F1583" s="272" t="s">
        <v>9198</v>
      </c>
      <c r="G1583" s="272" t="s">
        <v>9197</v>
      </c>
      <c r="H1583" s="265" t="s">
        <v>10996</v>
      </c>
      <c r="I1583" s="290" t="s">
        <v>10997</v>
      </c>
      <c r="J1583" s="265" t="s">
        <v>10655</v>
      </c>
      <c r="K1583" s="265" t="s">
        <v>10655</v>
      </c>
    </row>
    <row r="1584" spans="1:11" s="75" customFormat="1" ht="14.55" customHeight="1" x14ac:dyDescent="0.25">
      <c r="A1584" s="272" t="s">
        <v>8816</v>
      </c>
      <c r="B1584" s="272" t="s">
        <v>10591</v>
      </c>
      <c r="C1584" s="272" t="s">
        <v>10266</v>
      </c>
      <c r="D1584" s="259" t="s">
        <v>10267</v>
      </c>
      <c r="E1584" s="265" t="s">
        <v>10655</v>
      </c>
      <c r="F1584" s="272" t="s">
        <v>9198</v>
      </c>
      <c r="G1584" s="272" t="s">
        <v>9197</v>
      </c>
      <c r="H1584" s="265" t="s">
        <v>11000</v>
      </c>
      <c r="I1584" s="290" t="s">
        <v>11001</v>
      </c>
      <c r="J1584" s="265" t="s">
        <v>10655</v>
      </c>
      <c r="K1584" s="265" t="s">
        <v>10655</v>
      </c>
    </row>
    <row r="1585" spans="1:11" s="75" customFormat="1" ht="14.55" customHeight="1" x14ac:dyDescent="0.25">
      <c r="A1585" s="272" t="s">
        <v>8816</v>
      </c>
      <c r="B1585" s="272" t="s">
        <v>10591</v>
      </c>
      <c r="C1585" s="272" t="s">
        <v>10268</v>
      </c>
      <c r="D1585" s="259" t="s">
        <v>10269</v>
      </c>
      <c r="E1585" s="265" t="s">
        <v>10655</v>
      </c>
      <c r="F1585" s="272" t="s">
        <v>9198</v>
      </c>
      <c r="G1585" s="272" t="s">
        <v>9197</v>
      </c>
      <c r="H1585" s="265" t="s">
        <v>10978</v>
      </c>
      <c r="I1585" s="290" t="s">
        <v>10979</v>
      </c>
      <c r="J1585" s="265" t="s">
        <v>10655</v>
      </c>
      <c r="K1585" s="265" t="s">
        <v>10655</v>
      </c>
    </row>
    <row r="1586" spans="1:11" s="75" customFormat="1" ht="14.55" customHeight="1" x14ac:dyDescent="0.25">
      <c r="A1586" s="272" t="s">
        <v>8816</v>
      </c>
      <c r="B1586" s="272" t="s">
        <v>10591</v>
      </c>
      <c r="C1586" s="272" t="s">
        <v>10268</v>
      </c>
      <c r="D1586" s="259" t="s">
        <v>10269</v>
      </c>
      <c r="E1586" s="265" t="s">
        <v>10655</v>
      </c>
      <c r="F1586" s="272" t="s">
        <v>9198</v>
      </c>
      <c r="G1586" s="272" t="s">
        <v>9197</v>
      </c>
      <c r="H1586" s="265" t="s">
        <v>10988</v>
      </c>
      <c r="I1586" s="290" t="s">
        <v>10989</v>
      </c>
      <c r="J1586" s="265" t="s">
        <v>10655</v>
      </c>
      <c r="K1586" s="265" t="s">
        <v>10655</v>
      </c>
    </row>
    <row r="1587" spans="1:11" s="75" customFormat="1" ht="14.55" customHeight="1" x14ac:dyDescent="0.25">
      <c r="A1587" s="272" t="s">
        <v>8816</v>
      </c>
      <c r="B1587" s="272" t="s">
        <v>10591</v>
      </c>
      <c r="C1587" s="272" t="s">
        <v>10268</v>
      </c>
      <c r="D1587" s="259" t="s">
        <v>10269</v>
      </c>
      <c r="E1587" s="265" t="s">
        <v>10655</v>
      </c>
      <c r="F1587" s="272" t="s">
        <v>9198</v>
      </c>
      <c r="G1587" s="272" t="s">
        <v>9197</v>
      </c>
      <c r="H1587" s="265" t="s">
        <v>11010</v>
      </c>
      <c r="I1587" s="290" t="s">
        <v>11011</v>
      </c>
      <c r="J1587" s="265" t="s">
        <v>10655</v>
      </c>
      <c r="K1587" s="265" t="s">
        <v>10655</v>
      </c>
    </row>
    <row r="1588" spans="1:11" s="75" customFormat="1" ht="14.55" customHeight="1" x14ac:dyDescent="0.25">
      <c r="A1588" s="272" t="s">
        <v>8816</v>
      </c>
      <c r="B1588" s="272" t="s">
        <v>10591</v>
      </c>
      <c r="C1588" s="272" t="s">
        <v>10268</v>
      </c>
      <c r="D1588" s="259" t="s">
        <v>10269</v>
      </c>
      <c r="E1588" s="265" t="s">
        <v>10655</v>
      </c>
      <c r="F1588" s="272" t="s">
        <v>9198</v>
      </c>
      <c r="G1588" s="272" t="s">
        <v>9197</v>
      </c>
      <c r="H1588" s="265" t="s">
        <v>10994</v>
      </c>
      <c r="I1588" s="290" t="s">
        <v>10995</v>
      </c>
      <c r="J1588" s="265" t="s">
        <v>10655</v>
      </c>
      <c r="K1588" s="265" t="s">
        <v>10655</v>
      </c>
    </row>
    <row r="1589" spans="1:11" s="75" customFormat="1" ht="14.55" customHeight="1" x14ac:dyDescent="0.25">
      <c r="A1589" s="272" t="s">
        <v>8816</v>
      </c>
      <c r="B1589" s="272" t="s">
        <v>10591</v>
      </c>
      <c r="C1589" s="272" t="s">
        <v>10268</v>
      </c>
      <c r="D1589" s="259" t="s">
        <v>10269</v>
      </c>
      <c r="E1589" s="265" t="s">
        <v>10655</v>
      </c>
      <c r="F1589" s="272" t="s">
        <v>9198</v>
      </c>
      <c r="G1589" s="272" t="s">
        <v>9197</v>
      </c>
      <c r="H1589" s="265" t="s">
        <v>10996</v>
      </c>
      <c r="I1589" s="290" t="s">
        <v>10997</v>
      </c>
      <c r="J1589" s="265" t="s">
        <v>10655</v>
      </c>
      <c r="K1589" s="265" t="s">
        <v>10655</v>
      </c>
    </row>
    <row r="1590" spans="1:11" s="75" customFormat="1" ht="14.55" customHeight="1" x14ac:dyDescent="0.25">
      <c r="A1590" s="272" t="s">
        <v>8816</v>
      </c>
      <c r="B1590" s="272" t="s">
        <v>10591</v>
      </c>
      <c r="C1590" s="272" t="s">
        <v>10268</v>
      </c>
      <c r="D1590" s="259" t="s">
        <v>10269</v>
      </c>
      <c r="E1590" s="265" t="s">
        <v>10655</v>
      </c>
      <c r="F1590" s="272" t="s">
        <v>9198</v>
      </c>
      <c r="G1590" s="272" t="s">
        <v>9197</v>
      </c>
      <c r="H1590" s="265" t="s">
        <v>11000</v>
      </c>
      <c r="I1590" s="290" t="s">
        <v>11001</v>
      </c>
      <c r="J1590" s="265" t="s">
        <v>10655</v>
      </c>
      <c r="K1590" s="265" t="s">
        <v>10655</v>
      </c>
    </row>
    <row r="1591" spans="1:11" s="75" customFormat="1" ht="14.55" customHeight="1" x14ac:dyDescent="0.25">
      <c r="A1591" s="272" t="s">
        <v>8816</v>
      </c>
      <c r="B1591" s="272" t="s">
        <v>10591</v>
      </c>
      <c r="C1591" s="272" t="s">
        <v>10270</v>
      </c>
      <c r="D1591" s="259" t="s">
        <v>10271</v>
      </c>
      <c r="E1591" s="265" t="s">
        <v>10655</v>
      </c>
      <c r="F1591" s="272" t="s">
        <v>9198</v>
      </c>
      <c r="G1591" s="272" t="s">
        <v>9197</v>
      </c>
      <c r="H1591" s="265" t="s">
        <v>10978</v>
      </c>
      <c r="I1591" s="290" t="s">
        <v>10979</v>
      </c>
      <c r="J1591" s="265" t="s">
        <v>10655</v>
      </c>
      <c r="K1591" s="265" t="s">
        <v>10655</v>
      </c>
    </row>
    <row r="1592" spans="1:11" s="75" customFormat="1" ht="14.55" customHeight="1" x14ac:dyDescent="0.25">
      <c r="A1592" s="272" t="s">
        <v>8816</v>
      </c>
      <c r="B1592" s="272" t="s">
        <v>10591</v>
      </c>
      <c r="C1592" s="272" t="s">
        <v>10270</v>
      </c>
      <c r="D1592" s="259" t="s">
        <v>10271</v>
      </c>
      <c r="E1592" s="265" t="s">
        <v>10655</v>
      </c>
      <c r="F1592" s="272" t="s">
        <v>9198</v>
      </c>
      <c r="G1592" s="272" t="s">
        <v>9197</v>
      </c>
      <c r="H1592" s="265" t="s">
        <v>10984</v>
      </c>
      <c r="I1592" s="290" t="s">
        <v>10985</v>
      </c>
      <c r="J1592" s="265" t="s">
        <v>10655</v>
      </c>
      <c r="K1592" s="265" t="s">
        <v>10655</v>
      </c>
    </row>
    <row r="1593" spans="1:11" s="75" customFormat="1" ht="14.55" customHeight="1" x14ac:dyDescent="0.25">
      <c r="A1593" s="272" t="s">
        <v>8816</v>
      </c>
      <c r="B1593" s="272" t="s">
        <v>10591</v>
      </c>
      <c r="C1593" s="272" t="s">
        <v>10270</v>
      </c>
      <c r="D1593" s="259" t="s">
        <v>10271</v>
      </c>
      <c r="E1593" s="265" t="s">
        <v>10655</v>
      </c>
      <c r="F1593" s="272" t="s">
        <v>9198</v>
      </c>
      <c r="G1593" s="272" t="s">
        <v>9197</v>
      </c>
      <c r="H1593" s="265" t="s">
        <v>10988</v>
      </c>
      <c r="I1593" s="290" t="s">
        <v>10989</v>
      </c>
      <c r="J1593" s="265" t="s">
        <v>10655</v>
      </c>
      <c r="K1593" s="265" t="s">
        <v>10655</v>
      </c>
    </row>
    <row r="1594" spans="1:11" s="75" customFormat="1" ht="14.55" customHeight="1" x14ac:dyDescent="0.25">
      <c r="A1594" s="272" t="s">
        <v>8816</v>
      </c>
      <c r="B1594" s="272" t="s">
        <v>10591</v>
      </c>
      <c r="C1594" s="272" t="s">
        <v>10270</v>
      </c>
      <c r="D1594" s="259" t="s">
        <v>10271</v>
      </c>
      <c r="E1594" s="265" t="s">
        <v>10655</v>
      </c>
      <c r="F1594" s="272" t="s">
        <v>9198</v>
      </c>
      <c r="G1594" s="272" t="s">
        <v>9197</v>
      </c>
      <c r="H1594" s="265" t="s">
        <v>11010</v>
      </c>
      <c r="I1594" s="290" t="s">
        <v>11011</v>
      </c>
      <c r="J1594" s="265" t="s">
        <v>10655</v>
      </c>
      <c r="K1594" s="265" t="s">
        <v>10655</v>
      </c>
    </row>
    <row r="1595" spans="1:11" s="75" customFormat="1" ht="14.55" customHeight="1" x14ac:dyDescent="0.25">
      <c r="A1595" s="272" t="s">
        <v>8816</v>
      </c>
      <c r="B1595" s="272" t="s">
        <v>10591</v>
      </c>
      <c r="C1595" s="272" t="s">
        <v>10270</v>
      </c>
      <c r="D1595" s="259" t="s">
        <v>10271</v>
      </c>
      <c r="E1595" s="265" t="s">
        <v>10655</v>
      </c>
      <c r="F1595" s="272" t="s">
        <v>9198</v>
      </c>
      <c r="G1595" s="272" t="s">
        <v>9197</v>
      </c>
      <c r="H1595" s="265" t="s">
        <v>10994</v>
      </c>
      <c r="I1595" s="290" t="s">
        <v>10995</v>
      </c>
      <c r="J1595" s="265" t="s">
        <v>10655</v>
      </c>
      <c r="K1595" s="265" t="s">
        <v>10655</v>
      </c>
    </row>
    <row r="1596" spans="1:11" s="75" customFormat="1" ht="14.55" customHeight="1" x14ac:dyDescent="0.25">
      <c r="A1596" s="272" t="s">
        <v>8816</v>
      </c>
      <c r="B1596" s="272" t="s">
        <v>10591</v>
      </c>
      <c r="C1596" s="272" t="s">
        <v>10270</v>
      </c>
      <c r="D1596" s="259" t="s">
        <v>10271</v>
      </c>
      <c r="E1596" s="265" t="s">
        <v>10655</v>
      </c>
      <c r="F1596" s="272" t="s">
        <v>9198</v>
      </c>
      <c r="G1596" s="272" t="s">
        <v>9197</v>
      </c>
      <c r="H1596" s="265" t="s">
        <v>10996</v>
      </c>
      <c r="I1596" s="290" t="s">
        <v>10997</v>
      </c>
      <c r="J1596" s="265" t="s">
        <v>10655</v>
      </c>
      <c r="K1596" s="265" t="s">
        <v>10655</v>
      </c>
    </row>
    <row r="1597" spans="1:11" s="75" customFormat="1" ht="14.55" customHeight="1" x14ac:dyDescent="0.25">
      <c r="A1597" s="272" t="s">
        <v>8816</v>
      </c>
      <c r="B1597" s="272" t="s">
        <v>10591</v>
      </c>
      <c r="C1597" s="272" t="s">
        <v>10270</v>
      </c>
      <c r="D1597" s="259" t="s">
        <v>10271</v>
      </c>
      <c r="E1597" s="265" t="s">
        <v>10655</v>
      </c>
      <c r="F1597" s="272" t="s">
        <v>9198</v>
      </c>
      <c r="G1597" s="272" t="s">
        <v>9197</v>
      </c>
      <c r="H1597" s="265" t="s">
        <v>11000</v>
      </c>
      <c r="I1597" s="290" t="s">
        <v>11001</v>
      </c>
      <c r="J1597" s="265" t="s">
        <v>10655</v>
      </c>
      <c r="K1597" s="265" t="s">
        <v>10655</v>
      </c>
    </row>
    <row r="1598" spans="1:11" s="75" customFormat="1" ht="14.55" customHeight="1" x14ac:dyDescent="0.25">
      <c r="A1598" s="272" t="s">
        <v>8816</v>
      </c>
      <c r="B1598" s="272" t="s">
        <v>10591</v>
      </c>
      <c r="C1598" s="272" t="s">
        <v>10272</v>
      </c>
      <c r="D1598" s="259" t="s">
        <v>10273</v>
      </c>
      <c r="E1598" s="265" t="s">
        <v>10655</v>
      </c>
      <c r="F1598" s="272" t="s">
        <v>9198</v>
      </c>
      <c r="G1598" s="272" t="s">
        <v>9198</v>
      </c>
      <c r="H1598" s="265" t="s">
        <v>10978</v>
      </c>
      <c r="I1598" s="290" t="s">
        <v>10979</v>
      </c>
      <c r="J1598" s="265" t="s">
        <v>10655</v>
      </c>
      <c r="K1598" s="265" t="s">
        <v>10655</v>
      </c>
    </row>
    <row r="1599" spans="1:11" s="75" customFormat="1" ht="14.55" customHeight="1" x14ac:dyDescent="0.25">
      <c r="A1599" s="272" t="s">
        <v>8816</v>
      </c>
      <c r="B1599" s="272" t="s">
        <v>10591</v>
      </c>
      <c r="C1599" s="272" t="s">
        <v>10272</v>
      </c>
      <c r="D1599" s="259" t="s">
        <v>10273</v>
      </c>
      <c r="E1599" s="265" t="s">
        <v>10655</v>
      </c>
      <c r="F1599" s="272" t="s">
        <v>9198</v>
      </c>
      <c r="G1599" s="272" t="s">
        <v>9198</v>
      </c>
      <c r="H1599" s="265" t="s">
        <v>10988</v>
      </c>
      <c r="I1599" s="290" t="s">
        <v>10989</v>
      </c>
      <c r="J1599" s="265" t="s">
        <v>10655</v>
      </c>
      <c r="K1599" s="265" t="s">
        <v>10655</v>
      </c>
    </row>
    <row r="1600" spans="1:11" s="75" customFormat="1" ht="14.55" customHeight="1" x14ac:dyDescent="0.25">
      <c r="A1600" s="272" t="s">
        <v>8816</v>
      </c>
      <c r="B1600" s="272" t="s">
        <v>10591</v>
      </c>
      <c r="C1600" s="272" t="s">
        <v>10272</v>
      </c>
      <c r="D1600" s="259" t="s">
        <v>10273</v>
      </c>
      <c r="E1600" s="265" t="s">
        <v>10655</v>
      </c>
      <c r="F1600" s="272" t="s">
        <v>9198</v>
      </c>
      <c r="G1600" s="272" t="s">
        <v>9198</v>
      </c>
      <c r="H1600" s="265" t="s">
        <v>11010</v>
      </c>
      <c r="I1600" s="290" t="s">
        <v>11011</v>
      </c>
      <c r="J1600" s="265" t="s">
        <v>10655</v>
      </c>
      <c r="K1600" s="265" t="s">
        <v>10655</v>
      </c>
    </row>
    <row r="1601" spans="1:11" s="75" customFormat="1" ht="14.55" customHeight="1" x14ac:dyDescent="0.25">
      <c r="A1601" s="272" t="s">
        <v>8816</v>
      </c>
      <c r="B1601" s="272" t="s">
        <v>10591</v>
      </c>
      <c r="C1601" s="272" t="s">
        <v>10272</v>
      </c>
      <c r="D1601" s="259" t="s">
        <v>10273</v>
      </c>
      <c r="E1601" s="265" t="s">
        <v>10655</v>
      </c>
      <c r="F1601" s="272" t="s">
        <v>9198</v>
      </c>
      <c r="G1601" s="272" t="s">
        <v>9198</v>
      </c>
      <c r="H1601" s="265" t="s">
        <v>10994</v>
      </c>
      <c r="I1601" s="290" t="s">
        <v>10995</v>
      </c>
      <c r="J1601" s="265" t="s">
        <v>10655</v>
      </c>
      <c r="K1601" s="265" t="s">
        <v>10655</v>
      </c>
    </row>
    <row r="1602" spans="1:11" s="75" customFormat="1" ht="14.55" customHeight="1" x14ac:dyDescent="0.25">
      <c r="A1602" s="272" t="s">
        <v>8816</v>
      </c>
      <c r="B1602" s="272" t="s">
        <v>10591</v>
      </c>
      <c r="C1602" s="272" t="s">
        <v>10272</v>
      </c>
      <c r="D1602" s="259" t="s">
        <v>10273</v>
      </c>
      <c r="E1602" s="265" t="s">
        <v>10655</v>
      </c>
      <c r="F1602" s="272" t="s">
        <v>9198</v>
      </c>
      <c r="G1602" s="272" t="s">
        <v>9198</v>
      </c>
      <c r="H1602" s="265" t="s">
        <v>10996</v>
      </c>
      <c r="I1602" s="290" t="s">
        <v>10997</v>
      </c>
      <c r="J1602" s="265" t="s">
        <v>10655</v>
      </c>
      <c r="K1602" s="265" t="s">
        <v>10655</v>
      </c>
    </row>
    <row r="1603" spans="1:11" s="75" customFormat="1" ht="14.55" customHeight="1" x14ac:dyDescent="0.25">
      <c r="A1603" s="272" t="s">
        <v>8816</v>
      </c>
      <c r="B1603" s="272" t="s">
        <v>10591</v>
      </c>
      <c r="C1603" s="272" t="s">
        <v>10272</v>
      </c>
      <c r="D1603" s="259" t="s">
        <v>10273</v>
      </c>
      <c r="E1603" s="265" t="s">
        <v>10655</v>
      </c>
      <c r="F1603" s="272" t="s">
        <v>9198</v>
      </c>
      <c r="G1603" s="272" t="s">
        <v>9198</v>
      </c>
      <c r="H1603" s="265" t="s">
        <v>11000</v>
      </c>
      <c r="I1603" s="290" t="s">
        <v>11001</v>
      </c>
      <c r="J1603" s="265" t="s">
        <v>10655</v>
      </c>
      <c r="K1603" s="265" t="s">
        <v>10655</v>
      </c>
    </row>
    <row r="1604" spans="1:11" s="75" customFormat="1" ht="14.55" customHeight="1" x14ac:dyDescent="0.25">
      <c r="A1604" s="272" t="s">
        <v>8816</v>
      </c>
      <c r="B1604" s="272" t="s">
        <v>10591</v>
      </c>
      <c r="C1604" s="272" t="s">
        <v>10274</v>
      </c>
      <c r="D1604" s="259" t="s">
        <v>10275</v>
      </c>
      <c r="E1604" s="265" t="s">
        <v>10655</v>
      </c>
      <c r="F1604" s="272" t="s">
        <v>9198</v>
      </c>
      <c r="G1604" s="272" t="s">
        <v>9197</v>
      </c>
      <c r="H1604" s="265" t="s">
        <v>10906</v>
      </c>
      <c r="I1604" s="290" t="s">
        <v>10907</v>
      </c>
      <c r="J1604" s="265" t="s">
        <v>10655</v>
      </c>
      <c r="K1604" s="265" t="s">
        <v>10655</v>
      </c>
    </row>
    <row r="1605" spans="1:11" s="75" customFormat="1" ht="14.55" customHeight="1" x14ac:dyDescent="0.25">
      <c r="A1605" s="272" t="s">
        <v>8816</v>
      </c>
      <c r="B1605" s="272" t="s">
        <v>10591</v>
      </c>
      <c r="C1605" s="272" t="s">
        <v>10274</v>
      </c>
      <c r="D1605" s="259" t="s">
        <v>10275</v>
      </c>
      <c r="E1605" s="265" t="s">
        <v>10655</v>
      </c>
      <c r="F1605" s="272" t="s">
        <v>9198</v>
      </c>
      <c r="G1605" s="272" t="s">
        <v>9197</v>
      </c>
      <c r="H1605" s="265" t="s">
        <v>10978</v>
      </c>
      <c r="I1605" s="290" t="s">
        <v>10979</v>
      </c>
      <c r="J1605" s="265" t="s">
        <v>10655</v>
      </c>
      <c r="K1605" s="265" t="s">
        <v>10655</v>
      </c>
    </row>
    <row r="1606" spans="1:11" s="75" customFormat="1" ht="14.55" customHeight="1" x14ac:dyDescent="0.25">
      <c r="A1606" s="272" t="s">
        <v>8816</v>
      </c>
      <c r="B1606" s="272" t="s">
        <v>10591</v>
      </c>
      <c r="C1606" s="272" t="s">
        <v>10274</v>
      </c>
      <c r="D1606" s="259" t="s">
        <v>10275</v>
      </c>
      <c r="E1606" s="265" t="s">
        <v>10655</v>
      </c>
      <c r="F1606" s="272" t="s">
        <v>9198</v>
      </c>
      <c r="G1606" s="272" t="s">
        <v>9197</v>
      </c>
      <c r="H1606" s="265" t="s">
        <v>10988</v>
      </c>
      <c r="I1606" s="290" t="s">
        <v>10989</v>
      </c>
      <c r="J1606" s="265" t="s">
        <v>10655</v>
      </c>
      <c r="K1606" s="265" t="s">
        <v>10655</v>
      </c>
    </row>
    <row r="1607" spans="1:11" s="75" customFormat="1" ht="14.55" customHeight="1" x14ac:dyDescent="0.25">
      <c r="A1607" s="272" t="s">
        <v>8816</v>
      </c>
      <c r="B1607" s="272" t="s">
        <v>10591</v>
      </c>
      <c r="C1607" s="272" t="s">
        <v>10274</v>
      </c>
      <c r="D1607" s="259" t="s">
        <v>10275</v>
      </c>
      <c r="E1607" s="265" t="s">
        <v>10655</v>
      </c>
      <c r="F1607" s="272" t="s">
        <v>9198</v>
      </c>
      <c r="G1607" s="272" t="s">
        <v>9197</v>
      </c>
      <c r="H1607" s="265" t="s">
        <v>11010</v>
      </c>
      <c r="I1607" s="290" t="s">
        <v>11011</v>
      </c>
      <c r="J1607" s="265" t="s">
        <v>10655</v>
      </c>
      <c r="K1607" s="265" t="s">
        <v>10655</v>
      </c>
    </row>
    <row r="1608" spans="1:11" s="75" customFormat="1" ht="14.55" customHeight="1" x14ac:dyDescent="0.25">
      <c r="A1608" s="272" t="s">
        <v>8816</v>
      </c>
      <c r="B1608" s="272" t="s">
        <v>10591</v>
      </c>
      <c r="C1608" s="272" t="s">
        <v>10274</v>
      </c>
      <c r="D1608" s="259" t="s">
        <v>10275</v>
      </c>
      <c r="E1608" s="265" t="s">
        <v>10655</v>
      </c>
      <c r="F1608" s="272" t="s">
        <v>9198</v>
      </c>
      <c r="G1608" s="272" t="s">
        <v>9197</v>
      </c>
      <c r="H1608" s="265" t="s">
        <v>10994</v>
      </c>
      <c r="I1608" s="290" t="s">
        <v>10995</v>
      </c>
      <c r="J1608" s="265" t="s">
        <v>10655</v>
      </c>
      <c r="K1608" s="265" t="s">
        <v>10655</v>
      </c>
    </row>
    <row r="1609" spans="1:11" s="75" customFormat="1" ht="14.55" customHeight="1" x14ac:dyDescent="0.25">
      <c r="A1609" s="272" t="s">
        <v>8816</v>
      </c>
      <c r="B1609" s="272" t="s">
        <v>10591</v>
      </c>
      <c r="C1609" s="272" t="s">
        <v>10274</v>
      </c>
      <c r="D1609" s="259" t="s">
        <v>10275</v>
      </c>
      <c r="E1609" s="265" t="s">
        <v>10655</v>
      </c>
      <c r="F1609" s="272" t="s">
        <v>9198</v>
      </c>
      <c r="G1609" s="272" t="s">
        <v>9197</v>
      </c>
      <c r="H1609" s="265" t="s">
        <v>10996</v>
      </c>
      <c r="I1609" s="290" t="s">
        <v>10997</v>
      </c>
      <c r="J1609" s="265" t="s">
        <v>10655</v>
      </c>
      <c r="K1609" s="265" t="s">
        <v>10655</v>
      </c>
    </row>
    <row r="1610" spans="1:11" s="75" customFormat="1" ht="14.55" customHeight="1" x14ac:dyDescent="0.25">
      <c r="A1610" s="272" t="s">
        <v>8816</v>
      </c>
      <c r="B1610" s="272" t="s">
        <v>10591</v>
      </c>
      <c r="C1610" s="272" t="s">
        <v>10274</v>
      </c>
      <c r="D1610" s="259" t="s">
        <v>10275</v>
      </c>
      <c r="E1610" s="265" t="s">
        <v>10655</v>
      </c>
      <c r="F1610" s="272" t="s">
        <v>9198</v>
      </c>
      <c r="G1610" s="272" t="s">
        <v>9197</v>
      </c>
      <c r="H1610" s="265" t="s">
        <v>10908</v>
      </c>
      <c r="I1610" s="290" t="s">
        <v>10909</v>
      </c>
      <c r="J1610" s="265" t="s">
        <v>10655</v>
      </c>
      <c r="K1610" s="265" t="s">
        <v>10655</v>
      </c>
    </row>
    <row r="1611" spans="1:11" s="75" customFormat="1" ht="14.55" customHeight="1" x14ac:dyDescent="0.25">
      <c r="A1611" s="272" t="s">
        <v>8816</v>
      </c>
      <c r="B1611" s="272" t="s">
        <v>10591</v>
      </c>
      <c r="C1611" s="272" t="s">
        <v>10274</v>
      </c>
      <c r="D1611" s="259" t="s">
        <v>10275</v>
      </c>
      <c r="E1611" s="265" t="s">
        <v>10655</v>
      </c>
      <c r="F1611" s="272" t="s">
        <v>9198</v>
      </c>
      <c r="G1611" s="272" t="s">
        <v>9197</v>
      </c>
      <c r="H1611" s="265" t="s">
        <v>11000</v>
      </c>
      <c r="I1611" s="290" t="s">
        <v>11001</v>
      </c>
      <c r="J1611" s="265" t="s">
        <v>10655</v>
      </c>
      <c r="K1611" s="265" t="s">
        <v>10655</v>
      </c>
    </row>
    <row r="1612" spans="1:11" s="75" customFormat="1" ht="14.55" customHeight="1" x14ac:dyDescent="0.25">
      <c r="A1612" s="272" t="s">
        <v>8816</v>
      </c>
      <c r="B1612" s="272" t="s">
        <v>10591</v>
      </c>
      <c r="C1612" s="272" t="s">
        <v>10276</v>
      </c>
      <c r="D1612" s="259" t="s">
        <v>10277</v>
      </c>
      <c r="E1612" s="265" t="s">
        <v>10655</v>
      </c>
      <c r="F1612" s="272" t="s">
        <v>9198</v>
      </c>
      <c r="G1612" s="272" t="s">
        <v>9197</v>
      </c>
      <c r="H1612" s="265" t="s">
        <v>10906</v>
      </c>
      <c r="I1612" s="290" t="s">
        <v>10907</v>
      </c>
      <c r="J1612" s="265" t="s">
        <v>10655</v>
      </c>
      <c r="K1612" s="265" t="s">
        <v>10655</v>
      </c>
    </row>
    <row r="1613" spans="1:11" s="75" customFormat="1" ht="14.55" customHeight="1" x14ac:dyDescent="0.25">
      <c r="A1613" s="272" t="s">
        <v>8816</v>
      </c>
      <c r="B1613" s="272" t="s">
        <v>10591</v>
      </c>
      <c r="C1613" s="272" t="s">
        <v>10276</v>
      </c>
      <c r="D1613" s="259" t="s">
        <v>10277</v>
      </c>
      <c r="E1613" s="265" t="s">
        <v>10655</v>
      </c>
      <c r="F1613" s="272" t="s">
        <v>9198</v>
      </c>
      <c r="G1613" s="272" t="s">
        <v>9197</v>
      </c>
      <c r="H1613" s="265" t="s">
        <v>10980</v>
      </c>
      <c r="I1613" s="290" t="s">
        <v>10981</v>
      </c>
      <c r="J1613" s="265" t="s">
        <v>10655</v>
      </c>
      <c r="K1613" s="265" t="s">
        <v>10655</v>
      </c>
    </row>
    <row r="1614" spans="1:11" s="75" customFormat="1" ht="14.55" customHeight="1" x14ac:dyDescent="0.25">
      <c r="A1614" s="272" t="s">
        <v>8816</v>
      </c>
      <c r="B1614" s="272" t="s">
        <v>10591</v>
      </c>
      <c r="C1614" s="272" t="s">
        <v>10276</v>
      </c>
      <c r="D1614" s="259" t="s">
        <v>10277</v>
      </c>
      <c r="E1614" s="265" t="s">
        <v>10655</v>
      </c>
      <c r="F1614" s="272" t="s">
        <v>9198</v>
      </c>
      <c r="G1614" s="272" t="s">
        <v>9197</v>
      </c>
      <c r="H1614" s="265" t="s">
        <v>10988</v>
      </c>
      <c r="I1614" s="290" t="s">
        <v>10989</v>
      </c>
      <c r="J1614" s="265" t="s">
        <v>10655</v>
      </c>
      <c r="K1614" s="265" t="s">
        <v>10655</v>
      </c>
    </row>
    <row r="1615" spans="1:11" s="75" customFormat="1" ht="14.55" customHeight="1" x14ac:dyDescent="0.25">
      <c r="A1615" s="272" t="s">
        <v>8816</v>
      </c>
      <c r="B1615" s="272" t="s">
        <v>10591</v>
      </c>
      <c r="C1615" s="272" t="s">
        <v>10276</v>
      </c>
      <c r="D1615" s="259" t="s">
        <v>10277</v>
      </c>
      <c r="E1615" s="265" t="s">
        <v>10655</v>
      </c>
      <c r="F1615" s="272" t="s">
        <v>9198</v>
      </c>
      <c r="G1615" s="272" t="s">
        <v>9197</v>
      </c>
      <c r="H1615" s="265" t="s">
        <v>10990</v>
      </c>
      <c r="I1615" s="290" t="s">
        <v>10991</v>
      </c>
      <c r="J1615" s="265" t="s">
        <v>10655</v>
      </c>
      <c r="K1615" s="265" t="s">
        <v>10655</v>
      </c>
    </row>
    <row r="1616" spans="1:11" s="75" customFormat="1" ht="14.55" customHeight="1" x14ac:dyDescent="0.25">
      <c r="A1616" s="272" t="s">
        <v>8816</v>
      </c>
      <c r="B1616" s="272" t="s">
        <v>10591</v>
      </c>
      <c r="C1616" s="272" t="s">
        <v>10276</v>
      </c>
      <c r="D1616" s="259" t="s">
        <v>10277</v>
      </c>
      <c r="E1616" s="265" t="s">
        <v>10655</v>
      </c>
      <c r="F1616" s="272" t="s">
        <v>9198</v>
      </c>
      <c r="G1616" s="272" t="s">
        <v>9197</v>
      </c>
      <c r="H1616" s="265" t="s">
        <v>10994</v>
      </c>
      <c r="I1616" s="290" t="s">
        <v>10995</v>
      </c>
      <c r="J1616" s="265" t="s">
        <v>10655</v>
      </c>
      <c r="K1616" s="265" t="s">
        <v>10655</v>
      </c>
    </row>
    <row r="1617" spans="1:11" s="75" customFormat="1" ht="14.55" customHeight="1" x14ac:dyDescent="0.25">
      <c r="A1617" s="272" t="s">
        <v>8816</v>
      </c>
      <c r="B1617" s="272" t="s">
        <v>10591</v>
      </c>
      <c r="C1617" s="272" t="s">
        <v>10276</v>
      </c>
      <c r="D1617" s="259" t="s">
        <v>10277</v>
      </c>
      <c r="E1617" s="265" t="s">
        <v>10655</v>
      </c>
      <c r="F1617" s="272" t="s">
        <v>9198</v>
      </c>
      <c r="G1617" s="272" t="s">
        <v>9197</v>
      </c>
      <c r="H1617" s="265" t="s">
        <v>10996</v>
      </c>
      <c r="I1617" s="290" t="s">
        <v>10997</v>
      </c>
      <c r="J1617" s="265" t="s">
        <v>10655</v>
      </c>
      <c r="K1617" s="265" t="s">
        <v>10655</v>
      </c>
    </row>
    <row r="1618" spans="1:11" s="75" customFormat="1" ht="14.55" customHeight="1" x14ac:dyDescent="0.25">
      <c r="A1618" s="272" t="s">
        <v>8816</v>
      </c>
      <c r="B1618" s="272" t="s">
        <v>10591</v>
      </c>
      <c r="C1618" s="272" t="s">
        <v>10276</v>
      </c>
      <c r="D1618" s="259" t="s">
        <v>10277</v>
      </c>
      <c r="E1618" s="265" t="s">
        <v>10655</v>
      </c>
      <c r="F1618" s="272" t="s">
        <v>9198</v>
      </c>
      <c r="G1618" s="272" t="s">
        <v>9197</v>
      </c>
      <c r="H1618" s="265" t="s">
        <v>10908</v>
      </c>
      <c r="I1618" s="290" t="s">
        <v>10909</v>
      </c>
      <c r="J1618" s="265" t="s">
        <v>10655</v>
      </c>
      <c r="K1618" s="265" t="s">
        <v>10655</v>
      </c>
    </row>
    <row r="1619" spans="1:11" s="75" customFormat="1" ht="14.55" customHeight="1" x14ac:dyDescent="0.25">
      <c r="A1619" s="272" t="s">
        <v>8816</v>
      </c>
      <c r="B1619" s="272" t="s">
        <v>10591</v>
      </c>
      <c r="C1619" s="272" t="s">
        <v>10276</v>
      </c>
      <c r="D1619" s="259" t="s">
        <v>10277</v>
      </c>
      <c r="E1619" s="265" t="s">
        <v>10655</v>
      </c>
      <c r="F1619" s="272" t="s">
        <v>9198</v>
      </c>
      <c r="G1619" s="272" t="s">
        <v>9197</v>
      </c>
      <c r="H1619" s="265" t="s">
        <v>11000</v>
      </c>
      <c r="I1619" s="290" t="s">
        <v>11001</v>
      </c>
      <c r="J1619" s="265" t="s">
        <v>10655</v>
      </c>
      <c r="K1619" s="265" t="s">
        <v>10655</v>
      </c>
    </row>
    <row r="1620" spans="1:11" s="75" customFormat="1" ht="14.55" customHeight="1" x14ac:dyDescent="0.25">
      <c r="A1620" s="272" t="s">
        <v>8816</v>
      </c>
      <c r="B1620" s="272" t="s">
        <v>10591</v>
      </c>
      <c r="C1620" s="272" t="s">
        <v>10278</v>
      </c>
      <c r="D1620" s="259" t="s">
        <v>10279</v>
      </c>
      <c r="E1620" s="265" t="s">
        <v>10655</v>
      </c>
      <c r="F1620" s="272" t="s">
        <v>9198</v>
      </c>
      <c r="G1620" s="272" t="s">
        <v>9197</v>
      </c>
      <c r="H1620" s="265" t="s">
        <v>10976</v>
      </c>
      <c r="I1620" s="290" t="s">
        <v>10977</v>
      </c>
      <c r="J1620" s="265" t="s">
        <v>10655</v>
      </c>
      <c r="K1620" s="265" t="s">
        <v>10655</v>
      </c>
    </row>
    <row r="1621" spans="1:11" s="75" customFormat="1" ht="14.55" customHeight="1" x14ac:dyDescent="0.25">
      <c r="A1621" s="272" t="s">
        <v>8816</v>
      </c>
      <c r="B1621" s="272" t="s">
        <v>10591</v>
      </c>
      <c r="C1621" s="272" t="s">
        <v>10278</v>
      </c>
      <c r="D1621" s="259" t="s">
        <v>10279</v>
      </c>
      <c r="E1621" s="265" t="s">
        <v>10655</v>
      </c>
      <c r="F1621" s="272" t="s">
        <v>9198</v>
      </c>
      <c r="G1621" s="272" t="s">
        <v>9197</v>
      </c>
      <c r="H1621" s="265" t="s">
        <v>10978</v>
      </c>
      <c r="I1621" s="290" t="s">
        <v>10979</v>
      </c>
      <c r="J1621" s="265" t="s">
        <v>10655</v>
      </c>
      <c r="K1621" s="265" t="s">
        <v>10655</v>
      </c>
    </row>
    <row r="1622" spans="1:11" s="75" customFormat="1" ht="14.55" customHeight="1" x14ac:dyDescent="0.25">
      <c r="A1622" s="272" t="s">
        <v>8816</v>
      </c>
      <c r="B1622" s="272" t="s">
        <v>10591</v>
      </c>
      <c r="C1622" s="272" t="s">
        <v>10278</v>
      </c>
      <c r="D1622" s="259" t="s">
        <v>10279</v>
      </c>
      <c r="E1622" s="265" t="s">
        <v>10655</v>
      </c>
      <c r="F1622" s="272" t="s">
        <v>9198</v>
      </c>
      <c r="G1622" s="272" t="s">
        <v>9197</v>
      </c>
      <c r="H1622" s="265" t="s">
        <v>10980</v>
      </c>
      <c r="I1622" s="290" t="s">
        <v>10981</v>
      </c>
      <c r="J1622" s="265" t="s">
        <v>10655</v>
      </c>
      <c r="K1622" s="265" t="s">
        <v>10655</v>
      </c>
    </row>
    <row r="1623" spans="1:11" s="75" customFormat="1" ht="14.55" customHeight="1" x14ac:dyDescent="0.25">
      <c r="A1623" s="272" t="s">
        <v>8816</v>
      </c>
      <c r="B1623" s="272" t="s">
        <v>10591</v>
      </c>
      <c r="C1623" s="272" t="s">
        <v>10278</v>
      </c>
      <c r="D1623" s="259" t="s">
        <v>10279</v>
      </c>
      <c r="E1623" s="265" t="s">
        <v>10655</v>
      </c>
      <c r="F1623" s="272" t="s">
        <v>9198</v>
      </c>
      <c r="G1623" s="272" t="s">
        <v>9197</v>
      </c>
      <c r="H1623" s="265" t="s">
        <v>10982</v>
      </c>
      <c r="I1623" s="290" t="s">
        <v>10983</v>
      </c>
      <c r="J1623" s="265" t="s">
        <v>10655</v>
      </c>
      <c r="K1623" s="265" t="s">
        <v>10655</v>
      </c>
    </row>
    <row r="1624" spans="1:11" s="75" customFormat="1" ht="14.55" customHeight="1" x14ac:dyDescent="0.25">
      <c r="A1624" s="272" t="s">
        <v>8816</v>
      </c>
      <c r="B1624" s="272" t="s">
        <v>10591</v>
      </c>
      <c r="C1624" s="272" t="s">
        <v>10278</v>
      </c>
      <c r="D1624" s="259" t="s">
        <v>10279</v>
      </c>
      <c r="E1624" s="265" t="s">
        <v>10655</v>
      </c>
      <c r="F1624" s="272" t="s">
        <v>9198</v>
      </c>
      <c r="G1624" s="272" t="s">
        <v>9197</v>
      </c>
      <c r="H1624" s="265" t="s">
        <v>11002</v>
      </c>
      <c r="I1624" s="290" t="s">
        <v>11003</v>
      </c>
      <c r="J1624" s="265" t="s">
        <v>10655</v>
      </c>
      <c r="K1624" s="265" t="s">
        <v>10655</v>
      </c>
    </row>
    <row r="1625" spans="1:11" s="75" customFormat="1" ht="14.55" customHeight="1" x14ac:dyDescent="0.25">
      <c r="A1625" s="272" t="s">
        <v>8816</v>
      </c>
      <c r="B1625" s="272" t="s">
        <v>10591</v>
      </c>
      <c r="C1625" s="272" t="s">
        <v>10278</v>
      </c>
      <c r="D1625" s="259" t="s">
        <v>10279</v>
      </c>
      <c r="E1625" s="265" t="s">
        <v>10655</v>
      </c>
      <c r="F1625" s="272" t="s">
        <v>9198</v>
      </c>
      <c r="G1625" s="272" t="s">
        <v>9197</v>
      </c>
      <c r="H1625" s="265" t="s">
        <v>11004</v>
      </c>
      <c r="I1625" s="290" t="s">
        <v>11005</v>
      </c>
      <c r="J1625" s="265" t="s">
        <v>10655</v>
      </c>
      <c r="K1625" s="265" t="s">
        <v>10655</v>
      </c>
    </row>
    <row r="1626" spans="1:11" s="75" customFormat="1" ht="14.55" customHeight="1" x14ac:dyDescent="0.25">
      <c r="A1626" s="272" t="s">
        <v>8816</v>
      </c>
      <c r="B1626" s="272" t="s">
        <v>10591</v>
      </c>
      <c r="C1626" s="272" t="s">
        <v>10278</v>
      </c>
      <c r="D1626" s="259" t="s">
        <v>10279</v>
      </c>
      <c r="E1626" s="265" t="s">
        <v>10655</v>
      </c>
      <c r="F1626" s="272" t="s">
        <v>9198</v>
      </c>
      <c r="G1626" s="272" t="s">
        <v>9197</v>
      </c>
      <c r="H1626" s="265" t="s">
        <v>10984</v>
      </c>
      <c r="I1626" s="290" t="s">
        <v>10985</v>
      </c>
      <c r="J1626" s="265" t="s">
        <v>10655</v>
      </c>
      <c r="K1626" s="265" t="s">
        <v>10655</v>
      </c>
    </row>
    <row r="1627" spans="1:11" s="75" customFormat="1" ht="14.55" customHeight="1" x14ac:dyDescent="0.25">
      <c r="A1627" s="272" t="s">
        <v>8816</v>
      </c>
      <c r="B1627" s="272" t="s">
        <v>10591</v>
      </c>
      <c r="C1627" s="272" t="s">
        <v>10278</v>
      </c>
      <c r="D1627" s="259" t="s">
        <v>10279</v>
      </c>
      <c r="E1627" s="265" t="s">
        <v>10655</v>
      </c>
      <c r="F1627" s="272" t="s">
        <v>9198</v>
      </c>
      <c r="G1627" s="272" t="s">
        <v>9197</v>
      </c>
      <c r="H1627" s="265" t="s">
        <v>10986</v>
      </c>
      <c r="I1627" s="290" t="s">
        <v>10987</v>
      </c>
      <c r="J1627" s="265" t="s">
        <v>10655</v>
      </c>
      <c r="K1627" s="265" t="s">
        <v>10655</v>
      </c>
    </row>
    <row r="1628" spans="1:11" s="75" customFormat="1" ht="14.55" customHeight="1" x14ac:dyDescent="0.25">
      <c r="A1628" s="272" t="s">
        <v>8816</v>
      </c>
      <c r="B1628" s="272" t="s">
        <v>10591</v>
      </c>
      <c r="C1628" s="272" t="s">
        <v>10278</v>
      </c>
      <c r="D1628" s="259" t="s">
        <v>10279</v>
      </c>
      <c r="E1628" s="265" t="s">
        <v>10655</v>
      </c>
      <c r="F1628" s="272" t="s">
        <v>9198</v>
      </c>
      <c r="G1628" s="272" t="s">
        <v>9197</v>
      </c>
      <c r="H1628" s="265" t="s">
        <v>10988</v>
      </c>
      <c r="I1628" s="290" t="s">
        <v>10989</v>
      </c>
      <c r="J1628" s="265" t="s">
        <v>10655</v>
      </c>
      <c r="K1628" s="265" t="s">
        <v>10655</v>
      </c>
    </row>
    <row r="1629" spans="1:11" s="75" customFormat="1" ht="14.55" customHeight="1" x14ac:dyDescent="0.25">
      <c r="A1629" s="272" t="s">
        <v>8816</v>
      </c>
      <c r="B1629" s="272" t="s">
        <v>10591</v>
      </c>
      <c r="C1629" s="272" t="s">
        <v>10278</v>
      </c>
      <c r="D1629" s="259" t="s">
        <v>10279</v>
      </c>
      <c r="E1629" s="265" t="s">
        <v>10655</v>
      </c>
      <c r="F1629" s="272" t="s">
        <v>9198</v>
      </c>
      <c r="G1629" s="272" t="s">
        <v>9197</v>
      </c>
      <c r="H1629" s="265" t="s">
        <v>10992</v>
      </c>
      <c r="I1629" s="290" t="s">
        <v>10993</v>
      </c>
      <c r="J1629" s="265" t="s">
        <v>10655</v>
      </c>
      <c r="K1629" s="265" t="s">
        <v>10655</v>
      </c>
    </row>
    <row r="1630" spans="1:11" s="75" customFormat="1" ht="14.55" customHeight="1" x14ac:dyDescent="0.25">
      <c r="A1630" s="272" t="s">
        <v>8816</v>
      </c>
      <c r="B1630" s="272" t="s">
        <v>10591</v>
      </c>
      <c r="C1630" s="272" t="s">
        <v>10278</v>
      </c>
      <c r="D1630" s="259" t="s">
        <v>10279</v>
      </c>
      <c r="E1630" s="265" t="s">
        <v>10655</v>
      </c>
      <c r="F1630" s="272" t="s">
        <v>9198</v>
      </c>
      <c r="G1630" s="272" t="s">
        <v>9197</v>
      </c>
      <c r="H1630" s="265" t="s">
        <v>10994</v>
      </c>
      <c r="I1630" s="290" t="s">
        <v>10995</v>
      </c>
      <c r="J1630" s="265" t="s">
        <v>10655</v>
      </c>
      <c r="K1630" s="265" t="s">
        <v>10655</v>
      </c>
    </row>
    <row r="1631" spans="1:11" s="75" customFormat="1" ht="14.55" customHeight="1" x14ac:dyDescent="0.25">
      <c r="A1631" s="272" t="s">
        <v>8816</v>
      </c>
      <c r="B1631" s="272" t="s">
        <v>10591</v>
      </c>
      <c r="C1631" s="272" t="s">
        <v>10278</v>
      </c>
      <c r="D1631" s="259" t="s">
        <v>10279</v>
      </c>
      <c r="E1631" s="265" t="s">
        <v>10655</v>
      </c>
      <c r="F1631" s="272" t="s">
        <v>9198</v>
      </c>
      <c r="G1631" s="272" t="s">
        <v>9197</v>
      </c>
      <c r="H1631" s="265" t="s">
        <v>10996</v>
      </c>
      <c r="I1631" s="290" t="s">
        <v>10997</v>
      </c>
      <c r="J1631" s="265" t="s">
        <v>10655</v>
      </c>
      <c r="K1631" s="265" t="s">
        <v>10655</v>
      </c>
    </row>
    <row r="1632" spans="1:11" s="75" customFormat="1" ht="14.55" customHeight="1" x14ac:dyDescent="0.25">
      <c r="A1632" s="272" t="s">
        <v>8816</v>
      </c>
      <c r="B1632" s="272" t="s">
        <v>10591</v>
      </c>
      <c r="C1632" s="272" t="s">
        <v>10278</v>
      </c>
      <c r="D1632" s="259" t="s">
        <v>10279</v>
      </c>
      <c r="E1632" s="265" t="s">
        <v>10655</v>
      </c>
      <c r="F1632" s="272" t="s">
        <v>9198</v>
      </c>
      <c r="G1632" s="272" t="s">
        <v>9197</v>
      </c>
      <c r="H1632" s="265" t="s">
        <v>11000</v>
      </c>
      <c r="I1632" s="290" t="s">
        <v>11001</v>
      </c>
      <c r="J1632" s="265" t="s">
        <v>10655</v>
      </c>
      <c r="K1632" s="265" t="s">
        <v>10655</v>
      </c>
    </row>
    <row r="1633" spans="1:11" s="75" customFormat="1" ht="14.55" customHeight="1" x14ac:dyDescent="0.25">
      <c r="A1633" s="272" t="s">
        <v>8816</v>
      </c>
      <c r="B1633" s="272" t="s">
        <v>10591</v>
      </c>
      <c r="C1633" s="272" t="s">
        <v>10280</v>
      </c>
      <c r="D1633" s="259" t="s">
        <v>10281</v>
      </c>
      <c r="E1633" s="265" t="s">
        <v>10655</v>
      </c>
      <c r="F1633" s="272" t="s">
        <v>9198</v>
      </c>
      <c r="G1633" s="272" t="s">
        <v>9197</v>
      </c>
      <c r="H1633" s="265" t="s">
        <v>10976</v>
      </c>
      <c r="I1633" s="290" t="s">
        <v>10977</v>
      </c>
      <c r="J1633" s="265" t="s">
        <v>10655</v>
      </c>
      <c r="K1633" s="265" t="s">
        <v>10655</v>
      </c>
    </row>
    <row r="1634" spans="1:11" s="75" customFormat="1" ht="14.55" customHeight="1" x14ac:dyDescent="0.25">
      <c r="A1634" s="272" t="s">
        <v>8816</v>
      </c>
      <c r="B1634" s="272" t="s">
        <v>10591</v>
      </c>
      <c r="C1634" s="272" t="s">
        <v>10280</v>
      </c>
      <c r="D1634" s="259" t="s">
        <v>10281</v>
      </c>
      <c r="E1634" s="265" t="s">
        <v>10655</v>
      </c>
      <c r="F1634" s="272" t="s">
        <v>9198</v>
      </c>
      <c r="G1634" s="272" t="s">
        <v>9197</v>
      </c>
      <c r="H1634" s="265" t="s">
        <v>10980</v>
      </c>
      <c r="I1634" s="290" t="s">
        <v>10981</v>
      </c>
      <c r="J1634" s="265" t="s">
        <v>10655</v>
      </c>
      <c r="K1634" s="265" t="s">
        <v>10655</v>
      </c>
    </row>
    <row r="1635" spans="1:11" s="75" customFormat="1" ht="14.55" customHeight="1" x14ac:dyDescent="0.25">
      <c r="A1635" s="272" t="s">
        <v>8816</v>
      </c>
      <c r="B1635" s="272" t="s">
        <v>10591</v>
      </c>
      <c r="C1635" s="272" t="s">
        <v>10280</v>
      </c>
      <c r="D1635" s="259" t="s">
        <v>10281</v>
      </c>
      <c r="E1635" s="265" t="s">
        <v>10655</v>
      </c>
      <c r="F1635" s="272" t="s">
        <v>9198</v>
      </c>
      <c r="G1635" s="272" t="s">
        <v>9197</v>
      </c>
      <c r="H1635" s="265" t="s">
        <v>11002</v>
      </c>
      <c r="I1635" s="290" t="s">
        <v>11003</v>
      </c>
      <c r="J1635" s="265" t="s">
        <v>10655</v>
      </c>
      <c r="K1635" s="265" t="s">
        <v>10655</v>
      </c>
    </row>
    <row r="1636" spans="1:11" s="75" customFormat="1" ht="14.55" customHeight="1" x14ac:dyDescent="0.25">
      <c r="A1636" s="272" t="s">
        <v>8816</v>
      </c>
      <c r="B1636" s="272" t="s">
        <v>10591</v>
      </c>
      <c r="C1636" s="272" t="s">
        <v>10280</v>
      </c>
      <c r="D1636" s="259" t="s">
        <v>10281</v>
      </c>
      <c r="E1636" s="265" t="s">
        <v>10655</v>
      </c>
      <c r="F1636" s="272" t="s">
        <v>9198</v>
      </c>
      <c r="G1636" s="272" t="s">
        <v>9197</v>
      </c>
      <c r="H1636" s="265" t="s">
        <v>11004</v>
      </c>
      <c r="I1636" s="290" t="s">
        <v>11005</v>
      </c>
      <c r="J1636" s="265" t="s">
        <v>10655</v>
      </c>
      <c r="K1636" s="265" t="s">
        <v>10655</v>
      </c>
    </row>
    <row r="1637" spans="1:11" s="75" customFormat="1" ht="14.55" customHeight="1" x14ac:dyDescent="0.25">
      <c r="A1637" s="272" t="s">
        <v>8816</v>
      </c>
      <c r="B1637" s="272" t="s">
        <v>10591</v>
      </c>
      <c r="C1637" s="272" t="s">
        <v>10280</v>
      </c>
      <c r="D1637" s="259" t="s">
        <v>10281</v>
      </c>
      <c r="E1637" s="265" t="s">
        <v>10655</v>
      </c>
      <c r="F1637" s="272" t="s">
        <v>9198</v>
      </c>
      <c r="G1637" s="272" t="s">
        <v>9197</v>
      </c>
      <c r="H1637" s="265" t="s">
        <v>10984</v>
      </c>
      <c r="I1637" s="290" t="s">
        <v>10985</v>
      </c>
      <c r="J1637" s="265" t="s">
        <v>10655</v>
      </c>
      <c r="K1637" s="265" t="s">
        <v>10655</v>
      </c>
    </row>
    <row r="1638" spans="1:11" s="75" customFormat="1" ht="14.55" customHeight="1" x14ac:dyDescent="0.25">
      <c r="A1638" s="272" t="s">
        <v>8816</v>
      </c>
      <c r="B1638" s="272" t="s">
        <v>10591</v>
      </c>
      <c r="C1638" s="272" t="s">
        <v>10280</v>
      </c>
      <c r="D1638" s="259" t="s">
        <v>10281</v>
      </c>
      <c r="E1638" s="265" t="s">
        <v>10655</v>
      </c>
      <c r="F1638" s="272" t="s">
        <v>9198</v>
      </c>
      <c r="G1638" s="272" t="s">
        <v>9197</v>
      </c>
      <c r="H1638" s="265" t="s">
        <v>11008</v>
      </c>
      <c r="I1638" s="290" t="s">
        <v>11009</v>
      </c>
      <c r="J1638" s="265" t="s">
        <v>10655</v>
      </c>
      <c r="K1638" s="265" t="s">
        <v>10655</v>
      </c>
    </row>
    <row r="1639" spans="1:11" s="75" customFormat="1" ht="14.55" customHeight="1" x14ac:dyDescent="0.25">
      <c r="A1639" s="272" t="s">
        <v>8816</v>
      </c>
      <c r="B1639" s="272" t="s">
        <v>10591</v>
      </c>
      <c r="C1639" s="272" t="s">
        <v>10280</v>
      </c>
      <c r="D1639" s="259" t="s">
        <v>10281</v>
      </c>
      <c r="E1639" s="265" t="s">
        <v>10655</v>
      </c>
      <c r="F1639" s="272" t="s">
        <v>9198</v>
      </c>
      <c r="G1639" s="272" t="s">
        <v>9197</v>
      </c>
      <c r="H1639" s="265" t="s">
        <v>10992</v>
      </c>
      <c r="I1639" s="290" t="s">
        <v>10993</v>
      </c>
      <c r="J1639" s="265" t="s">
        <v>10655</v>
      </c>
      <c r="K1639" s="265" t="s">
        <v>10655</v>
      </c>
    </row>
    <row r="1640" spans="1:11" s="75" customFormat="1" ht="14.55" customHeight="1" x14ac:dyDescent="0.25">
      <c r="A1640" s="272" t="s">
        <v>8816</v>
      </c>
      <c r="B1640" s="272" t="s">
        <v>10591</v>
      </c>
      <c r="C1640" s="272" t="s">
        <v>10280</v>
      </c>
      <c r="D1640" s="259" t="s">
        <v>10281</v>
      </c>
      <c r="E1640" s="265" t="s">
        <v>10655</v>
      </c>
      <c r="F1640" s="272" t="s">
        <v>9198</v>
      </c>
      <c r="G1640" s="272" t="s">
        <v>9197</v>
      </c>
      <c r="H1640" s="265" t="s">
        <v>11000</v>
      </c>
      <c r="I1640" s="290" t="s">
        <v>11001</v>
      </c>
      <c r="J1640" s="265" t="s">
        <v>10655</v>
      </c>
      <c r="K1640" s="265" t="s">
        <v>10655</v>
      </c>
    </row>
    <row r="1641" spans="1:11" s="75" customFormat="1" ht="14.55" customHeight="1" x14ac:dyDescent="0.25">
      <c r="A1641" s="272" t="s">
        <v>8816</v>
      </c>
      <c r="B1641" s="272" t="s">
        <v>10591</v>
      </c>
      <c r="C1641" s="272" t="s">
        <v>10282</v>
      </c>
      <c r="D1641" s="259" t="s">
        <v>10283</v>
      </c>
      <c r="E1641" s="265" t="s">
        <v>10655</v>
      </c>
      <c r="F1641" s="272" t="s">
        <v>9198</v>
      </c>
      <c r="G1641" s="272" t="s">
        <v>9197</v>
      </c>
      <c r="H1641" s="265" t="s">
        <v>10976</v>
      </c>
      <c r="I1641" s="290" t="s">
        <v>10977</v>
      </c>
      <c r="J1641" s="265" t="s">
        <v>10655</v>
      </c>
      <c r="K1641" s="265" t="s">
        <v>10655</v>
      </c>
    </row>
    <row r="1642" spans="1:11" s="75" customFormat="1" ht="14.55" customHeight="1" x14ac:dyDescent="0.25">
      <c r="A1642" s="272" t="s">
        <v>8816</v>
      </c>
      <c r="B1642" s="272" t="s">
        <v>10591</v>
      </c>
      <c r="C1642" s="272" t="s">
        <v>10282</v>
      </c>
      <c r="D1642" s="259" t="s">
        <v>10283</v>
      </c>
      <c r="E1642" s="265" t="s">
        <v>10655</v>
      </c>
      <c r="F1642" s="272" t="s">
        <v>9198</v>
      </c>
      <c r="G1642" s="272" t="s">
        <v>9197</v>
      </c>
      <c r="H1642" s="265" t="s">
        <v>10978</v>
      </c>
      <c r="I1642" s="290" t="s">
        <v>10979</v>
      </c>
      <c r="J1642" s="265" t="s">
        <v>10655</v>
      </c>
      <c r="K1642" s="265" t="s">
        <v>10655</v>
      </c>
    </row>
    <row r="1643" spans="1:11" s="75" customFormat="1" ht="14.55" customHeight="1" x14ac:dyDescent="0.25">
      <c r="A1643" s="272" t="s">
        <v>8816</v>
      </c>
      <c r="B1643" s="272" t="s">
        <v>10591</v>
      </c>
      <c r="C1643" s="272" t="s">
        <v>10282</v>
      </c>
      <c r="D1643" s="259" t="s">
        <v>10283</v>
      </c>
      <c r="E1643" s="265" t="s">
        <v>10655</v>
      </c>
      <c r="F1643" s="272" t="s">
        <v>9198</v>
      </c>
      <c r="G1643" s="272" t="s">
        <v>9197</v>
      </c>
      <c r="H1643" s="265" t="s">
        <v>10980</v>
      </c>
      <c r="I1643" s="290" t="s">
        <v>10981</v>
      </c>
      <c r="J1643" s="265" t="s">
        <v>10655</v>
      </c>
      <c r="K1643" s="265" t="s">
        <v>10655</v>
      </c>
    </row>
    <row r="1644" spans="1:11" s="75" customFormat="1" ht="14.55" customHeight="1" x14ac:dyDescent="0.25">
      <c r="A1644" s="272" t="s">
        <v>8816</v>
      </c>
      <c r="B1644" s="272" t="s">
        <v>10591</v>
      </c>
      <c r="C1644" s="272" t="s">
        <v>10282</v>
      </c>
      <c r="D1644" s="259" t="s">
        <v>10283</v>
      </c>
      <c r="E1644" s="265" t="s">
        <v>10655</v>
      </c>
      <c r="F1644" s="272" t="s">
        <v>9198</v>
      </c>
      <c r="G1644" s="272" t="s">
        <v>9197</v>
      </c>
      <c r="H1644" s="265" t="s">
        <v>10982</v>
      </c>
      <c r="I1644" s="290" t="s">
        <v>10983</v>
      </c>
      <c r="J1644" s="265" t="s">
        <v>10655</v>
      </c>
      <c r="K1644" s="265" t="s">
        <v>10655</v>
      </c>
    </row>
    <row r="1645" spans="1:11" s="75" customFormat="1" ht="14.55" customHeight="1" x14ac:dyDescent="0.25">
      <c r="A1645" s="272" t="s">
        <v>8816</v>
      </c>
      <c r="B1645" s="272" t="s">
        <v>10591</v>
      </c>
      <c r="C1645" s="272" t="s">
        <v>10282</v>
      </c>
      <c r="D1645" s="259" t="s">
        <v>10283</v>
      </c>
      <c r="E1645" s="265" t="s">
        <v>10655</v>
      </c>
      <c r="F1645" s="272" t="s">
        <v>9198</v>
      </c>
      <c r="G1645" s="272" t="s">
        <v>9197</v>
      </c>
      <c r="H1645" s="265" t="s">
        <v>11002</v>
      </c>
      <c r="I1645" s="290" t="s">
        <v>11003</v>
      </c>
      <c r="J1645" s="265" t="s">
        <v>10655</v>
      </c>
      <c r="K1645" s="265" t="s">
        <v>10655</v>
      </c>
    </row>
    <row r="1646" spans="1:11" s="75" customFormat="1" ht="14.55" customHeight="1" x14ac:dyDescent="0.25">
      <c r="A1646" s="272" t="s">
        <v>8816</v>
      </c>
      <c r="B1646" s="272" t="s">
        <v>10591</v>
      </c>
      <c r="C1646" s="272" t="s">
        <v>10282</v>
      </c>
      <c r="D1646" s="259" t="s">
        <v>10283</v>
      </c>
      <c r="E1646" s="265" t="s">
        <v>10655</v>
      </c>
      <c r="F1646" s="272" t="s">
        <v>9198</v>
      </c>
      <c r="G1646" s="272" t="s">
        <v>9197</v>
      </c>
      <c r="H1646" s="265" t="s">
        <v>10984</v>
      </c>
      <c r="I1646" s="290" t="s">
        <v>10985</v>
      </c>
      <c r="J1646" s="265" t="s">
        <v>10655</v>
      </c>
      <c r="K1646" s="265" t="s">
        <v>10655</v>
      </c>
    </row>
    <row r="1647" spans="1:11" s="75" customFormat="1" ht="14.55" customHeight="1" x14ac:dyDescent="0.25">
      <c r="A1647" s="272" t="s">
        <v>8816</v>
      </c>
      <c r="B1647" s="272" t="s">
        <v>10591</v>
      </c>
      <c r="C1647" s="272" t="s">
        <v>10282</v>
      </c>
      <c r="D1647" s="259" t="s">
        <v>10283</v>
      </c>
      <c r="E1647" s="265" t="s">
        <v>10655</v>
      </c>
      <c r="F1647" s="272" t="s">
        <v>9198</v>
      </c>
      <c r="G1647" s="272" t="s">
        <v>9197</v>
      </c>
      <c r="H1647" s="265" t="s">
        <v>10994</v>
      </c>
      <c r="I1647" s="290" t="s">
        <v>10995</v>
      </c>
      <c r="J1647" s="265" t="s">
        <v>10655</v>
      </c>
      <c r="K1647" s="265" t="s">
        <v>10655</v>
      </c>
    </row>
    <row r="1648" spans="1:11" s="75" customFormat="1" ht="14.55" customHeight="1" x14ac:dyDescent="0.25">
      <c r="A1648" s="272" t="s">
        <v>8816</v>
      </c>
      <c r="B1648" s="272" t="s">
        <v>10591</v>
      </c>
      <c r="C1648" s="272" t="s">
        <v>10282</v>
      </c>
      <c r="D1648" s="259" t="s">
        <v>10283</v>
      </c>
      <c r="E1648" s="265" t="s">
        <v>10655</v>
      </c>
      <c r="F1648" s="272" t="s">
        <v>9198</v>
      </c>
      <c r="G1648" s="272" t="s">
        <v>9197</v>
      </c>
      <c r="H1648" s="265" t="s">
        <v>10996</v>
      </c>
      <c r="I1648" s="290" t="s">
        <v>10997</v>
      </c>
      <c r="J1648" s="265" t="s">
        <v>10655</v>
      </c>
      <c r="K1648" s="265" t="s">
        <v>10655</v>
      </c>
    </row>
    <row r="1649" spans="1:11" s="75" customFormat="1" ht="14.55" customHeight="1" x14ac:dyDescent="0.25">
      <c r="A1649" s="272" t="s">
        <v>8816</v>
      </c>
      <c r="B1649" s="272" t="s">
        <v>10591</v>
      </c>
      <c r="C1649" s="272" t="s">
        <v>10282</v>
      </c>
      <c r="D1649" s="259" t="s">
        <v>10283</v>
      </c>
      <c r="E1649" s="265" t="s">
        <v>10655</v>
      </c>
      <c r="F1649" s="272" t="s">
        <v>9198</v>
      </c>
      <c r="G1649" s="272" t="s">
        <v>9197</v>
      </c>
      <c r="H1649" s="265" t="s">
        <v>11000</v>
      </c>
      <c r="I1649" s="290" t="s">
        <v>11001</v>
      </c>
      <c r="J1649" s="265" t="s">
        <v>10655</v>
      </c>
      <c r="K1649" s="265" t="s">
        <v>10655</v>
      </c>
    </row>
    <row r="1650" spans="1:11" s="75" customFormat="1" ht="14.55" customHeight="1" x14ac:dyDescent="0.25">
      <c r="A1650" s="272" t="s">
        <v>8816</v>
      </c>
      <c r="B1650" s="272" t="s">
        <v>10591</v>
      </c>
      <c r="C1650" s="272" t="s">
        <v>10284</v>
      </c>
      <c r="D1650" s="259" t="s">
        <v>10285</v>
      </c>
      <c r="E1650" s="265" t="s">
        <v>10655</v>
      </c>
      <c r="F1650" s="272" t="s">
        <v>9198</v>
      </c>
      <c r="G1650" s="272" t="s">
        <v>9197</v>
      </c>
      <c r="H1650" s="265" t="s">
        <v>10976</v>
      </c>
      <c r="I1650" s="290" t="s">
        <v>10977</v>
      </c>
      <c r="J1650" s="265" t="s">
        <v>10655</v>
      </c>
      <c r="K1650" s="265" t="s">
        <v>10655</v>
      </c>
    </row>
    <row r="1651" spans="1:11" s="75" customFormat="1" ht="14.55" customHeight="1" x14ac:dyDescent="0.25">
      <c r="A1651" s="272" t="s">
        <v>8816</v>
      </c>
      <c r="B1651" s="272" t="s">
        <v>10591</v>
      </c>
      <c r="C1651" s="272" t="s">
        <v>10284</v>
      </c>
      <c r="D1651" s="259" t="s">
        <v>10285</v>
      </c>
      <c r="E1651" s="265" t="s">
        <v>10655</v>
      </c>
      <c r="F1651" s="272" t="s">
        <v>9198</v>
      </c>
      <c r="G1651" s="272" t="s">
        <v>9197</v>
      </c>
      <c r="H1651" s="265" t="s">
        <v>10980</v>
      </c>
      <c r="I1651" s="290" t="s">
        <v>10981</v>
      </c>
      <c r="J1651" s="265" t="s">
        <v>10655</v>
      </c>
      <c r="K1651" s="265" t="s">
        <v>10655</v>
      </c>
    </row>
    <row r="1652" spans="1:11" s="75" customFormat="1" ht="14.55" customHeight="1" x14ac:dyDescent="0.25">
      <c r="A1652" s="272" t="s">
        <v>8816</v>
      </c>
      <c r="B1652" s="272" t="s">
        <v>10591</v>
      </c>
      <c r="C1652" s="272" t="s">
        <v>10284</v>
      </c>
      <c r="D1652" s="259" t="s">
        <v>10285</v>
      </c>
      <c r="E1652" s="265" t="s">
        <v>10655</v>
      </c>
      <c r="F1652" s="272" t="s">
        <v>9198</v>
      </c>
      <c r="G1652" s="272" t="s">
        <v>9197</v>
      </c>
      <c r="H1652" s="265" t="s">
        <v>11002</v>
      </c>
      <c r="I1652" s="290" t="s">
        <v>11003</v>
      </c>
      <c r="J1652" s="265" t="s">
        <v>10655</v>
      </c>
      <c r="K1652" s="265" t="s">
        <v>10655</v>
      </c>
    </row>
    <row r="1653" spans="1:11" s="75" customFormat="1" ht="14.55" customHeight="1" x14ac:dyDescent="0.25">
      <c r="A1653" s="272" t="s">
        <v>8816</v>
      </c>
      <c r="B1653" s="272" t="s">
        <v>10591</v>
      </c>
      <c r="C1653" s="272" t="s">
        <v>10284</v>
      </c>
      <c r="D1653" s="259" t="s">
        <v>10285</v>
      </c>
      <c r="E1653" s="265" t="s">
        <v>10655</v>
      </c>
      <c r="F1653" s="272" t="s">
        <v>9198</v>
      </c>
      <c r="G1653" s="272" t="s">
        <v>9197</v>
      </c>
      <c r="H1653" s="265" t="s">
        <v>10992</v>
      </c>
      <c r="I1653" s="290" t="s">
        <v>10993</v>
      </c>
      <c r="J1653" s="265" t="s">
        <v>10655</v>
      </c>
      <c r="K1653" s="265" t="s">
        <v>10655</v>
      </c>
    </row>
    <row r="1654" spans="1:11" s="75" customFormat="1" ht="14.55" customHeight="1" x14ac:dyDescent="0.25">
      <c r="A1654" s="272" t="s">
        <v>8816</v>
      </c>
      <c r="B1654" s="272" t="s">
        <v>10591</v>
      </c>
      <c r="C1654" s="272" t="s">
        <v>10284</v>
      </c>
      <c r="D1654" s="259" t="s">
        <v>10285</v>
      </c>
      <c r="E1654" s="265" t="s">
        <v>10655</v>
      </c>
      <c r="F1654" s="272" t="s">
        <v>9198</v>
      </c>
      <c r="G1654" s="272" t="s">
        <v>9197</v>
      </c>
      <c r="H1654" s="265" t="s">
        <v>11000</v>
      </c>
      <c r="I1654" s="290" t="s">
        <v>11001</v>
      </c>
      <c r="J1654" s="265" t="s">
        <v>10655</v>
      </c>
      <c r="K1654" s="265" t="s">
        <v>10655</v>
      </c>
    </row>
    <row r="1655" spans="1:11" s="75" customFormat="1" ht="14.55" customHeight="1" x14ac:dyDescent="0.25">
      <c r="A1655" s="272" t="s">
        <v>8816</v>
      </c>
      <c r="B1655" s="272" t="s">
        <v>10591</v>
      </c>
      <c r="C1655" s="272" t="s">
        <v>10286</v>
      </c>
      <c r="D1655" s="259" t="s">
        <v>10287</v>
      </c>
      <c r="E1655" s="265" t="s">
        <v>10655</v>
      </c>
      <c r="F1655" s="272" t="s">
        <v>9198</v>
      </c>
      <c r="G1655" s="272" t="s">
        <v>9198</v>
      </c>
      <c r="H1655" s="265" t="s">
        <v>10976</v>
      </c>
      <c r="I1655" s="290" t="s">
        <v>10977</v>
      </c>
      <c r="J1655" s="265" t="s">
        <v>10655</v>
      </c>
      <c r="K1655" s="265" t="s">
        <v>10655</v>
      </c>
    </row>
    <row r="1656" spans="1:11" s="75" customFormat="1" ht="14.55" customHeight="1" x14ac:dyDescent="0.25">
      <c r="A1656" s="272" t="s">
        <v>8816</v>
      </c>
      <c r="B1656" s="272" t="s">
        <v>10591</v>
      </c>
      <c r="C1656" s="272" t="s">
        <v>10286</v>
      </c>
      <c r="D1656" s="259" t="s">
        <v>10287</v>
      </c>
      <c r="E1656" s="265" t="s">
        <v>10655</v>
      </c>
      <c r="F1656" s="272" t="s">
        <v>9198</v>
      </c>
      <c r="G1656" s="272" t="s">
        <v>9198</v>
      </c>
      <c r="H1656" s="265" t="s">
        <v>10980</v>
      </c>
      <c r="I1656" s="290" t="s">
        <v>10981</v>
      </c>
      <c r="J1656" s="265" t="s">
        <v>10655</v>
      </c>
      <c r="K1656" s="265" t="s">
        <v>10655</v>
      </c>
    </row>
    <row r="1657" spans="1:11" s="75" customFormat="1" ht="14.55" customHeight="1" x14ac:dyDescent="0.25">
      <c r="A1657" s="272" t="s">
        <v>8816</v>
      </c>
      <c r="B1657" s="272" t="s">
        <v>10591</v>
      </c>
      <c r="C1657" s="272" t="s">
        <v>10286</v>
      </c>
      <c r="D1657" s="259" t="s">
        <v>10287</v>
      </c>
      <c r="E1657" s="265" t="s">
        <v>10655</v>
      </c>
      <c r="F1657" s="272" t="s">
        <v>9198</v>
      </c>
      <c r="G1657" s="272" t="s">
        <v>9198</v>
      </c>
      <c r="H1657" s="265" t="s">
        <v>10982</v>
      </c>
      <c r="I1657" s="290" t="s">
        <v>10983</v>
      </c>
      <c r="J1657" s="265" t="s">
        <v>10655</v>
      </c>
      <c r="K1657" s="265" t="s">
        <v>10655</v>
      </c>
    </row>
    <row r="1658" spans="1:11" s="75" customFormat="1" ht="14.55" customHeight="1" x14ac:dyDescent="0.25">
      <c r="A1658" s="272" t="s">
        <v>8816</v>
      </c>
      <c r="B1658" s="272" t="s">
        <v>10591</v>
      </c>
      <c r="C1658" s="272" t="s">
        <v>10286</v>
      </c>
      <c r="D1658" s="259" t="s">
        <v>10287</v>
      </c>
      <c r="E1658" s="265" t="s">
        <v>10655</v>
      </c>
      <c r="F1658" s="272" t="s">
        <v>9198</v>
      </c>
      <c r="G1658" s="272" t="s">
        <v>9198</v>
      </c>
      <c r="H1658" s="265" t="s">
        <v>11002</v>
      </c>
      <c r="I1658" s="290" t="s">
        <v>11003</v>
      </c>
      <c r="J1658" s="265" t="s">
        <v>10655</v>
      </c>
      <c r="K1658" s="265" t="s">
        <v>10655</v>
      </c>
    </row>
    <row r="1659" spans="1:11" s="75" customFormat="1" ht="14.55" customHeight="1" x14ac:dyDescent="0.25">
      <c r="A1659" s="272" t="s">
        <v>8816</v>
      </c>
      <c r="B1659" s="272" t="s">
        <v>10591</v>
      </c>
      <c r="C1659" s="272" t="s">
        <v>10286</v>
      </c>
      <c r="D1659" s="259" t="s">
        <v>10287</v>
      </c>
      <c r="E1659" s="265" t="s">
        <v>10655</v>
      </c>
      <c r="F1659" s="272" t="s">
        <v>9198</v>
      </c>
      <c r="G1659" s="272" t="s">
        <v>9198</v>
      </c>
      <c r="H1659" s="265" t="s">
        <v>10992</v>
      </c>
      <c r="I1659" s="290" t="s">
        <v>10993</v>
      </c>
      <c r="J1659" s="265" t="s">
        <v>10655</v>
      </c>
      <c r="K1659" s="265" t="s">
        <v>10655</v>
      </c>
    </row>
    <row r="1660" spans="1:11" s="75" customFormat="1" ht="14.55" customHeight="1" x14ac:dyDescent="0.25">
      <c r="A1660" s="272" t="s">
        <v>8816</v>
      </c>
      <c r="B1660" s="272" t="s">
        <v>10591</v>
      </c>
      <c r="C1660" s="272" t="s">
        <v>10286</v>
      </c>
      <c r="D1660" s="259" t="s">
        <v>10287</v>
      </c>
      <c r="E1660" s="265" t="s">
        <v>10655</v>
      </c>
      <c r="F1660" s="272" t="s">
        <v>9198</v>
      </c>
      <c r="G1660" s="272" t="s">
        <v>9198</v>
      </c>
      <c r="H1660" s="265" t="s">
        <v>11000</v>
      </c>
      <c r="I1660" s="290" t="s">
        <v>11001</v>
      </c>
      <c r="J1660" s="265" t="s">
        <v>10655</v>
      </c>
      <c r="K1660" s="265" t="s">
        <v>10655</v>
      </c>
    </row>
    <row r="1661" spans="1:11" s="75" customFormat="1" ht="14.55" customHeight="1" x14ac:dyDescent="0.25">
      <c r="A1661" s="272" t="s">
        <v>8816</v>
      </c>
      <c r="B1661" s="272" t="s">
        <v>10591</v>
      </c>
      <c r="C1661" s="272" t="s">
        <v>10288</v>
      </c>
      <c r="D1661" s="259" t="s">
        <v>10289</v>
      </c>
      <c r="E1661" s="265" t="s">
        <v>10655</v>
      </c>
      <c r="F1661" s="272" t="s">
        <v>9198</v>
      </c>
      <c r="G1661" s="272" t="s">
        <v>9197</v>
      </c>
      <c r="H1661" s="265" t="s">
        <v>10976</v>
      </c>
      <c r="I1661" s="290" t="s">
        <v>10977</v>
      </c>
      <c r="J1661" s="265" t="s">
        <v>10655</v>
      </c>
      <c r="K1661" s="265" t="s">
        <v>10655</v>
      </c>
    </row>
    <row r="1662" spans="1:11" s="75" customFormat="1" ht="14.55" customHeight="1" x14ac:dyDescent="0.25">
      <c r="A1662" s="272" t="s">
        <v>8816</v>
      </c>
      <c r="B1662" s="272" t="s">
        <v>10591</v>
      </c>
      <c r="C1662" s="272" t="s">
        <v>10288</v>
      </c>
      <c r="D1662" s="259" t="s">
        <v>10289</v>
      </c>
      <c r="E1662" s="265" t="s">
        <v>10655</v>
      </c>
      <c r="F1662" s="272" t="s">
        <v>9198</v>
      </c>
      <c r="G1662" s="272" t="s">
        <v>9197</v>
      </c>
      <c r="H1662" s="265" t="s">
        <v>10980</v>
      </c>
      <c r="I1662" s="290" t="s">
        <v>10981</v>
      </c>
      <c r="J1662" s="265" t="s">
        <v>10655</v>
      </c>
      <c r="K1662" s="265" t="s">
        <v>10655</v>
      </c>
    </row>
    <row r="1663" spans="1:11" s="75" customFormat="1" ht="14.55" customHeight="1" x14ac:dyDescent="0.25">
      <c r="A1663" s="272" t="s">
        <v>8816</v>
      </c>
      <c r="B1663" s="272" t="s">
        <v>10591</v>
      </c>
      <c r="C1663" s="272" t="s">
        <v>10288</v>
      </c>
      <c r="D1663" s="259" t="s">
        <v>10289</v>
      </c>
      <c r="E1663" s="265" t="s">
        <v>10655</v>
      </c>
      <c r="F1663" s="272" t="s">
        <v>9198</v>
      </c>
      <c r="G1663" s="272" t="s">
        <v>9197</v>
      </c>
      <c r="H1663" s="265" t="s">
        <v>11002</v>
      </c>
      <c r="I1663" s="290" t="s">
        <v>11003</v>
      </c>
      <c r="J1663" s="265" t="s">
        <v>10655</v>
      </c>
      <c r="K1663" s="265" t="s">
        <v>10655</v>
      </c>
    </row>
    <row r="1664" spans="1:11" s="75" customFormat="1" ht="14.55" customHeight="1" x14ac:dyDescent="0.25">
      <c r="A1664" s="272" t="s">
        <v>8816</v>
      </c>
      <c r="B1664" s="272" t="s">
        <v>10591</v>
      </c>
      <c r="C1664" s="272" t="s">
        <v>10288</v>
      </c>
      <c r="D1664" s="259" t="s">
        <v>10289</v>
      </c>
      <c r="E1664" s="265" t="s">
        <v>10655</v>
      </c>
      <c r="F1664" s="272" t="s">
        <v>9198</v>
      </c>
      <c r="G1664" s="272" t="s">
        <v>9197</v>
      </c>
      <c r="H1664" s="265" t="s">
        <v>10992</v>
      </c>
      <c r="I1664" s="290" t="s">
        <v>10993</v>
      </c>
      <c r="J1664" s="265" t="s">
        <v>10655</v>
      </c>
      <c r="K1664" s="265" t="s">
        <v>10655</v>
      </c>
    </row>
    <row r="1665" spans="1:11" s="75" customFormat="1" ht="14.55" customHeight="1" x14ac:dyDescent="0.25">
      <c r="A1665" s="272" t="s">
        <v>8816</v>
      </c>
      <c r="B1665" s="272" t="s">
        <v>10591</v>
      </c>
      <c r="C1665" s="272" t="s">
        <v>10288</v>
      </c>
      <c r="D1665" s="259" t="s">
        <v>10289</v>
      </c>
      <c r="E1665" s="265" t="s">
        <v>10655</v>
      </c>
      <c r="F1665" s="272" t="s">
        <v>9198</v>
      </c>
      <c r="G1665" s="272" t="s">
        <v>9197</v>
      </c>
      <c r="H1665" s="265" t="s">
        <v>11000</v>
      </c>
      <c r="I1665" s="290" t="s">
        <v>11001</v>
      </c>
      <c r="J1665" s="265" t="s">
        <v>10655</v>
      </c>
      <c r="K1665" s="265" t="s">
        <v>10655</v>
      </c>
    </row>
    <row r="1666" spans="1:11" s="75" customFormat="1" ht="14.55" customHeight="1" x14ac:dyDescent="0.25">
      <c r="A1666" s="272" t="s">
        <v>8816</v>
      </c>
      <c r="B1666" s="272" t="s">
        <v>10591</v>
      </c>
      <c r="C1666" s="272" t="s">
        <v>10290</v>
      </c>
      <c r="D1666" s="259" t="s">
        <v>10291</v>
      </c>
      <c r="E1666" s="265" t="s">
        <v>10655</v>
      </c>
      <c r="F1666" s="272" t="s">
        <v>9198</v>
      </c>
      <c r="G1666" s="272" t="s">
        <v>9197</v>
      </c>
      <c r="H1666" s="265" t="s">
        <v>10976</v>
      </c>
      <c r="I1666" s="290" t="s">
        <v>10977</v>
      </c>
      <c r="J1666" s="265" t="s">
        <v>10655</v>
      </c>
      <c r="K1666" s="265" t="s">
        <v>10655</v>
      </c>
    </row>
    <row r="1667" spans="1:11" s="75" customFormat="1" ht="14.55" customHeight="1" x14ac:dyDescent="0.25">
      <c r="A1667" s="272" t="s">
        <v>8816</v>
      </c>
      <c r="B1667" s="272" t="s">
        <v>10591</v>
      </c>
      <c r="C1667" s="272" t="s">
        <v>10290</v>
      </c>
      <c r="D1667" s="259" t="s">
        <v>10291</v>
      </c>
      <c r="E1667" s="265" t="s">
        <v>10655</v>
      </c>
      <c r="F1667" s="272" t="s">
        <v>9198</v>
      </c>
      <c r="G1667" s="272" t="s">
        <v>9197</v>
      </c>
      <c r="H1667" s="265" t="s">
        <v>10980</v>
      </c>
      <c r="I1667" s="290" t="s">
        <v>10981</v>
      </c>
      <c r="J1667" s="265" t="s">
        <v>10655</v>
      </c>
      <c r="K1667" s="265" t="s">
        <v>10655</v>
      </c>
    </row>
    <row r="1668" spans="1:11" s="75" customFormat="1" ht="14.55" customHeight="1" x14ac:dyDescent="0.25">
      <c r="A1668" s="272" t="s">
        <v>8816</v>
      </c>
      <c r="B1668" s="272" t="s">
        <v>10591</v>
      </c>
      <c r="C1668" s="272" t="s">
        <v>10290</v>
      </c>
      <c r="D1668" s="259" t="s">
        <v>10291</v>
      </c>
      <c r="E1668" s="265" t="s">
        <v>10655</v>
      </c>
      <c r="F1668" s="272" t="s">
        <v>9198</v>
      </c>
      <c r="G1668" s="272" t="s">
        <v>9197</v>
      </c>
      <c r="H1668" s="265" t="s">
        <v>11002</v>
      </c>
      <c r="I1668" s="290" t="s">
        <v>11003</v>
      </c>
      <c r="J1668" s="265" t="s">
        <v>10655</v>
      </c>
      <c r="K1668" s="265" t="s">
        <v>10655</v>
      </c>
    </row>
    <row r="1669" spans="1:11" s="75" customFormat="1" ht="14.55" customHeight="1" x14ac:dyDescent="0.25">
      <c r="A1669" s="272" t="s">
        <v>8816</v>
      </c>
      <c r="B1669" s="272" t="s">
        <v>10591</v>
      </c>
      <c r="C1669" s="272" t="s">
        <v>10290</v>
      </c>
      <c r="D1669" s="259" t="s">
        <v>10291</v>
      </c>
      <c r="E1669" s="265" t="s">
        <v>10655</v>
      </c>
      <c r="F1669" s="272" t="s">
        <v>9198</v>
      </c>
      <c r="G1669" s="272" t="s">
        <v>9197</v>
      </c>
      <c r="H1669" s="265" t="s">
        <v>11000</v>
      </c>
      <c r="I1669" s="290" t="s">
        <v>11001</v>
      </c>
      <c r="J1669" s="265" t="s">
        <v>10655</v>
      </c>
      <c r="K1669" s="265" t="s">
        <v>10655</v>
      </c>
    </row>
    <row r="1670" spans="1:11" s="75" customFormat="1" ht="14.55" customHeight="1" x14ac:dyDescent="0.25">
      <c r="A1670" s="272" t="s">
        <v>8816</v>
      </c>
      <c r="B1670" s="272" t="s">
        <v>10591</v>
      </c>
      <c r="C1670" s="272" t="s">
        <v>10292</v>
      </c>
      <c r="D1670" s="259" t="s">
        <v>10293</v>
      </c>
      <c r="E1670" s="265" t="s">
        <v>10655</v>
      </c>
      <c r="F1670" s="272" t="s">
        <v>9198</v>
      </c>
      <c r="G1670" s="272" t="s">
        <v>9197</v>
      </c>
      <c r="H1670" s="265" t="s">
        <v>10976</v>
      </c>
      <c r="I1670" s="290" t="s">
        <v>10977</v>
      </c>
      <c r="J1670" s="265" t="s">
        <v>10655</v>
      </c>
      <c r="K1670" s="265" t="s">
        <v>10655</v>
      </c>
    </row>
    <row r="1671" spans="1:11" s="75" customFormat="1" ht="14.55" customHeight="1" x14ac:dyDescent="0.25">
      <c r="A1671" s="272" t="s">
        <v>8816</v>
      </c>
      <c r="B1671" s="272" t="s">
        <v>10591</v>
      </c>
      <c r="C1671" s="272" t="s">
        <v>10292</v>
      </c>
      <c r="D1671" s="259" t="s">
        <v>10293</v>
      </c>
      <c r="E1671" s="265" t="s">
        <v>10655</v>
      </c>
      <c r="F1671" s="272" t="s">
        <v>9198</v>
      </c>
      <c r="G1671" s="272" t="s">
        <v>9197</v>
      </c>
      <c r="H1671" s="265" t="s">
        <v>10980</v>
      </c>
      <c r="I1671" s="290" t="s">
        <v>10981</v>
      </c>
      <c r="J1671" s="265" t="s">
        <v>10655</v>
      </c>
      <c r="K1671" s="265" t="s">
        <v>10655</v>
      </c>
    </row>
    <row r="1672" spans="1:11" s="75" customFormat="1" ht="14.55" customHeight="1" x14ac:dyDescent="0.25">
      <c r="A1672" s="272" t="s">
        <v>8816</v>
      </c>
      <c r="B1672" s="272" t="s">
        <v>10591</v>
      </c>
      <c r="C1672" s="272" t="s">
        <v>10292</v>
      </c>
      <c r="D1672" s="259" t="s">
        <v>10293</v>
      </c>
      <c r="E1672" s="265" t="s">
        <v>10655</v>
      </c>
      <c r="F1672" s="272" t="s">
        <v>9198</v>
      </c>
      <c r="G1672" s="272" t="s">
        <v>9197</v>
      </c>
      <c r="H1672" s="265" t="s">
        <v>11002</v>
      </c>
      <c r="I1672" s="290" t="s">
        <v>11003</v>
      </c>
      <c r="J1672" s="265" t="s">
        <v>10655</v>
      </c>
      <c r="K1672" s="265" t="s">
        <v>10655</v>
      </c>
    </row>
    <row r="1673" spans="1:11" s="75" customFormat="1" ht="14.55" customHeight="1" x14ac:dyDescent="0.25">
      <c r="A1673" s="272" t="s">
        <v>8816</v>
      </c>
      <c r="B1673" s="272" t="s">
        <v>10591</v>
      </c>
      <c r="C1673" s="272" t="s">
        <v>10292</v>
      </c>
      <c r="D1673" s="259" t="s">
        <v>10293</v>
      </c>
      <c r="E1673" s="265" t="s">
        <v>10655</v>
      </c>
      <c r="F1673" s="272" t="s">
        <v>9198</v>
      </c>
      <c r="G1673" s="272" t="s">
        <v>9197</v>
      </c>
      <c r="H1673" s="265" t="s">
        <v>11000</v>
      </c>
      <c r="I1673" s="290" t="s">
        <v>11001</v>
      </c>
      <c r="J1673" s="265" t="s">
        <v>10655</v>
      </c>
      <c r="K1673" s="265" t="s">
        <v>10655</v>
      </c>
    </row>
    <row r="1674" spans="1:11" s="75" customFormat="1" ht="14.55" customHeight="1" x14ac:dyDescent="0.25">
      <c r="A1674" s="272" t="s">
        <v>8816</v>
      </c>
      <c r="B1674" s="272" t="s">
        <v>10591</v>
      </c>
      <c r="C1674" s="272" t="s">
        <v>10294</v>
      </c>
      <c r="D1674" s="259" t="s">
        <v>10295</v>
      </c>
      <c r="E1674" s="265" t="s">
        <v>10655</v>
      </c>
      <c r="F1674" s="272" t="s">
        <v>9198</v>
      </c>
      <c r="G1674" s="272" t="s">
        <v>9197</v>
      </c>
      <c r="H1674" s="265" t="s">
        <v>10976</v>
      </c>
      <c r="I1674" s="290" t="s">
        <v>10977</v>
      </c>
      <c r="J1674" s="265" t="s">
        <v>10655</v>
      </c>
      <c r="K1674" s="265" t="s">
        <v>10655</v>
      </c>
    </row>
    <row r="1675" spans="1:11" s="75" customFormat="1" ht="14.55" customHeight="1" x14ac:dyDescent="0.25">
      <c r="A1675" s="272" t="s">
        <v>8816</v>
      </c>
      <c r="B1675" s="272" t="s">
        <v>10591</v>
      </c>
      <c r="C1675" s="272" t="s">
        <v>10294</v>
      </c>
      <c r="D1675" s="259" t="s">
        <v>10295</v>
      </c>
      <c r="E1675" s="265" t="s">
        <v>10655</v>
      </c>
      <c r="F1675" s="272" t="s">
        <v>9198</v>
      </c>
      <c r="G1675" s="272" t="s">
        <v>9197</v>
      </c>
      <c r="H1675" s="265" t="s">
        <v>10980</v>
      </c>
      <c r="I1675" s="290" t="s">
        <v>10981</v>
      </c>
      <c r="J1675" s="265" t="s">
        <v>10655</v>
      </c>
      <c r="K1675" s="265" t="s">
        <v>10655</v>
      </c>
    </row>
    <row r="1676" spans="1:11" s="75" customFormat="1" ht="14.55" customHeight="1" x14ac:dyDescent="0.25">
      <c r="A1676" s="272" t="s">
        <v>8816</v>
      </c>
      <c r="B1676" s="272" t="s">
        <v>10591</v>
      </c>
      <c r="C1676" s="272" t="s">
        <v>10294</v>
      </c>
      <c r="D1676" s="259" t="s">
        <v>10295</v>
      </c>
      <c r="E1676" s="265" t="s">
        <v>10655</v>
      </c>
      <c r="F1676" s="272" t="s">
        <v>9198</v>
      </c>
      <c r="G1676" s="272" t="s">
        <v>9197</v>
      </c>
      <c r="H1676" s="265" t="s">
        <v>10982</v>
      </c>
      <c r="I1676" s="290" t="s">
        <v>10983</v>
      </c>
      <c r="J1676" s="265" t="s">
        <v>10655</v>
      </c>
      <c r="K1676" s="265" t="s">
        <v>10655</v>
      </c>
    </row>
    <row r="1677" spans="1:11" s="75" customFormat="1" ht="14.55" customHeight="1" x14ac:dyDescent="0.25">
      <c r="A1677" s="272" t="s">
        <v>8816</v>
      </c>
      <c r="B1677" s="272" t="s">
        <v>10591</v>
      </c>
      <c r="C1677" s="272" t="s">
        <v>10294</v>
      </c>
      <c r="D1677" s="259" t="s">
        <v>10295</v>
      </c>
      <c r="E1677" s="265" t="s">
        <v>10655</v>
      </c>
      <c r="F1677" s="272" t="s">
        <v>9198</v>
      </c>
      <c r="G1677" s="272" t="s">
        <v>9197</v>
      </c>
      <c r="H1677" s="265" t="s">
        <v>11002</v>
      </c>
      <c r="I1677" s="290" t="s">
        <v>11003</v>
      </c>
      <c r="J1677" s="265" t="s">
        <v>10655</v>
      </c>
      <c r="K1677" s="265" t="s">
        <v>10655</v>
      </c>
    </row>
    <row r="1678" spans="1:11" s="75" customFormat="1" ht="14.55" customHeight="1" x14ac:dyDescent="0.25">
      <c r="A1678" s="272" t="s">
        <v>8816</v>
      </c>
      <c r="B1678" s="272" t="s">
        <v>10591</v>
      </c>
      <c r="C1678" s="272" t="s">
        <v>10294</v>
      </c>
      <c r="D1678" s="259" t="s">
        <v>10295</v>
      </c>
      <c r="E1678" s="265" t="s">
        <v>10655</v>
      </c>
      <c r="F1678" s="272" t="s">
        <v>9198</v>
      </c>
      <c r="G1678" s="272" t="s">
        <v>9197</v>
      </c>
      <c r="H1678" s="265" t="s">
        <v>11000</v>
      </c>
      <c r="I1678" s="290" t="s">
        <v>11001</v>
      </c>
      <c r="J1678" s="265" t="s">
        <v>10655</v>
      </c>
      <c r="K1678" s="265" t="s">
        <v>10655</v>
      </c>
    </row>
    <row r="1679" spans="1:11" s="75" customFormat="1" ht="14.55" customHeight="1" x14ac:dyDescent="0.25">
      <c r="A1679" s="272" t="s">
        <v>8816</v>
      </c>
      <c r="B1679" s="272" t="s">
        <v>10591</v>
      </c>
      <c r="C1679" s="272" t="s">
        <v>10296</v>
      </c>
      <c r="D1679" s="259" t="s">
        <v>10297</v>
      </c>
      <c r="E1679" s="265" t="s">
        <v>10655</v>
      </c>
      <c r="F1679" s="272" t="s">
        <v>9198</v>
      </c>
      <c r="G1679" s="272" t="s">
        <v>9197</v>
      </c>
      <c r="H1679" s="265" t="s">
        <v>10976</v>
      </c>
      <c r="I1679" s="290" t="s">
        <v>10977</v>
      </c>
      <c r="J1679" s="265" t="s">
        <v>10655</v>
      </c>
      <c r="K1679" s="265" t="s">
        <v>10655</v>
      </c>
    </row>
    <row r="1680" spans="1:11" s="75" customFormat="1" ht="14.55" customHeight="1" x14ac:dyDescent="0.25">
      <c r="A1680" s="272" t="s">
        <v>8816</v>
      </c>
      <c r="B1680" s="272" t="s">
        <v>10591</v>
      </c>
      <c r="C1680" s="272" t="s">
        <v>10296</v>
      </c>
      <c r="D1680" s="259" t="s">
        <v>10297</v>
      </c>
      <c r="E1680" s="265" t="s">
        <v>10655</v>
      </c>
      <c r="F1680" s="272" t="s">
        <v>9198</v>
      </c>
      <c r="G1680" s="272" t="s">
        <v>9197</v>
      </c>
      <c r="H1680" s="265" t="s">
        <v>10980</v>
      </c>
      <c r="I1680" s="290" t="s">
        <v>10981</v>
      </c>
      <c r="J1680" s="265" t="s">
        <v>10655</v>
      </c>
      <c r="K1680" s="265" t="s">
        <v>10655</v>
      </c>
    </row>
    <row r="1681" spans="1:11" s="75" customFormat="1" ht="14.55" customHeight="1" x14ac:dyDescent="0.25">
      <c r="A1681" s="272" t="s">
        <v>8816</v>
      </c>
      <c r="B1681" s="272" t="s">
        <v>10591</v>
      </c>
      <c r="C1681" s="272" t="s">
        <v>10296</v>
      </c>
      <c r="D1681" s="259" t="s">
        <v>10297</v>
      </c>
      <c r="E1681" s="265" t="s">
        <v>10655</v>
      </c>
      <c r="F1681" s="272" t="s">
        <v>9198</v>
      </c>
      <c r="G1681" s="272" t="s">
        <v>9197</v>
      </c>
      <c r="H1681" s="265" t="s">
        <v>11002</v>
      </c>
      <c r="I1681" s="290" t="s">
        <v>11003</v>
      </c>
      <c r="J1681" s="265" t="s">
        <v>10655</v>
      </c>
      <c r="K1681" s="265" t="s">
        <v>10655</v>
      </c>
    </row>
    <row r="1682" spans="1:11" s="75" customFormat="1" ht="14.55" customHeight="1" x14ac:dyDescent="0.25">
      <c r="A1682" s="272" t="s">
        <v>8816</v>
      </c>
      <c r="B1682" s="272" t="s">
        <v>10591</v>
      </c>
      <c r="C1682" s="272" t="s">
        <v>10296</v>
      </c>
      <c r="D1682" s="259" t="s">
        <v>10297</v>
      </c>
      <c r="E1682" s="265" t="s">
        <v>10655</v>
      </c>
      <c r="F1682" s="272" t="s">
        <v>9198</v>
      </c>
      <c r="G1682" s="272" t="s">
        <v>9197</v>
      </c>
      <c r="H1682" s="265" t="s">
        <v>10992</v>
      </c>
      <c r="I1682" s="290" t="s">
        <v>10993</v>
      </c>
      <c r="J1682" s="265" t="s">
        <v>10655</v>
      </c>
      <c r="K1682" s="265" t="s">
        <v>10655</v>
      </c>
    </row>
    <row r="1683" spans="1:11" s="75" customFormat="1" ht="14.55" customHeight="1" x14ac:dyDescent="0.25">
      <c r="A1683" s="272" t="s">
        <v>8816</v>
      </c>
      <c r="B1683" s="272" t="s">
        <v>10591</v>
      </c>
      <c r="C1683" s="272" t="s">
        <v>10296</v>
      </c>
      <c r="D1683" s="259" t="s">
        <v>10297</v>
      </c>
      <c r="E1683" s="265" t="s">
        <v>10655</v>
      </c>
      <c r="F1683" s="272" t="s">
        <v>9198</v>
      </c>
      <c r="G1683" s="272" t="s">
        <v>9197</v>
      </c>
      <c r="H1683" s="265" t="s">
        <v>11000</v>
      </c>
      <c r="I1683" s="290" t="s">
        <v>11001</v>
      </c>
      <c r="J1683" s="265" t="s">
        <v>10655</v>
      </c>
      <c r="K1683" s="265" t="s">
        <v>10655</v>
      </c>
    </row>
    <row r="1684" spans="1:11" s="75" customFormat="1" ht="14.55" customHeight="1" x14ac:dyDescent="0.25">
      <c r="A1684" s="272" t="s">
        <v>8816</v>
      </c>
      <c r="B1684" s="272" t="s">
        <v>10591</v>
      </c>
      <c r="C1684" s="272" t="s">
        <v>10298</v>
      </c>
      <c r="D1684" s="259" t="s">
        <v>10299</v>
      </c>
      <c r="E1684" s="265" t="s">
        <v>10655</v>
      </c>
      <c r="F1684" s="272" t="s">
        <v>9198</v>
      </c>
      <c r="G1684" s="272" t="s">
        <v>9197</v>
      </c>
      <c r="H1684" s="265" t="s">
        <v>10906</v>
      </c>
      <c r="I1684" s="290" t="s">
        <v>10907</v>
      </c>
      <c r="J1684" s="265" t="s">
        <v>10655</v>
      </c>
      <c r="K1684" s="265" t="s">
        <v>10655</v>
      </c>
    </row>
    <row r="1685" spans="1:11" s="75" customFormat="1" ht="14.55" customHeight="1" x14ac:dyDescent="0.25">
      <c r="A1685" s="272" t="s">
        <v>8816</v>
      </c>
      <c r="B1685" s="272" t="s">
        <v>10591</v>
      </c>
      <c r="C1685" s="272" t="s">
        <v>10298</v>
      </c>
      <c r="D1685" s="259" t="s">
        <v>10299</v>
      </c>
      <c r="E1685" s="265" t="s">
        <v>10655</v>
      </c>
      <c r="F1685" s="272" t="s">
        <v>9198</v>
      </c>
      <c r="G1685" s="272" t="s">
        <v>9197</v>
      </c>
      <c r="H1685" s="265" t="s">
        <v>10976</v>
      </c>
      <c r="I1685" s="290" t="s">
        <v>10977</v>
      </c>
      <c r="J1685" s="265" t="s">
        <v>10655</v>
      </c>
      <c r="K1685" s="265" t="s">
        <v>10655</v>
      </c>
    </row>
    <row r="1686" spans="1:11" s="75" customFormat="1" ht="14.55" customHeight="1" x14ac:dyDescent="0.25">
      <c r="A1686" s="272" t="s">
        <v>8816</v>
      </c>
      <c r="B1686" s="272" t="s">
        <v>10591</v>
      </c>
      <c r="C1686" s="272" t="s">
        <v>10298</v>
      </c>
      <c r="D1686" s="259" t="s">
        <v>10299</v>
      </c>
      <c r="E1686" s="265" t="s">
        <v>10655</v>
      </c>
      <c r="F1686" s="272" t="s">
        <v>9198</v>
      </c>
      <c r="G1686" s="272" t="s">
        <v>9197</v>
      </c>
      <c r="H1686" s="265" t="s">
        <v>11002</v>
      </c>
      <c r="I1686" s="290" t="s">
        <v>11003</v>
      </c>
      <c r="J1686" s="265" t="s">
        <v>10655</v>
      </c>
      <c r="K1686" s="265" t="s">
        <v>10655</v>
      </c>
    </row>
    <row r="1687" spans="1:11" s="75" customFormat="1" ht="14.55" customHeight="1" x14ac:dyDescent="0.25">
      <c r="A1687" s="272" t="s">
        <v>8816</v>
      </c>
      <c r="B1687" s="272" t="s">
        <v>10591</v>
      </c>
      <c r="C1687" s="272" t="s">
        <v>10298</v>
      </c>
      <c r="D1687" s="259" t="s">
        <v>10299</v>
      </c>
      <c r="E1687" s="265" t="s">
        <v>10655</v>
      </c>
      <c r="F1687" s="272" t="s">
        <v>9198</v>
      </c>
      <c r="G1687" s="272" t="s">
        <v>9197</v>
      </c>
      <c r="H1687" s="265" t="s">
        <v>10992</v>
      </c>
      <c r="I1687" s="290" t="s">
        <v>10993</v>
      </c>
      <c r="J1687" s="265" t="s">
        <v>10655</v>
      </c>
      <c r="K1687" s="265" t="s">
        <v>10655</v>
      </c>
    </row>
    <row r="1688" spans="1:11" s="75" customFormat="1" ht="14.55" customHeight="1" x14ac:dyDescent="0.25">
      <c r="A1688" s="272" t="s">
        <v>8816</v>
      </c>
      <c r="B1688" s="272" t="s">
        <v>10591</v>
      </c>
      <c r="C1688" s="272" t="s">
        <v>10298</v>
      </c>
      <c r="D1688" s="259" t="s">
        <v>10299</v>
      </c>
      <c r="E1688" s="265" t="s">
        <v>10655</v>
      </c>
      <c r="F1688" s="272" t="s">
        <v>9198</v>
      </c>
      <c r="G1688" s="272" t="s">
        <v>9197</v>
      </c>
      <c r="H1688" s="265" t="s">
        <v>10908</v>
      </c>
      <c r="I1688" s="290" t="s">
        <v>10909</v>
      </c>
      <c r="J1688" s="265" t="s">
        <v>10655</v>
      </c>
      <c r="K1688" s="265" t="s">
        <v>10655</v>
      </c>
    </row>
    <row r="1689" spans="1:11" s="75" customFormat="1" ht="14.55" customHeight="1" x14ac:dyDescent="0.25">
      <c r="A1689" s="272" t="s">
        <v>8816</v>
      </c>
      <c r="B1689" s="272" t="s">
        <v>10591</v>
      </c>
      <c r="C1689" s="272" t="s">
        <v>10298</v>
      </c>
      <c r="D1689" s="259" t="s">
        <v>10299</v>
      </c>
      <c r="E1689" s="265" t="s">
        <v>10655</v>
      </c>
      <c r="F1689" s="272" t="s">
        <v>9198</v>
      </c>
      <c r="G1689" s="272" t="s">
        <v>9197</v>
      </c>
      <c r="H1689" s="265" t="s">
        <v>11000</v>
      </c>
      <c r="I1689" s="290" t="s">
        <v>11001</v>
      </c>
      <c r="J1689" s="265" t="s">
        <v>10655</v>
      </c>
      <c r="K1689" s="265" t="s">
        <v>10655</v>
      </c>
    </row>
    <row r="1690" spans="1:11" s="75" customFormat="1" ht="14.55" customHeight="1" x14ac:dyDescent="0.25">
      <c r="A1690" s="272" t="s">
        <v>8816</v>
      </c>
      <c r="B1690" s="272" t="s">
        <v>10591</v>
      </c>
      <c r="C1690" s="272" t="s">
        <v>10300</v>
      </c>
      <c r="D1690" s="259" t="s">
        <v>10301</v>
      </c>
      <c r="E1690" s="265" t="s">
        <v>10655</v>
      </c>
      <c r="F1690" s="272" t="s">
        <v>9198</v>
      </c>
      <c r="G1690" s="272" t="s">
        <v>9197</v>
      </c>
      <c r="H1690" s="265" t="s">
        <v>10978</v>
      </c>
      <c r="I1690" s="290" t="s">
        <v>10979</v>
      </c>
      <c r="J1690" s="265" t="s">
        <v>10655</v>
      </c>
      <c r="K1690" s="265" t="s">
        <v>10655</v>
      </c>
    </row>
    <row r="1691" spans="1:11" s="75" customFormat="1" ht="14.55" customHeight="1" x14ac:dyDescent="0.25">
      <c r="A1691" s="272" t="s">
        <v>8816</v>
      </c>
      <c r="B1691" s="272" t="s">
        <v>10591</v>
      </c>
      <c r="C1691" s="272" t="s">
        <v>10300</v>
      </c>
      <c r="D1691" s="259" t="s">
        <v>10301</v>
      </c>
      <c r="E1691" s="265" t="s">
        <v>10655</v>
      </c>
      <c r="F1691" s="272" t="s">
        <v>9198</v>
      </c>
      <c r="G1691" s="272" t="s">
        <v>9197</v>
      </c>
      <c r="H1691" s="265" t="s">
        <v>10980</v>
      </c>
      <c r="I1691" s="290" t="s">
        <v>10981</v>
      </c>
      <c r="J1691" s="265" t="s">
        <v>10655</v>
      </c>
      <c r="K1691" s="265" t="s">
        <v>10655</v>
      </c>
    </row>
    <row r="1692" spans="1:11" s="75" customFormat="1" ht="14.55" customHeight="1" x14ac:dyDescent="0.25">
      <c r="A1692" s="272" t="s">
        <v>8816</v>
      </c>
      <c r="B1692" s="272" t="s">
        <v>10591</v>
      </c>
      <c r="C1692" s="272" t="s">
        <v>10300</v>
      </c>
      <c r="D1692" s="259" t="s">
        <v>10301</v>
      </c>
      <c r="E1692" s="265" t="s">
        <v>10655</v>
      </c>
      <c r="F1692" s="272" t="s">
        <v>9198</v>
      </c>
      <c r="G1692" s="272" t="s">
        <v>9197</v>
      </c>
      <c r="H1692" s="265" t="s">
        <v>10982</v>
      </c>
      <c r="I1692" s="290" t="s">
        <v>10983</v>
      </c>
      <c r="J1692" s="265" t="s">
        <v>10655</v>
      </c>
      <c r="K1692" s="265" t="s">
        <v>10655</v>
      </c>
    </row>
    <row r="1693" spans="1:11" s="75" customFormat="1" ht="14.55" customHeight="1" x14ac:dyDescent="0.25">
      <c r="A1693" s="272" t="s">
        <v>8816</v>
      </c>
      <c r="B1693" s="272" t="s">
        <v>10591</v>
      </c>
      <c r="C1693" s="272" t="s">
        <v>10300</v>
      </c>
      <c r="D1693" s="259" t="s">
        <v>10301</v>
      </c>
      <c r="E1693" s="265" t="s">
        <v>10655</v>
      </c>
      <c r="F1693" s="272" t="s">
        <v>9198</v>
      </c>
      <c r="G1693" s="272" t="s">
        <v>9197</v>
      </c>
      <c r="H1693" s="265" t="s">
        <v>11004</v>
      </c>
      <c r="I1693" s="290" t="s">
        <v>11005</v>
      </c>
      <c r="J1693" s="265" t="s">
        <v>10655</v>
      </c>
      <c r="K1693" s="265" t="s">
        <v>10655</v>
      </c>
    </row>
    <row r="1694" spans="1:11" s="75" customFormat="1" ht="14.55" customHeight="1" x14ac:dyDescent="0.25">
      <c r="A1694" s="272" t="s">
        <v>8816</v>
      </c>
      <c r="B1694" s="272" t="s">
        <v>10591</v>
      </c>
      <c r="C1694" s="272" t="s">
        <v>10300</v>
      </c>
      <c r="D1694" s="259" t="s">
        <v>10301</v>
      </c>
      <c r="E1694" s="265" t="s">
        <v>10655</v>
      </c>
      <c r="F1694" s="272" t="s">
        <v>9198</v>
      </c>
      <c r="G1694" s="272" t="s">
        <v>9197</v>
      </c>
      <c r="H1694" s="265" t="s">
        <v>10988</v>
      </c>
      <c r="I1694" s="290" t="s">
        <v>10989</v>
      </c>
      <c r="J1694" s="265" t="s">
        <v>10655</v>
      </c>
      <c r="K1694" s="265" t="s">
        <v>10655</v>
      </c>
    </row>
    <row r="1695" spans="1:11" s="75" customFormat="1" ht="14.55" customHeight="1" x14ac:dyDescent="0.25">
      <c r="A1695" s="272" t="s">
        <v>8816</v>
      </c>
      <c r="B1695" s="272" t="s">
        <v>10591</v>
      </c>
      <c r="C1695" s="272" t="s">
        <v>10300</v>
      </c>
      <c r="D1695" s="259" t="s">
        <v>10301</v>
      </c>
      <c r="E1695" s="265" t="s">
        <v>10655</v>
      </c>
      <c r="F1695" s="272" t="s">
        <v>9198</v>
      </c>
      <c r="G1695" s="272" t="s">
        <v>9197</v>
      </c>
      <c r="H1695" s="265" t="s">
        <v>11000</v>
      </c>
      <c r="I1695" s="290" t="s">
        <v>11001</v>
      </c>
      <c r="J1695" s="265" t="s">
        <v>10655</v>
      </c>
      <c r="K1695" s="265" t="s">
        <v>10655</v>
      </c>
    </row>
    <row r="1696" spans="1:11" s="75" customFormat="1" ht="14.55" customHeight="1" x14ac:dyDescent="0.25">
      <c r="A1696" s="272" t="s">
        <v>8816</v>
      </c>
      <c r="B1696" s="272" t="s">
        <v>10591</v>
      </c>
      <c r="C1696" s="272" t="s">
        <v>10302</v>
      </c>
      <c r="D1696" s="259" t="s">
        <v>10303</v>
      </c>
      <c r="E1696" s="265" t="s">
        <v>10655</v>
      </c>
      <c r="F1696" s="272" t="s">
        <v>9198</v>
      </c>
      <c r="G1696" s="272" t="s">
        <v>9198</v>
      </c>
      <c r="H1696" s="265" t="s">
        <v>10978</v>
      </c>
      <c r="I1696" s="290" t="s">
        <v>10979</v>
      </c>
      <c r="J1696" s="265" t="s">
        <v>10655</v>
      </c>
      <c r="K1696" s="265" t="s">
        <v>10655</v>
      </c>
    </row>
    <row r="1697" spans="1:11" s="75" customFormat="1" ht="14.55" customHeight="1" x14ac:dyDescent="0.25">
      <c r="A1697" s="272" t="s">
        <v>8816</v>
      </c>
      <c r="B1697" s="272" t="s">
        <v>10591</v>
      </c>
      <c r="C1697" s="272" t="s">
        <v>10302</v>
      </c>
      <c r="D1697" s="259" t="s">
        <v>10303</v>
      </c>
      <c r="E1697" s="265" t="s">
        <v>10655</v>
      </c>
      <c r="F1697" s="272" t="s">
        <v>9198</v>
      </c>
      <c r="G1697" s="272" t="s">
        <v>9198</v>
      </c>
      <c r="H1697" s="265" t="s">
        <v>10980</v>
      </c>
      <c r="I1697" s="290" t="s">
        <v>10981</v>
      </c>
      <c r="J1697" s="265" t="s">
        <v>10655</v>
      </c>
      <c r="K1697" s="265" t="s">
        <v>10655</v>
      </c>
    </row>
    <row r="1698" spans="1:11" s="75" customFormat="1" ht="14.55" customHeight="1" x14ac:dyDescent="0.25">
      <c r="A1698" s="272" t="s">
        <v>8816</v>
      </c>
      <c r="B1698" s="272" t="s">
        <v>10591</v>
      </c>
      <c r="C1698" s="272" t="s">
        <v>10302</v>
      </c>
      <c r="D1698" s="259" t="s">
        <v>10303</v>
      </c>
      <c r="E1698" s="265" t="s">
        <v>10655</v>
      </c>
      <c r="F1698" s="272" t="s">
        <v>9198</v>
      </c>
      <c r="G1698" s="272" t="s">
        <v>9198</v>
      </c>
      <c r="H1698" s="265" t="s">
        <v>10982</v>
      </c>
      <c r="I1698" s="290" t="s">
        <v>10983</v>
      </c>
      <c r="J1698" s="265" t="s">
        <v>10655</v>
      </c>
      <c r="K1698" s="265" t="s">
        <v>10655</v>
      </c>
    </row>
    <row r="1699" spans="1:11" s="75" customFormat="1" ht="14.55" customHeight="1" x14ac:dyDescent="0.25">
      <c r="A1699" s="272" t="s">
        <v>8816</v>
      </c>
      <c r="B1699" s="272" t="s">
        <v>10591</v>
      </c>
      <c r="C1699" s="272" t="s">
        <v>10302</v>
      </c>
      <c r="D1699" s="259" t="s">
        <v>10303</v>
      </c>
      <c r="E1699" s="265" t="s">
        <v>10655</v>
      </c>
      <c r="F1699" s="272" t="s">
        <v>9198</v>
      </c>
      <c r="G1699" s="272" t="s">
        <v>9198</v>
      </c>
      <c r="H1699" s="265" t="s">
        <v>11004</v>
      </c>
      <c r="I1699" s="290" t="s">
        <v>11005</v>
      </c>
      <c r="J1699" s="265" t="s">
        <v>10655</v>
      </c>
      <c r="K1699" s="265" t="s">
        <v>10655</v>
      </c>
    </row>
    <row r="1700" spans="1:11" s="75" customFormat="1" ht="14.55" customHeight="1" x14ac:dyDescent="0.25">
      <c r="A1700" s="272" t="s">
        <v>8816</v>
      </c>
      <c r="B1700" s="272" t="s">
        <v>10591</v>
      </c>
      <c r="C1700" s="272" t="s">
        <v>10302</v>
      </c>
      <c r="D1700" s="259" t="s">
        <v>10303</v>
      </c>
      <c r="E1700" s="265" t="s">
        <v>10655</v>
      </c>
      <c r="F1700" s="272" t="s">
        <v>9198</v>
      </c>
      <c r="G1700" s="272" t="s">
        <v>9198</v>
      </c>
      <c r="H1700" s="265" t="s">
        <v>10988</v>
      </c>
      <c r="I1700" s="290" t="s">
        <v>10989</v>
      </c>
      <c r="J1700" s="265" t="s">
        <v>10655</v>
      </c>
      <c r="K1700" s="265" t="s">
        <v>10655</v>
      </c>
    </row>
    <row r="1701" spans="1:11" s="75" customFormat="1" ht="14.55" customHeight="1" x14ac:dyDescent="0.25">
      <c r="A1701" s="272" t="s">
        <v>8816</v>
      </c>
      <c r="B1701" s="272" t="s">
        <v>10591</v>
      </c>
      <c r="C1701" s="272" t="s">
        <v>10302</v>
      </c>
      <c r="D1701" s="259" t="s">
        <v>10303</v>
      </c>
      <c r="E1701" s="265" t="s">
        <v>10655</v>
      </c>
      <c r="F1701" s="272" t="s">
        <v>9198</v>
      </c>
      <c r="G1701" s="272" t="s">
        <v>9198</v>
      </c>
      <c r="H1701" s="265" t="s">
        <v>11000</v>
      </c>
      <c r="I1701" s="290" t="s">
        <v>11001</v>
      </c>
      <c r="J1701" s="265" t="s">
        <v>10655</v>
      </c>
      <c r="K1701" s="265" t="s">
        <v>10655</v>
      </c>
    </row>
    <row r="1702" spans="1:11" s="75" customFormat="1" ht="14.55" customHeight="1" x14ac:dyDescent="0.25">
      <c r="A1702" s="272" t="s">
        <v>8816</v>
      </c>
      <c r="B1702" s="272" t="s">
        <v>10591</v>
      </c>
      <c r="C1702" s="272" t="s">
        <v>10304</v>
      </c>
      <c r="D1702" s="259" t="s">
        <v>10305</v>
      </c>
      <c r="E1702" s="265" t="s">
        <v>10655</v>
      </c>
      <c r="F1702" s="272" t="s">
        <v>9198</v>
      </c>
      <c r="G1702" s="272" t="s">
        <v>9197</v>
      </c>
      <c r="H1702" s="265" t="s">
        <v>10978</v>
      </c>
      <c r="I1702" s="290" t="s">
        <v>10979</v>
      </c>
      <c r="J1702" s="265" t="s">
        <v>10655</v>
      </c>
      <c r="K1702" s="265" t="s">
        <v>10655</v>
      </c>
    </row>
    <row r="1703" spans="1:11" s="75" customFormat="1" ht="14.55" customHeight="1" x14ac:dyDescent="0.25">
      <c r="A1703" s="272" t="s">
        <v>8816</v>
      </c>
      <c r="B1703" s="272" t="s">
        <v>10591</v>
      </c>
      <c r="C1703" s="272" t="s">
        <v>10304</v>
      </c>
      <c r="D1703" s="259" t="s">
        <v>10305</v>
      </c>
      <c r="E1703" s="265" t="s">
        <v>10655</v>
      </c>
      <c r="F1703" s="272" t="s">
        <v>9198</v>
      </c>
      <c r="G1703" s="272" t="s">
        <v>9197</v>
      </c>
      <c r="H1703" s="265" t="s">
        <v>10980</v>
      </c>
      <c r="I1703" s="290" t="s">
        <v>10981</v>
      </c>
      <c r="J1703" s="265" t="s">
        <v>10655</v>
      </c>
      <c r="K1703" s="265" t="s">
        <v>10655</v>
      </c>
    </row>
    <row r="1704" spans="1:11" s="75" customFormat="1" ht="14.55" customHeight="1" x14ac:dyDescent="0.25">
      <c r="A1704" s="272" t="s">
        <v>8816</v>
      </c>
      <c r="B1704" s="272" t="s">
        <v>10591</v>
      </c>
      <c r="C1704" s="272" t="s">
        <v>10304</v>
      </c>
      <c r="D1704" s="259" t="s">
        <v>10305</v>
      </c>
      <c r="E1704" s="265" t="s">
        <v>10655</v>
      </c>
      <c r="F1704" s="272" t="s">
        <v>9198</v>
      </c>
      <c r="G1704" s="272" t="s">
        <v>9197</v>
      </c>
      <c r="H1704" s="265" t="s">
        <v>10982</v>
      </c>
      <c r="I1704" s="290" t="s">
        <v>10983</v>
      </c>
      <c r="J1704" s="265" t="s">
        <v>10655</v>
      </c>
      <c r="K1704" s="265" t="s">
        <v>10655</v>
      </c>
    </row>
    <row r="1705" spans="1:11" s="75" customFormat="1" ht="14.55" customHeight="1" x14ac:dyDescent="0.25">
      <c r="A1705" s="272" t="s">
        <v>8816</v>
      </c>
      <c r="B1705" s="272" t="s">
        <v>10591</v>
      </c>
      <c r="C1705" s="272" t="s">
        <v>10304</v>
      </c>
      <c r="D1705" s="259" t="s">
        <v>10305</v>
      </c>
      <c r="E1705" s="265" t="s">
        <v>10655</v>
      </c>
      <c r="F1705" s="272" t="s">
        <v>9198</v>
      </c>
      <c r="G1705" s="272" t="s">
        <v>9197</v>
      </c>
      <c r="H1705" s="265" t="s">
        <v>11004</v>
      </c>
      <c r="I1705" s="290" t="s">
        <v>11005</v>
      </c>
      <c r="J1705" s="265" t="s">
        <v>10655</v>
      </c>
      <c r="K1705" s="265" t="s">
        <v>10655</v>
      </c>
    </row>
    <row r="1706" spans="1:11" s="75" customFormat="1" ht="14.55" customHeight="1" x14ac:dyDescent="0.25">
      <c r="A1706" s="272" t="s">
        <v>8816</v>
      </c>
      <c r="B1706" s="272" t="s">
        <v>10591</v>
      </c>
      <c r="C1706" s="272" t="s">
        <v>10304</v>
      </c>
      <c r="D1706" s="259" t="s">
        <v>10305</v>
      </c>
      <c r="E1706" s="265" t="s">
        <v>10655</v>
      </c>
      <c r="F1706" s="272" t="s">
        <v>9198</v>
      </c>
      <c r="G1706" s="272" t="s">
        <v>9197</v>
      </c>
      <c r="H1706" s="265" t="s">
        <v>10988</v>
      </c>
      <c r="I1706" s="290" t="s">
        <v>10989</v>
      </c>
      <c r="J1706" s="265" t="s">
        <v>10655</v>
      </c>
      <c r="K1706" s="265" t="s">
        <v>10655</v>
      </c>
    </row>
    <row r="1707" spans="1:11" s="75" customFormat="1" ht="14.55" customHeight="1" x14ac:dyDescent="0.25">
      <c r="A1707" s="272" t="s">
        <v>8816</v>
      </c>
      <c r="B1707" s="272" t="s">
        <v>10591</v>
      </c>
      <c r="C1707" s="272" t="s">
        <v>10304</v>
      </c>
      <c r="D1707" s="259" t="s">
        <v>10305</v>
      </c>
      <c r="E1707" s="265" t="s">
        <v>10655</v>
      </c>
      <c r="F1707" s="272" t="s">
        <v>9198</v>
      </c>
      <c r="G1707" s="272" t="s">
        <v>9197</v>
      </c>
      <c r="H1707" s="265" t="s">
        <v>11010</v>
      </c>
      <c r="I1707" s="290" t="s">
        <v>11011</v>
      </c>
      <c r="J1707" s="265" t="s">
        <v>10655</v>
      </c>
      <c r="K1707" s="265" t="s">
        <v>10655</v>
      </c>
    </row>
    <row r="1708" spans="1:11" s="75" customFormat="1" ht="14.55" customHeight="1" x14ac:dyDescent="0.25">
      <c r="A1708" s="272" t="s">
        <v>8816</v>
      </c>
      <c r="B1708" s="272" t="s">
        <v>10591</v>
      </c>
      <c r="C1708" s="272" t="s">
        <v>10304</v>
      </c>
      <c r="D1708" s="259" t="s">
        <v>10305</v>
      </c>
      <c r="E1708" s="265" t="s">
        <v>10655</v>
      </c>
      <c r="F1708" s="272" t="s">
        <v>9198</v>
      </c>
      <c r="G1708" s="272" t="s">
        <v>9197</v>
      </c>
      <c r="H1708" s="265" t="s">
        <v>11000</v>
      </c>
      <c r="I1708" s="290" t="s">
        <v>11001</v>
      </c>
      <c r="J1708" s="265" t="s">
        <v>10655</v>
      </c>
      <c r="K1708" s="265" t="s">
        <v>10655</v>
      </c>
    </row>
    <row r="1709" spans="1:11" s="75" customFormat="1" ht="14.55" customHeight="1" x14ac:dyDescent="0.25">
      <c r="A1709" s="272" t="s">
        <v>8816</v>
      </c>
      <c r="B1709" s="272" t="s">
        <v>10591</v>
      </c>
      <c r="C1709" s="272" t="s">
        <v>10306</v>
      </c>
      <c r="D1709" s="259" t="s">
        <v>10307</v>
      </c>
      <c r="E1709" s="265" t="s">
        <v>10655</v>
      </c>
      <c r="F1709" s="272" t="s">
        <v>9198</v>
      </c>
      <c r="G1709" s="272" t="s">
        <v>9197</v>
      </c>
      <c r="H1709" s="265" t="s">
        <v>10976</v>
      </c>
      <c r="I1709" s="290" t="s">
        <v>10977</v>
      </c>
      <c r="J1709" s="265" t="s">
        <v>10655</v>
      </c>
      <c r="K1709" s="265" t="s">
        <v>10655</v>
      </c>
    </row>
    <row r="1710" spans="1:11" s="75" customFormat="1" ht="14.55" customHeight="1" x14ac:dyDescent="0.25">
      <c r="A1710" s="272" t="s">
        <v>8816</v>
      </c>
      <c r="B1710" s="272" t="s">
        <v>10591</v>
      </c>
      <c r="C1710" s="272" t="s">
        <v>10306</v>
      </c>
      <c r="D1710" s="259" t="s">
        <v>10307</v>
      </c>
      <c r="E1710" s="265" t="s">
        <v>10655</v>
      </c>
      <c r="F1710" s="272" t="s">
        <v>9198</v>
      </c>
      <c r="G1710" s="272" t="s">
        <v>9197</v>
      </c>
      <c r="H1710" s="265" t="s">
        <v>10978</v>
      </c>
      <c r="I1710" s="290" t="s">
        <v>10979</v>
      </c>
      <c r="J1710" s="265" t="s">
        <v>10655</v>
      </c>
      <c r="K1710" s="265" t="s">
        <v>10655</v>
      </c>
    </row>
    <row r="1711" spans="1:11" s="75" customFormat="1" ht="14.55" customHeight="1" x14ac:dyDescent="0.25">
      <c r="A1711" s="272" t="s">
        <v>8816</v>
      </c>
      <c r="B1711" s="272" t="s">
        <v>10591</v>
      </c>
      <c r="C1711" s="272" t="s">
        <v>10306</v>
      </c>
      <c r="D1711" s="259" t="s">
        <v>10307</v>
      </c>
      <c r="E1711" s="265" t="s">
        <v>10655</v>
      </c>
      <c r="F1711" s="272" t="s">
        <v>9198</v>
      </c>
      <c r="G1711" s="272" t="s">
        <v>9197</v>
      </c>
      <c r="H1711" s="265" t="s">
        <v>10980</v>
      </c>
      <c r="I1711" s="290" t="s">
        <v>10981</v>
      </c>
      <c r="J1711" s="265" t="s">
        <v>10655</v>
      </c>
      <c r="K1711" s="265" t="s">
        <v>10655</v>
      </c>
    </row>
    <row r="1712" spans="1:11" s="75" customFormat="1" ht="14.55" customHeight="1" x14ac:dyDescent="0.25">
      <c r="A1712" s="272" t="s">
        <v>8816</v>
      </c>
      <c r="B1712" s="272" t="s">
        <v>10591</v>
      </c>
      <c r="C1712" s="272" t="s">
        <v>10306</v>
      </c>
      <c r="D1712" s="259" t="s">
        <v>10307</v>
      </c>
      <c r="E1712" s="265" t="s">
        <v>10655</v>
      </c>
      <c r="F1712" s="272" t="s">
        <v>9198</v>
      </c>
      <c r="G1712" s="272" t="s">
        <v>9197</v>
      </c>
      <c r="H1712" s="265" t="s">
        <v>10982</v>
      </c>
      <c r="I1712" s="290" t="s">
        <v>10983</v>
      </c>
      <c r="J1712" s="265" t="s">
        <v>10655</v>
      </c>
      <c r="K1712" s="265" t="s">
        <v>10655</v>
      </c>
    </row>
    <row r="1713" spans="1:11" s="75" customFormat="1" ht="14.55" customHeight="1" x14ac:dyDescent="0.25">
      <c r="A1713" s="272" t="s">
        <v>8816</v>
      </c>
      <c r="B1713" s="272" t="s">
        <v>10591</v>
      </c>
      <c r="C1713" s="272" t="s">
        <v>10306</v>
      </c>
      <c r="D1713" s="259" t="s">
        <v>10307</v>
      </c>
      <c r="E1713" s="265" t="s">
        <v>10655</v>
      </c>
      <c r="F1713" s="272" t="s">
        <v>9198</v>
      </c>
      <c r="G1713" s="272" t="s">
        <v>9197</v>
      </c>
      <c r="H1713" s="265" t="s">
        <v>10984</v>
      </c>
      <c r="I1713" s="290" t="s">
        <v>10985</v>
      </c>
      <c r="J1713" s="265" t="s">
        <v>10655</v>
      </c>
      <c r="K1713" s="265" t="s">
        <v>10655</v>
      </c>
    </row>
    <row r="1714" spans="1:11" s="75" customFormat="1" ht="14.55" customHeight="1" x14ac:dyDescent="0.25">
      <c r="A1714" s="272" t="s">
        <v>8816</v>
      </c>
      <c r="B1714" s="272" t="s">
        <v>10591</v>
      </c>
      <c r="C1714" s="272" t="s">
        <v>10306</v>
      </c>
      <c r="D1714" s="259" t="s">
        <v>10307</v>
      </c>
      <c r="E1714" s="265" t="s">
        <v>10655</v>
      </c>
      <c r="F1714" s="272" t="s">
        <v>9198</v>
      </c>
      <c r="G1714" s="272" t="s">
        <v>9197</v>
      </c>
      <c r="H1714" s="265" t="s">
        <v>10986</v>
      </c>
      <c r="I1714" s="290" t="s">
        <v>10987</v>
      </c>
      <c r="J1714" s="265" t="s">
        <v>10655</v>
      </c>
      <c r="K1714" s="265" t="s">
        <v>10655</v>
      </c>
    </row>
    <row r="1715" spans="1:11" s="75" customFormat="1" ht="14.55" customHeight="1" x14ac:dyDescent="0.25">
      <c r="A1715" s="272" t="s">
        <v>8816</v>
      </c>
      <c r="B1715" s="272" t="s">
        <v>10591</v>
      </c>
      <c r="C1715" s="272" t="s">
        <v>10306</v>
      </c>
      <c r="D1715" s="259" t="s">
        <v>10307</v>
      </c>
      <c r="E1715" s="265" t="s">
        <v>10655</v>
      </c>
      <c r="F1715" s="272" t="s">
        <v>9198</v>
      </c>
      <c r="G1715" s="272" t="s">
        <v>9197</v>
      </c>
      <c r="H1715" s="265" t="s">
        <v>10988</v>
      </c>
      <c r="I1715" s="290" t="s">
        <v>10989</v>
      </c>
      <c r="J1715" s="265" t="s">
        <v>10655</v>
      </c>
      <c r="K1715" s="265" t="s">
        <v>10655</v>
      </c>
    </row>
    <row r="1716" spans="1:11" s="75" customFormat="1" ht="14.55" customHeight="1" x14ac:dyDescent="0.25">
      <c r="A1716" s="272" t="s">
        <v>8816</v>
      </c>
      <c r="B1716" s="272" t="s">
        <v>10591</v>
      </c>
      <c r="C1716" s="272" t="s">
        <v>10306</v>
      </c>
      <c r="D1716" s="259" t="s">
        <v>10307</v>
      </c>
      <c r="E1716" s="265" t="s">
        <v>10655</v>
      </c>
      <c r="F1716" s="272" t="s">
        <v>9198</v>
      </c>
      <c r="G1716" s="272" t="s">
        <v>9197</v>
      </c>
      <c r="H1716" s="265" t="s">
        <v>10992</v>
      </c>
      <c r="I1716" s="290" t="s">
        <v>10993</v>
      </c>
      <c r="J1716" s="265" t="s">
        <v>10655</v>
      </c>
      <c r="K1716" s="265" t="s">
        <v>10655</v>
      </c>
    </row>
    <row r="1717" spans="1:11" s="75" customFormat="1" ht="14.55" customHeight="1" x14ac:dyDescent="0.25">
      <c r="A1717" s="272" t="s">
        <v>8816</v>
      </c>
      <c r="B1717" s="272" t="s">
        <v>10591</v>
      </c>
      <c r="C1717" s="272" t="s">
        <v>10306</v>
      </c>
      <c r="D1717" s="259" t="s">
        <v>10307</v>
      </c>
      <c r="E1717" s="265" t="s">
        <v>10655</v>
      </c>
      <c r="F1717" s="272" t="s">
        <v>9198</v>
      </c>
      <c r="G1717" s="272" t="s">
        <v>9197</v>
      </c>
      <c r="H1717" s="265" t="s">
        <v>10994</v>
      </c>
      <c r="I1717" s="290" t="s">
        <v>10995</v>
      </c>
      <c r="J1717" s="265" t="s">
        <v>10655</v>
      </c>
      <c r="K1717" s="265" t="s">
        <v>10655</v>
      </c>
    </row>
    <row r="1718" spans="1:11" s="75" customFormat="1" ht="14.55" customHeight="1" x14ac:dyDescent="0.25">
      <c r="A1718" s="272" t="s">
        <v>8816</v>
      </c>
      <c r="B1718" s="272" t="s">
        <v>10591</v>
      </c>
      <c r="C1718" s="272" t="s">
        <v>10306</v>
      </c>
      <c r="D1718" s="259" t="s">
        <v>10307</v>
      </c>
      <c r="E1718" s="265" t="s">
        <v>10655</v>
      </c>
      <c r="F1718" s="272" t="s">
        <v>9198</v>
      </c>
      <c r="G1718" s="272" t="s">
        <v>9197</v>
      </c>
      <c r="H1718" s="265" t="s">
        <v>10996</v>
      </c>
      <c r="I1718" s="290" t="s">
        <v>10997</v>
      </c>
      <c r="J1718" s="265" t="s">
        <v>10655</v>
      </c>
      <c r="K1718" s="265" t="s">
        <v>10655</v>
      </c>
    </row>
    <row r="1719" spans="1:11" s="75" customFormat="1" ht="14.55" customHeight="1" x14ac:dyDescent="0.25">
      <c r="A1719" s="272" t="s">
        <v>8816</v>
      </c>
      <c r="B1719" s="272" t="s">
        <v>10591</v>
      </c>
      <c r="C1719" s="272" t="s">
        <v>10306</v>
      </c>
      <c r="D1719" s="259" t="s">
        <v>10307</v>
      </c>
      <c r="E1719" s="265" t="s">
        <v>10655</v>
      </c>
      <c r="F1719" s="272" t="s">
        <v>9198</v>
      </c>
      <c r="G1719" s="272" t="s">
        <v>9197</v>
      </c>
      <c r="H1719" s="265" t="s">
        <v>11000</v>
      </c>
      <c r="I1719" s="290" t="s">
        <v>11001</v>
      </c>
      <c r="J1719" s="265" t="s">
        <v>10655</v>
      </c>
      <c r="K1719" s="265" t="s">
        <v>10655</v>
      </c>
    </row>
    <row r="1720" spans="1:11" s="75" customFormat="1" ht="14.55" customHeight="1" x14ac:dyDescent="0.25">
      <c r="A1720" s="272" t="s">
        <v>8816</v>
      </c>
      <c r="B1720" s="272" t="s">
        <v>10591</v>
      </c>
      <c r="C1720" s="272" t="s">
        <v>10308</v>
      </c>
      <c r="D1720" s="259" t="s">
        <v>10309</v>
      </c>
      <c r="E1720" s="265" t="s">
        <v>10655</v>
      </c>
      <c r="F1720" s="272" t="s">
        <v>9198</v>
      </c>
      <c r="G1720" s="272" t="s">
        <v>9197</v>
      </c>
      <c r="H1720" s="265" t="s">
        <v>10976</v>
      </c>
      <c r="I1720" s="290" t="s">
        <v>10977</v>
      </c>
      <c r="J1720" s="265" t="s">
        <v>10655</v>
      </c>
      <c r="K1720" s="265" t="s">
        <v>10655</v>
      </c>
    </row>
    <row r="1721" spans="1:11" s="75" customFormat="1" ht="14.55" customHeight="1" x14ac:dyDescent="0.25">
      <c r="A1721" s="272" t="s">
        <v>8816</v>
      </c>
      <c r="B1721" s="272" t="s">
        <v>10591</v>
      </c>
      <c r="C1721" s="272" t="s">
        <v>10308</v>
      </c>
      <c r="D1721" s="259" t="s">
        <v>10309</v>
      </c>
      <c r="E1721" s="265" t="s">
        <v>10655</v>
      </c>
      <c r="F1721" s="272" t="s">
        <v>9198</v>
      </c>
      <c r="G1721" s="272" t="s">
        <v>9197</v>
      </c>
      <c r="H1721" s="265" t="s">
        <v>10978</v>
      </c>
      <c r="I1721" s="290" t="s">
        <v>10979</v>
      </c>
      <c r="J1721" s="265" t="s">
        <v>10655</v>
      </c>
      <c r="K1721" s="265" t="s">
        <v>10655</v>
      </c>
    </row>
    <row r="1722" spans="1:11" s="75" customFormat="1" ht="14.55" customHeight="1" x14ac:dyDescent="0.25">
      <c r="A1722" s="272" t="s">
        <v>8816</v>
      </c>
      <c r="B1722" s="272" t="s">
        <v>10591</v>
      </c>
      <c r="C1722" s="272" t="s">
        <v>10308</v>
      </c>
      <c r="D1722" s="259" t="s">
        <v>10309</v>
      </c>
      <c r="E1722" s="265" t="s">
        <v>10655</v>
      </c>
      <c r="F1722" s="272" t="s">
        <v>9198</v>
      </c>
      <c r="G1722" s="272" t="s">
        <v>9197</v>
      </c>
      <c r="H1722" s="265" t="s">
        <v>10980</v>
      </c>
      <c r="I1722" s="290" t="s">
        <v>10981</v>
      </c>
      <c r="J1722" s="265" t="s">
        <v>10655</v>
      </c>
      <c r="K1722" s="265" t="s">
        <v>10655</v>
      </c>
    </row>
    <row r="1723" spans="1:11" s="75" customFormat="1" ht="14.55" customHeight="1" x14ac:dyDescent="0.25">
      <c r="A1723" s="272" t="s">
        <v>8816</v>
      </c>
      <c r="B1723" s="272" t="s">
        <v>10591</v>
      </c>
      <c r="C1723" s="272" t="s">
        <v>10308</v>
      </c>
      <c r="D1723" s="259" t="s">
        <v>10309</v>
      </c>
      <c r="E1723" s="265" t="s">
        <v>10655</v>
      </c>
      <c r="F1723" s="272" t="s">
        <v>9198</v>
      </c>
      <c r="G1723" s="272" t="s">
        <v>9197</v>
      </c>
      <c r="H1723" s="265" t="s">
        <v>10982</v>
      </c>
      <c r="I1723" s="290" t="s">
        <v>10983</v>
      </c>
      <c r="J1723" s="265" t="s">
        <v>10655</v>
      </c>
      <c r="K1723" s="265" t="s">
        <v>10655</v>
      </c>
    </row>
    <row r="1724" spans="1:11" s="75" customFormat="1" ht="14.55" customHeight="1" x14ac:dyDescent="0.25">
      <c r="A1724" s="272" t="s">
        <v>8816</v>
      </c>
      <c r="B1724" s="272" t="s">
        <v>10591</v>
      </c>
      <c r="C1724" s="272" t="s">
        <v>10308</v>
      </c>
      <c r="D1724" s="259" t="s">
        <v>10309</v>
      </c>
      <c r="E1724" s="265" t="s">
        <v>10655</v>
      </c>
      <c r="F1724" s="272" t="s">
        <v>9198</v>
      </c>
      <c r="G1724" s="272" t="s">
        <v>9197</v>
      </c>
      <c r="H1724" s="265" t="s">
        <v>10984</v>
      </c>
      <c r="I1724" s="290" t="s">
        <v>10985</v>
      </c>
      <c r="J1724" s="265" t="s">
        <v>10655</v>
      </c>
      <c r="K1724" s="265" t="s">
        <v>10655</v>
      </c>
    </row>
    <row r="1725" spans="1:11" s="75" customFormat="1" ht="14.55" customHeight="1" x14ac:dyDescent="0.25">
      <c r="A1725" s="272" t="s">
        <v>8816</v>
      </c>
      <c r="B1725" s="272" t="s">
        <v>10591</v>
      </c>
      <c r="C1725" s="272" t="s">
        <v>10308</v>
      </c>
      <c r="D1725" s="259" t="s">
        <v>10309</v>
      </c>
      <c r="E1725" s="265" t="s">
        <v>10655</v>
      </c>
      <c r="F1725" s="272" t="s">
        <v>9198</v>
      </c>
      <c r="G1725" s="272" t="s">
        <v>9197</v>
      </c>
      <c r="H1725" s="265" t="s">
        <v>10986</v>
      </c>
      <c r="I1725" s="290" t="s">
        <v>10987</v>
      </c>
      <c r="J1725" s="265" t="s">
        <v>10655</v>
      </c>
      <c r="K1725" s="265" t="s">
        <v>10655</v>
      </c>
    </row>
    <row r="1726" spans="1:11" s="75" customFormat="1" ht="14.55" customHeight="1" x14ac:dyDescent="0.25">
      <c r="A1726" s="272" t="s">
        <v>8816</v>
      </c>
      <c r="B1726" s="272" t="s">
        <v>10591</v>
      </c>
      <c r="C1726" s="272" t="s">
        <v>10308</v>
      </c>
      <c r="D1726" s="259" t="s">
        <v>10309</v>
      </c>
      <c r="E1726" s="265" t="s">
        <v>10655</v>
      </c>
      <c r="F1726" s="272" t="s">
        <v>9198</v>
      </c>
      <c r="G1726" s="272" t="s">
        <v>9197</v>
      </c>
      <c r="H1726" s="265" t="s">
        <v>10988</v>
      </c>
      <c r="I1726" s="290" t="s">
        <v>10989</v>
      </c>
      <c r="J1726" s="265" t="s">
        <v>10655</v>
      </c>
      <c r="K1726" s="265" t="s">
        <v>10655</v>
      </c>
    </row>
    <row r="1727" spans="1:11" s="75" customFormat="1" ht="14.55" customHeight="1" x14ac:dyDescent="0.25">
      <c r="A1727" s="272" t="s">
        <v>8816</v>
      </c>
      <c r="B1727" s="272" t="s">
        <v>10591</v>
      </c>
      <c r="C1727" s="272" t="s">
        <v>10308</v>
      </c>
      <c r="D1727" s="259" t="s">
        <v>10309</v>
      </c>
      <c r="E1727" s="265" t="s">
        <v>10655</v>
      </c>
      <c r="F1727" s="272" t="s">
        <v>9198</v>
      </c>
      <c r="G1727" s="272" t="s">
        <v>9197</v>
      </c>
      <c r="H1727" s="265" t="s">
        <v>10992</v>
      </c>
      <c r="I1727" s="290" t="s">
        <v>10993</v>
      </c>
      <c r="J1727" s="265" t="s">
        <v>10655</v>
      </c>
      <c r="K1727" s="265" t="s">
        <v>10655</v>
      </c>
    </row>
    <row r="1728" spans="1:11" s="75" customFormat="1" ht="14.55" customHeight="1" x14ac:dyDescent="0.25">
      <c r="A1728" s="272" t="s">
        <v>8816</v>
      </c>
      <c r="B1728" s="272" t="s">
        <v>10591</v>
      </c>
      <c r="C1728" s="272" t="s">
        <v>10308</v>
      </c>
      <c r="D1728" s="259" t="s">
        <v>10309</v>
      </c>
      <c r="E1728" s="265" t="s">
        <v>10655</v>
      </c>
      <c r="F1728" s="272" t="s">
        <v>9198</v>
      </c>
      <c r="G1728" s="272" t="s">
        <v>9197</v>
      </c>
      <c r="H1728" s="265" t="s">
        <v>10994</v>
      </c>
      <c r="I1728" s="290" t="s">
        <v>10995</v>
      </c>
      <c r="J1728" s="265" t="s">
        <v>10655</v>
      </c>
      <c r="K1728" s="265" t="s">
        <v>10655</v>
      </c>
    </row>
    <row r="1729" spans="1:11" s="75" customFormat="1" ht="14.55" customHeight="1" x14ac:dyDescent="0.25">
      <c r="A1729" s="272" t="s">
        <v>8816</v>
      </c>
      <c r="B1729" s="272" t="s">
        <v>10591</v>
      </c>
      <c r="C1729" s="272" t="s">
        <v>10308</v>
      </c>
      <c r="D1729" s="259" t="s">
        <v>10309</v>
      </c>
      <c r="E1729" s="265" t="s">
        <v>10655</v>
      </c>
      <c r="F1729" s="272" t="s">
        <v>9198</v>
      </c>
      <c r="G1729" s="272" t="s">
        <v>9197</v>
      </c>
      <c r="H1729" s="265" t="s">
        <v>10996</v>
      </c>
      <c r="I1729" s="290" t="s">
        <v>10997</v>
      </c>
      <c r="J1729" s="265" t="s">
        <v>10655</v>
      </c>
      <c r="K1729" s="265" t="s">
        <v>10655</v>
      </c>
    </row>
    <row r="1730" spans="1:11" s="75" customFormat="1" ht="14.55" customHeight="1" x14ac:dyDescent="0.25">
      <c r="A1730" s="272" t="s">
        <v>8816</v>
      </c>
      <c r="B1730" s="272" t="s">
        <v>10591</v>
      </c>
      <c r="C1730" s="272" t="s">
        <v>10308</v>
      </c>
      <c r="D1730" s="259" t="s">
        <v>10309</v>
      </c>
      <c r="E1730" s="265" t="s">
        <v>10655</v>
      </c>
      <c r="F1730" s="272" t="s">
        <v>9198</v>
      </c>
      <c r="G1730" s="272" t="s">
        <v>9197</v>
      </c>
      <c r="H1730" s="265" t="s">
        <v>11000</v>
      </c>
      <c r="I1730" s="290" t="s">
        <v>11001</v>
      </c>
      <c r="J1730" s="265" t="s">
        <v>10655</v>
      </c>
      <c r="K1730" s="265" t="s">
        <v>10655</v>
      </c>
    </row>
    <row r="1731" spans="1:11" s="75" customFormat="1" ht="14.55" customHeight="1" x14ac:dyDescent="0.25">
      <c r="A1731" s="272" t="s">
        <v>8816</v>
      </c>
      <c r="B1731" s="272" t="s">
        <v>10591</v>
      </c>
      <c r="C1731" s="272" t="s">
        <v>10310</v>
      </c>
      <c r="D1731" s="259" t="s">
        <v>10311</v>
      </c>
      <c r="E1731" s="265" t="s">
        <v>10655</v>
      </c>
      <c r="F1731" s="272" t="s">
        <v>9198</v>
      </c>
      <c r="G1731" s="272" t="s">
        <v>9197</v>
      </c>
      <c r="H1731" s="265" t="s">
        <v>10978</v>
      </c>
      <c r="I1731" s="290" t="s">
        <v>10979</v>
      </c>
      <c r="J1731" s="265" t="s">
        <v>10655</v>
      </c>
      <c r="K1731" s="265" t="s">
        <v>10655</v>
      </c>
    </row>
    <row r="1732" spans="1:11" s="75" customFormat="1" ht="14.55" customHeight="1" x14ac:dyDescent="0.25">
      <c r="A1732" s="272" t="s">
        <v>8816</v>
      </c>
      <c r="B1732" s="272" t="s">
        <v>10591</v>
      </c>
      <c r="C1732" s="272" t="s">
        <v>10310</v>
      </c>
      <c r="D1732" s="259" t="s">
        <v>10311</v>
      </c>
      <c r="E1732" s="265" t="s">
        <v>10655</v>
      </c>
      <c r="F1732" s="272" t="s">
        <v>9198</v>
      </c>
      <c r="G1732" s="272" t="s">
        <v>9197</v>
      </c>
      <c r="H1732" s="265" t="s">
        <v>11004</v>
      </c>
      <c r="I1732" s="290" t="s">
        <v>11005</v>
      </c>
      <c r="J1732" s="265" t="s">
        <v>10655</v>
      </c>
      <c r="K1732" s="265" t="s">
        <v>10655</v>
      </c>
    </row>
    <row r="1733" spans="1:11" s="75" customFormat="1" ht="14.55" customHeight="1" x14ac:dyDescent="0.25">
      <c r="A1733" s="272" t="s">
        <v>8816</v>
      </c>
      <c r="B1733" s="272" t="s">
        <v>10591</v>
      </c>
      <c r="C1733" s="272" t="s">
        <v>10310</v>
      </c>
      <c r="D1733" s="259" t="s">
        <v>10311</v>
      </c>
      <c r="E1733" s="265" t="s">
        <v>10655</v>
      </c>
      <c r="F1733" s="272" t="s">
        <v>9198</v>
      </c>
      <c r="G1733" s="272" t="s">
        <v>9197</v>
      </c>
      <c r="H1733" s="265" t="s">
        <v>11010</v>
      </c>
      <c r="I1733" s="290" t="s">
        <v>11011</v>
      </c>
      <c r="J1733" s="265" t="s">
        <v>10655</v>
      </c>
      <c r="K1733" s="265" t="s">
        <v>10655</v>
      </c>
    </row>
    <row r="1734" spans="1:11" s="75" customFormat="1" ht="14.55" customHeight="1" x14ac:dyDescent="0.25">
      <c r="A1734" s="272" t="s">
        <v>8816</v>
      </c>
      <c r="B1734" s="272" t="s">
        <v>10591</v>
      </c>
      <c r="C1734" s="272" t="s">
        <v>10310</v>
      </c>
      <c r="D1734" s="259" t="s">
        <v>10311</v>
      </c>
      <c r="E1734" s="265" t="s">
        <v>10655</v>
      </c>
      <c r="F1734" s="272" t="s">
        <v>9198</v>
      </c>
      <c r="G1734" s="272" t="s">
        <v>9197</v>
      </c>
      <c r="H1734" s="265" t="s">
        <v>11000</v>
      </c>
      <c r="I1734" s="290" t="s">
        <v>11001</v>
      </c>
      <c r="J1734" s="265" t="s">
        <v>10655</v>
      </c>
      <c r="K1734" s="265" t="s">
        <v>10655</v>
      </c>
    </row>
    <row r="1735" spans="1:11" s="75" customFormat="1" ht="14.55" customHeight="1" x14ac:dyDescent="0.25">
      <c r="A1735" s="272" t="s">
        <v>8816</v>
      </c>
      <c r="B1735" s="272" t="s">
        <v>10591</v>
      </c>
      <c r="C1735" s="272" t="s">
        <v>10312</v>
      </c>
      <c r="D1735" s="259" t="s">
        <v>10313</v>
      </c>
      <c r="E1735" s="265" t="s">
        <v>10655</v>
      </c>
      <c r="F1735" s="272" t="s">
        <v>9198</v>
      </c>
      <c r="G1735" s="272" t="s">
        <v>9198</v>
      </c>
      <c r="H1735" s="265" t="s">
        <v>10978</v>
      </c>
      <c r="I1735" s="290" t="s">
        <v>10979</v>
      </c>
      <c r="J1735" s="265" t="s">
        <v>10655</v>
      </c>
      <c r="K1735" s="265" t="s">
        <v>10655</v>
      </c>
    </row>
    <row r="1736" spans="1:11" s="75" customFormat="1" ht="14.55" customHeight="1" x14ac:dyDescent="0.25">
      <c r="A1736" s="272" t="s">
        <v>8816</v>
      </c>
      <c r="B1736" s="272" t="s">
        <v>10591</v>
      </c>
      <c r="C1736" s="272" t="s">
        <v>10312</v>
      </c>
      <c r="D1736" s="259" t="s">
        <v>10313</v>
      </c>
      <c r="E1736" s="265" t="s">
        <v>10655</v>
      </c>
      <c r="F1736" s="272" t="s">
        <v>9198</v>
      </c>
      <c r="G1736" s="272" t="s">
        <v>9198</v>
      </c>
      <c r="H1736" s="265" t="s">
        <v>10984</v>
      </c>
      <c r="I1736" s="290" t="s">
        <v>10985</v>
      </c>
      <c r="J1736" s="265" t="s">
        <v>10655</v>
      </c>
      <c r="K1736" s="265" t="s">
        <v>10655</v>
      </c>
    </row>
    <row r="1737" spans="1:11" s="75" customFormat="1" ht="14.55" customHeight="1" x14ac:dyDescent="0.25">
      <c r="A1737" s="272" t="s">
        <v>8816</v>
      </c>
      <c r="B1737" s="272" t="s">
        <v>10591</v>
      </c>
      <c r="C1737" s="272" t="s">
        <v>10312</v>
      </c>
      <c r="D1737" s="259" t="s">
        <v>10313</v>
      </c>
      <c r="E1737" s="265" t="s">
        <v>10655</v>
      </c>
      <c r="F1737" s="272" t="s">
        <v>9198</v>
      </c>
      <c r="G1737" s="272" t="s">
        <v>9198</v>
      </c>
      <c r="H1737" s="265" t="s">
        <v>11000</v>
      </c>
      <c r="I1737" s="290" t="s">
        <v>11001</v>
      </c>
      <c r="J1737" s="265" t="s">
        <v>10655</v>
      </c>
      <c r="K1737" s="265" t="s">
        <v>10655</v>
      </c>
    </row>
    <row r="1738" spans="1:11" s="75" customFormat="1" ht="14.55" customHeight="1" x14ac:dyDescent="0.25">
      <c r="A1738" s="272" t="s">
        <v>8816</v>
      </c>
      <c r="B1738" s="272" t="s">
        <v>10591</v>
      </c>
      <c r="C1738" s="272" t="s">
        <v>10314</v>
      </c>
      <c r="D1738" s="259" t="s">
        <v>10315</v>
      </c>
      <c r="E1738" s="265" t="s">
        <v>10655</v>
      </c>
      <c r="F1738" s="272" t="s">
        <v>9198</v>
      </c>
      <c r="G1738" s="272" t="s">
        <v>9197</v>
      </c>
      <c r="H1738" s="265" t="s">
        <v>10978</v>
      </c>
      <c r="I1738" s="290" t="s">
        <v>10979</v>
      </c>
      <c r="J1738" s="265" t="s">
        <v>10655</v>
      </c>
      <c r="K1738" s="265" t="s">
        <v>10655</v>
      </c>
    </row>
    <row r="1739" spans="1:11" s="75" customFormat="1" ht="14.55" customHeight="1" x14ac:dyDescent="0.25">
      <c r="A1739" s="272" t="s">
        <v>8816</v>
      </c>
      <c r="B1739" s="272" t="s">
        <v>10591</v>
      </c>
      <c r="C1739" s="272" t="s">
        <v>10314</v>
      </c>
      <c r="D1739" s="259" t="s">
        <v>10315</v>
      </c>
      <c r="E1739" s="265" t="s">
        <v>10655</v>
      </c>
      <c r="F1739" s="272" t="s">
        <v>9198</v>
      </c>
      <c r="G1739" s="272" t="s">
        <v>9197</v>
      </c>
      <c r="H1739" s="265" t="s">
        <v>10980</v>
      </c>
      <c r="I1739" s="290" t="s">
        <v>10981</v>
      </c>
      <c r="J1739" s="265" t="s">
        <v>10655</v>
      </c>
      <c r="K1739" s="265" t="s">
        <v>10655</v>
      </c>
    </row>
    <row r="1740" spans="1:11" s="75" customFormat="1" ht="14.55" customHeight="1" x14ac:dyDescent="0.25">
      <c r="A1740" s="272" t="s">
        <v>8816</v>
      </c>
      <c r="B1740" s="272" t="s">
        <v>10591</v>
      </c>
      <c r="C1740" s="272" t="s">
        <v>10314</v>
      </c>
      <c r="D1740" s="259" t="s">
        <v>10315</v>
      </c>
      <c r="E1740" s="265" t="s">
        <v>10655</v>
      </c>
      <c r="F1740" s="272" t="s">
        <v>9198</v>
      </c>
      <c r="G1740" s="272" t="s">
        <v>9197</v>
      </c>
      <c r="H1740" s="265" t="s">
        <v>10982</v>
      </c>
      <c r="I1740" s="290" t="s">
        <v>10983</v>
      </c>
      <c r="J1740" s="265" t="s">
        <v>10655</v>
      </c>
      <c r="K1740" s="265" t="s">
        <v>10655</v>
      </c>
    </row>
    <row r="1741" spans="1:11" s="75" customFormat="1" ht="14.55" customHeight="1" x14ac:dyDescent="0.25">
      <c r="A1741" s="272" t="s">
        <v>8816</v>
      </c>
      <c r="B1741" s="272" t="s">
        <v>10591</v>
      </c>
      <c r="C1741" s="272" t="s">
        <v>10314</v>
      </c>
      <c r="D1741" s="259" t="s">
        <v>10315</v>
      </c>
      <c r="E1741" s="265" t="s">
        <v>10655</v>
      </c>
      <c r="F1741" s="272" t="s">
        <v>9198</v>
      </c>
      <c r="G1741" s="272" t="s">
        <v>9197</v>
      </c>
      <c r="H1741" s="265" t="s">
        <v>10988</v>
      </c>
      <c r="I1741" s="290" t="s">
        <v>10989</v>
      </c>
      <c r="J1741" s="265" t="s">
        <v>10655</v>
      </c>
      <c r="K1741" s="265" t="s">
        <v>10655</v>
      </c>
    </row>
    <row r="1742" spans="1:11" s="75" customFormat="1" ht="14.55" customHeight="1" x14ac:dyDescent="0.25">
      <c r="A1742" s="272" t="s">
        <v>8816</v>
      </c>
      <c r="B1742" s="272" t="s">
        <v>10591</v>
      </c>
      <c r="C1742" s="272" t="s">
        <v>10314</v>
      </c>
      <c r="D1742" s="259" t="s">
        <v>10315</v>
      </c>
      <c r="E1742" s="265" t="s">
        <v>10655</v>
      </c>
      <c r="F1742" s="272" t="s">
        <v>9198</v>
      </c>
      <c r="G1742" s="272" t="s">
        <v>9197</v>
      </c>
      <c r="H1742" s="265" t="s">
        <v>11000</v>
      </c>
      <c r="I1742" s="290" t="s">
        <v>11001</v>
      </c>
      <c r="J1742" s="265" t="s">
        <v>10655</v>
      </c>
      <c r="K1742" s="265" t="s">
        <v>10655</v>
      </c>
    </row>
    <row r="1743" spans="1:11" s="75" customFormat="1" ht="14.55" customHeight="1" x14ac:dyDescent="0.25">
      <c r="A1743" s="272" t="s">
        <v>8816</v>
      </c>
      <c r="B1743" s="272" t="s">
        <v>10591</v>
      </c>
      <c r="C1743" s="272" t="s">
        <v>10316</v>
      </c>
      <c r="D1743" s="259" t="s">
        <v>10317</v>
      </c>
      <c r="E1743" s="265" t="s">
        <v>10655</v>
      </c>
      <c r="F1743" s="272" t="s">
        <v>9198</v>
      </c>
      <c r="G1743" s="272" t="s">
        <v>9197</v>
      </c>
      <c r="H1743" s="265" t="s">
        <v>10906</v>
      </c>
      <c r="I1743" s="290" t="s">
        <v>10907</v>
      </c>
      <c r="J1743" s="265" t="s">
        <v>10655</v>
      </c>
      <c r="K1743" s="265" t="s">
        <v>10655</v>
      </c>
    </row>
    <row r="1744" spans="1:11" s="75" customFormat="1" ht="14.55" customHeight="1" x14ac:dyDescent="0.25">
      <c r="A1744" s="272" t="s">
        <v>8816</v>
      </c>
      <c r="B1744" s="272" t="s">
        <v>10591</v>
      </c>
      <c r="C1744" s="272" t="s">
        <v>10316</v>
      </c>
      <c r="D1744" s="259" t="s">
        <v>10317</v>
      </c>
      <c r="E1744" s="265" t="s">
        <v>10655</v>
      </c>
      <c r="F1744" s="272" t="s">
        <v>9198</v>
      </c>
      <c r="G1744" s="272" t="s">
        <v>9197</v>
      </c>
      <c r="H1744" s="265" t="s">
        <v>10978</v>
      </c>
      <c r="I1744" s="290" t="s">
        <v>10979</v>
      </c>
      <c r="J1744" s="265" t="s">
        <v>10655</v>
      </c>
      <c r="K1744" s="265" t="s">
        <v>10655</v>
      </c>
    </row>
    <row r="1745" spans="1:11" s="75" customFormat="1" ht="14.55" customHeight="1" x14ac:dyDescent="0.25">
      <c r="A1745" s="272" t="s">
        <v>8816</v>
      </c>
      <c r="B1745" s="272" t="s">
        <v>10591</v>
      </c>
      <c r="C1745" s="272" t="s">
        <v>10316</v>
      </c>
      <c r="D1745" s="259" t="s">
        <v>10317</v>
      </c>
      <c r="E1745" s="265" t="s">
        <v>10655</v>
      </c>
      <c r="F1745" s="272" t="s">
        <v>9198</v>
      </c>
      <c r="G1745" s="272" t="s">
        <v>9197</v>
      </c>
      <c r="H1745" s="265" t="s">
        <v>10980</v>
      </c>
      <c r="I1745" s="290" t="s">
        <v>10981</v>
      </c>
      <c r="J1745" s="265" t="s">
        <v>10655</v>
      </c>
      <c r="K1745" s="265" t="s">
        <v>10655</v>
      </c>
    </row>
    <row r="1746" spans="1:11" s="75" customFormat="1" ht="14.55" customHeight="1" x14ac:dyDescent="0.25">
      <c r="A1746" s="272" t="s">
        <v>8816</v>
      </c>
      <c r="B1746" s="272" t="s">
        <v>10591</v>
      </c>
      <c r="C1746" s="272" t="s">
        <v>10316</v>
      </c>
      <c r="D1746" s="259" t="s">
        <v>10317</v>
      </c>
      <c r="E1746" s="265" t="s">
        <v>10655</v>
      </c>
      <c r="F1746" s="272" t="s">
        <v>9198</v>
      </c>
      <c r="G1746" s="272" t="s">
        <v>9197</v>
      </c>
      <c r="H1746" s="265" t="s">
        <v>10982</v>
      </c>
      <c r="I1746" s="290" t="s">
        <v>10983</v>
      </c>
      <c r="J1746" s="265" t="s">
        <v>10655</v>
      </c>
      <c r="K1746" s="265" t="s">
        <v>10655</v>
      </c>
    </row>
    <row r="1747" spans="1:11" s="75" customFormat="1" ht="14.55" customHeight="1" x14ac:dyDescent="0.25">
      <c r="A1747" s="272" t="s">
        <v>8816</v>
      </c>
      <c r="B1747" s="272" t="s">
        <v>10591</v>
      </c>
      <c r="C1747" s="272" t="s">
        <v>10316</v>
      </c>
      <c r="D1747" s="259" t="s">
        <v>10317</v>
      </c>
      <c r="E1747" s="265" t="s">
        <v>10655</v>
      </c>
      <c r="F1747" s="272" t="s">
        <v>9198</v>
      </c>
      <c r="G1747" s="272" t="s">
        <v>9197</v>
      </c>
      <c r="H1747" s="265" t="s">
        <v>11004</v>
      </c>
      <c r="I1747" s="290" t="s">
        <v>11005</v>
      </c>
      <c r="J1747" s="265" t="s">
        <v>10655</v>
      </c>
      <c r="K1747" s="265" t="s">
        <v>10655</v>
      </c>
    </row>
    <row r="1748" spans="1:11" s="75" customFormat="1" ht="14.55" customHeight="1" x14ac:dyDescent="0.25">
      <c r="A1748" s="272" t="s">
        <v>8816</v>
      </c>
      <c r="B1748" s="272" t="s">
        <v>10591</v>
      </c>
      <c r="C1748" s="272" t="s">
        <v>10316</v>
      </c>
      <c r="D1748" s="259" t="s">
        <v>10317</v>
      </c>
      <c r="E1748" s="265" t="s">
        <v>10655</v>
      </c>
      <c r="F1748" s="272" t="s">
        <v>9198</v>
      </c>
      <c r="G1748" s="272" t="s">
        <v>9197</v>
      </c>
      <c r="H1748" s="265" t="s">
        <v>10988</v>
      </c>
      <c r="I1748" s="290" t="s">
        <v>10989</v>
      </c>
      <c r="J1748" s="265" t="s">
        <v>10655</v>
      </c>
      <c r="K1748" s="265" t="s">
        <v>10655</v>
      </c>
    </row>
    <row r="1749" spans="1:11" s="75" customFormat="1" ht="14.55" customHeight="1" x14ac:dyDescent="0.25">
      <c r="A1749" s="272" t="s">
        <v>8816</v>
      </c>
      <c r="B1749" s="272" t="s">
        <v>10591</v>
      </c>
      <c r="C1749" s="272" t="s">
        <v>10316</v>
      </c>
      <c r="D1749" s="259" t="s">
        <v>10317</v>
      </c>
      <c r="E1749" s="265" t="s">
        <v>10655</v>
      </c>
      <c r="F1749" s="272" t="s">
        <v>9198</v>
      </c>
      <c r="G1749" s="272" t="s">
        <v>9197</v>
      </c>
      <c r="H1749" s="265" t="s">
        <v>10908</v>
      </c>
      <c r="I1749" s="290" t="s">
        <v>10909</v>
      </c>
      <c r="J1749" s="265" t="s">
        <v>10655</v>
      </c>
      <c r="K1749" s="265" t="s">
        <v>10655</v>
      </c>
    </row>
    <row r="1750" spans="1:11" s="75" customFormat="1" ht="14.55" customHeight="1" x14ac:dyDescent="0.25">
      <c r="A1750" s="272" t="s">
        <v>8816</v>
      </c>
      <c r="B1750" s="272" t="s">
        <v>10591</v>
      </c>
      <c r="C1750" s="272" t="s">
        <v>10318</v>
      </c>
      <c r="D1750" s="259" t="s">
        <v>10319</v>
      </c>
      <c r="E1750" s="265" t="s">
        <v>10655</v>
      </c>
      <c r="F1750" s="272" t="s">
        <v>9198</v>
      </c>
      <c r="G1750" s="272" t="s">
        <v>9197</v>
      </c>
      <c r="H1750" s="265" t="s">
        <v>10906</v>
      </c>
      <c r="I1750" s="290" t="s">
        <v>10907</v>
      </c>
      <c r="J1750" s="265" t="s">
        <v>10655</v>
      </c>
      <c r="K1750" s="265" t="s">
        <v>10655</v>
      </c>
    </row>
    <row r="1751" spans="1:11" s="75" customFormat="1" ht="14.55" customHeight="1" x14ac:dyDescent="0.25">
      <c r="A1751" s="272" t="s">
        <v>8816</v>
      </c>
      <c r="B1751" s="272" t="s">
        <v>10591</v>
      </c>
      <c r="C1751" s="272" t="s">
        <v>10318</v>
      </c>
      <c r="D1751" s="259" t="s">
        <v>10319</v>
      </c>
      <c r="E1751" s="265" t="s">
        <v>10655</v>
      </c>
      <c r="F1751" s="272" t="s">
        <v>9198</v>
      </c>
      <c r="G1751" s="272" t="s">
        <v>9197</v>
      </c>
      <c r="H1751" s="265" t="s">
        <v>10978</v>
      </c>
      <c r="I1751" s="290" t="s">
        <v>10979</v>
      </c>
      <c r="J1751" s="265" t="s">
        <v>10655</v>
      </c>
      <c r="K1751" s="265" t="s">
        <v>10655</v>
      </c>
    </row>
    <row r="1752" spans="1:11" s="75" customFormat="1" ht="14.55" customHeight="1" x14ac:dyDescent="0.25">
      <c r="A1752" s="272" t="s">
        <v>8816</v>
      </c>
      <c r="B1752" s="272" t="s">
        <v>10591</v>
      </c>
      <c r="C1752" s="272" t="s">
        <v>10318</v>
      </c>
      <c r="D1752" s="259" t="s">
        <v>10319</v>
      </c>
      <c r="E1752" s="265" t="s">
        <v>10655</v>
      </c>
      <c r="F1752" s="272" t="s">
        <v>9198</v>
      </c>
      <c r="G1752" s="272" t="s">
        <v>9197</v>
      </c>
      <c r="H1752" s="265" t="s">
        <v>10984</v>
      </c>
      <c r="I1752" s="290" t="s">
        <v>10985</v>
      </c>
      <c r="J1752" s="265" t="s">
        <v>10655</v>
      </c>
      <c r="K1752" s="265" t="s">
        <v>10655</v>
      </c>
    </row>
    <row r="1753" spans="1:11" s="75" customFormat="1" ht="14.55" customHeight="1" x14ac:dyDescent="0.25">
      <c r="A1753" s="272" t="s">
        <v>8816</v>
      </c>
      <c r="B1753" s="272" t="s">
        <v>10591</v>
      </c>
      <c r="C1753" s="272" t="s">
        <v>10318</v>
      </c>
      <c r="D1753" s="259" t="s">
        <v>10319</v>
      </c>
      <c r="E1753" s="265" t="s">
        <v>10655</v>
      </c>
      <c r="F1753" s="272" t="s">
        <v>9198</v>
      </c>
      <c r="G1753" s="272" t="s">
        <v>9197</v>
      </c>
      <c r="H1753" s="265" t="s">
        <v>10908</v>
      </c>
      <c r="I1753" s="290" t="s">
        <v>10909</v>
      </c>
      <c r="J1753" s="265" t="s">
        <v>10655</v>
      </c>
      <c r="K1753" s="265" t="s">
        <v>10655</v>
      </c>
    </row>
    <row r="1754" spans="1:11" s="75" customFormat="1" ht="14.55" customHeight="1" x14ac:dyDescent="0.25">
      <c r="A1754" s="272" t="s">
        <v>8816</v>
      </c>
      <c r="B1754" s="272" t="s">
        <v>10591</v>
      </c>
      <c r="C1754" s="272" t="s">
        <v>10318</v>
      </c>
      <c r="D1754" s="259" t="s">
        <v>10319</v>
      </c>
      <c r="E1754" s="265" t="s">
        <v>10655</v>
      </c>
      <c r="F1754" s="272" t="s">
        <v>9198</v>
      </c>
      <c r="G1754" s="272" t="s">
        <v>9197</v>
      </c>
      <c r="H1754" s="265" t="s">
        <v>11000</v>
      </c>
      <c r="I1754" s="290" t="s">
        <v>11001</v>
      </c>
      <c r="J1754" s="265" t="s">
        <v>10655</v>
      </c>
      <c r="K1754" s="265" t="s">
        <v>10655</v>
      </c>
    </row>
    <row r="1755" spans="1:11" s="75" customFormat="1" ht="14.55" customHeight="1" x14ac:dyDescent="0.25">
      <c r="A1755" s="272" t="s">
        <v>8816</v>
      </c>
      <c r="B1755" s="272" t="s">
        <v>10591</v>
      </c>
      <c r="C1755" s="272" t="s">
        <v>10320</v>
      </c>
      <c r="D1755" s="259" t="s">
        <v>10321</v>
      </c>
      <c r="E1755" s="265" t="s">
        <v>10655</v>
      </c>
      <c r="F1755" s="272" t="s">
        <v>9198</v>
      </c>
      <c r="G1755" s="272" t="s">
        <v>9197</v>
      </c>
      <c r="H1755" s="265" t="s">
        <v>11008</v>
      </c>
      <c r="I1755" s="290" t="s">
        <v>11009</v>
      </c>
      <c r="J1755" s="265" t="s">
        <v>10655</v>
      </c>
      <c r="K1755" s="265" t="s">
        <v>10655</v>
      </c>
    </row>
    <row r="1756" spans="1:11" s="75" customFormat="1" ht="14.55" customHeight="1" x14ac:dyDescent="0.25">
      <c r="A1756" s="272" t="s">
        <v>8816</v>
      </c>
      <c r="B1756" s="272" t="s">
        <v>10591</v>
      </c>
      <c r="C1756" s="272" t="s">
        <v>10320</v>
      </c>
      <c r="D1756" s="259" t="s">
        <v>10321</v>
      </c>
      <c r="E1756" s="265" t="s">
        <v>10655</v>
      </c>
      <c r="F1756" s="272" t="s">
        <v>9198</v>
      </c>
      <c r="G1756" s="272" t="s">
        <v>9197</v>
      </c>
      <c r="H1756" s="265" t="s">
        <v>11000</v>
      </c>
      <c r="I1756" s="290" t="s">
        <v>11001</v>
      </c>
      <c r="J1756" s="265" t="s">
        <v>10655</v>
      </c>
      <c r="K1756" s="265" t="s">
        <v>10655</v>
      </c>
    </row>
    <row r="1757" spans="1:11" s="75" customFormat="1" ht="14.55" customHeight="1" x14ac:dyDescent="0.25">
      <c r="A1757" s="272" t="s">
        <v>8816</v>
      </c>
      <c r="B1757" s="272" t="s">
        <v>10591</v>
      </c>
      <c r="C1757" s="272" t="s">
        <v>10322</v>
      </c>
      <c r="D1757" s="259" t="s">
        <v>10323</v>
      </c>
      <c r="E1757" s="265" t="s">
        <v>10655</v>
      </c>
      <c r="F1757" s="272" t="s">
        <v>9198</v>
      </c>
      <c r="G1757" s="272" t="s">
        <v>9197</v>
      </c>
      <c r="H1757" s="265" t="s">
        <v>11008</v>
      </c>
      <c r="I1757" s="290" t="s">
        <v>11009</v>
      </c>
      <c r="J1757" s="265" t="s">
        <v>10655</v>
      </c>
      <c r="K1757" s="265" t="s">
        <v>10655</v>
      </c>
    </row>
    <row r="1758" spans="1:11" s="75" customFormat="1" ht="14.55" customHeight="1" x14ac:dyDescent="0.25">
      <c r="A1758" s="272" t="s">
        <v>8816</v>
      </c>
      <c r="B1758" s="272" t="s">
        <v>10591</v>
      </c>
      <c r="C1758" s="272" t="s">
        <v>10322</v>
      </c>
      <c r="D1758" s="259" t="s">
        <v>10323</v>
      </c>
      <c r="E1758" s="265" t="s">
        <v>10655</v>
      </c>
      <c r="F1758" s="272" t="s">
        <v>9198</v>
      </c>
      <c r="G1758" s="272" t="s">
        <v>9197</v>
      </c>
      <c r="H1758" s="265" t="s">
        <v>11000</v>
      </c>
      <c r="I1758" s="290" t="s">
        <v>11001</v>
      </c>
      <c r="J1758" s="265" t="s">
        <v>10655</v>
      </c>
      <c r="K1758" s="265" t="s">
        <v>10655</v>
      </c>
    </row>
    <row r="1759" spans="1:11" s="75" customFormat="1" ht="14.55" customHeight="1" x14ac:dyDescent="0.25">
      <c r="A1759" s="272" t="s">
        <v>8816</v>
      </c>
      <c r="B1759" s="272" t="s">
        <v>10591</v>
      </c>
      <c r="C1759" s="272" t="s">
        <v>10324</v>
      </c>
      <c r="D1759" s="259" t="s">
        <v>10325</v>
      </c>
      <c r="E1759" s="265" t="s">
        <v>10655</v>
      </c>
      <c r="F1759" s="272" t="s">
        <v>9198</v>
      </c>
      <c r="G1759" s="272" t="s">
        <v>9198</v>
      </c>
      <c r="H1759" s="265" t="s">
        <v>11008</v>
      </c>
      <c r="I1759" s="290" t="s">
        <v>11009</v>
      </c>
      <c r="J1759" s="265" t="s">
        <v>10655</v>
      </c>
      <c r="K1759" s="265" t="s">
        <v>10655</v>
      </c>
    </row>
    <row r="1760" spans="1:11" s="75" customFormat="1" ht="14.55" customHeight="1" x14ac:dyDescent="0.25">
      <c r="A1760" s="272" t="s">
        <v>8816</v>
      </c>
      <c r="B1760" s="272" t="s">
        <v>10591</v>
      </c>
      <c r="C1760" s="272" t="s">
        <v>10324</v>
      </c>
      <c r="D1760" s="259" t="s">
        <v>10325</v>
      </c>
      <c r="E1760" s="265" t="s">
        <v>10655</v>
      </c>
      <c r="F1760" s="272" t="s">
        <v>9198</v>
      </c>
      <c r="G1760" s="272" t="s">
        <v>9198</v>
      </c>
      <c r="H1760" s="265" t="s">
        <v>11000</v>
      </c>
      <c r="I1760" s="290" t="s">
        <v>11001</v>
      </c>
      <c r="J1760" s="265" t="s">
        <v>10655</v>
      </c>
      <c r="K1760" s="265" t="s">
        <v>10655</v>
      </c>
    </row>
    <row r="1761" spans="1:11" s="75" customFormat="1" ht="14.55" customHeight="1" x14ac:dyDescent="0.25">
      <c r="A1761" s="272" t="s">
        <v>8816</v>
      </c>
      <c r="B1761" s="272" t="s">
        <v>10591</v>
      </c>
      <c r="C1761" s="272" t="s">
        <v>10326</v>
      </c>
      <c r="D1761" s="259" t="s">
        <v>10327</v>
      </c>
      <c r="E1761" s="265" t="s">
        <v>10655</v>
      </c>
      <c r="F1761" s="272" t="s">
        <v>9198</v>
      </c>
      <c r="G1761" s="272" t="s">
        <v>9197</v>
      </c>
      <c r="H1761" s="265" t="s">
        <v>10976</v>
      </c>
      <c r="I1761" s="290" t="s">
        <v>10977</v>
      </c>
      <c r="J1761" s="265" t="s">
        <v>10655</v>
      </c>
      <c r="K1761" s="265" t="s">
        <v>10655</v>
      </c>
    </row>
    <row r="1762" spans="1:11" s="75" customFormat="1" ht="14.55" customHeight="1" x14ac:dyDescent="0.25">
      <c r="A1762" s="272" t="s">
        <v>8816</v>
      </c>
      <c r="B1762" s="272" t="s">
        <v>10591</v>
      </c>
      <c r="C1762" s="272" t="s">
        <v>10326</v>
      </c>
      <c r="D1762" s="259" t="s">
        <v>10327</v>
      </c>
      <c r="E1762" s="265" t="s">
        <v>10655</v>
      </c>
      <c r="F1762" s="272" t="s">
        <v>9198</v>
      </c>
      <c r="G1762" s="272" t="s">
        <v>9197</v>
      </c>
      <c r="H1762" s="265" t="s">
        <v>10980</v>
      </c>
      <c r="I1762" s="290" t="s">
        <v>10981</v>
      </c>
      <c r="J1762" s="265" t="s">
        <v>10655</v>
      </c>
      <c r="K1762" s="265" t="s">
        <v>10655</v>
      </c>
    </row>
    <row r="1763" spans="1:11" s="75" customFormat="1" ht="14.55" customHeight="1" x14ac:dyDescent="0.25">
      <c r="A1763" s="272" t="s">
        <v>8816</v>
      </c>
      <c r="B1763" s="272" t="s">
        <v>10591</v>
      </c>
      <c r="C1763" s="272" t="s">
        <v>10326</v>
      </c>
      <c r="D1763" s="259" t="s">
        <v>10327</v>
      </c>
      <c r="E1763" s="265" t="s">
        <v>10655</v>
      </c>
      <c r="F1763" s="272" t="s">
        <v>9198</v>
      </c>
      <c r="G1763" s="272" t="s">
        <v>9197</v>
      </c>
      <c r="H1763" s="265" t="s">
        <v>11002</v>
      </c>
      <c r="I1763" s="290" t="s">
        <v>11003</v>
      </c>
      <c r="J1763" s="265" t="s">
        <v>10655</v>
      </c>
      <c r="K1763" s="265" t="s">
        <v>10655</v>
      </c>
    </row>
    <row r="1764" spans="1:11" s="75" customFormat="1" ht="14.55" customHeight="1" x14ac:dyDescent="0.25">
      <c r="A1764" s="272" t="s">
        <v>8816</v>
      </c>
      <c r="B1764" s="272" t="s">
        <v>10591</v>
      </c>
      <c r="C1764" s="272" t="s">
        <v>10326</v>
      </c>
      <c r="D1764" s="259" t="s">
        <v>10327</v>
      </c>
      <c r="E1764" s="265" t="s">
        <v>10655</v>
      </c>
      <c r="F1764" s="272" t="s">
        <v>9198</v>
      </c>
      <c r="G1764" s="272" t="s">
        <v>9197</v>
      </c>
      <c r="H1764" s="265" t="s">
        <v>10992</v>
      </c>
      <c r="I1764" s="290" t="s">
        <v>10993</v>
      </c>
      <c r="J1764" s="265" t="s">
        <v>10655</v>
      </c>
      <c r="K1764" s="265" t="s">
        <v>10655</v>
      </c>
    </row>
    <row r="1765" spans="1:11" s="75" customFormat="1" ht="14.55" customHeight="1" x14ac:dyDescent="0.25">
      <c r="A1765" s="272" t="s">
        <v>8816</v>
      </c>
      <c r="B1765" s="272" t="s">
        <v>10591</v>
      </c>
      <c r="C1765" s="272" t="s">
        <v>10326</v>
      </c>
      <c r="D1765" s="259" t="s">
        <v>10327</v>
      </c>
      <c r="E1765" s="265" t="s">
        <v>10655</v>
      </c>
      <c r="F1765" s="272" t="s">
        <v>9198</v>
      </c>
      <c r="G1765" s="272" t="s">
        <v>9197</v>
      </c>
      <c r="H1765" s="265" t="s">
        <v>10994</v>
      </c>
      <c r="I1765" s="290" t="s">
        <v>10995</v>
      </c>
      <c r="J1765" s="265" t="s">
        <v>10655</v>
      </c>
      <c r="K1765" s="265" t="s">
        <v>10655</v>
      </c>
    </row>
    <row r="1766" spans="1:11" s="75" customFormat="1" ht="14.55" customHeight="1" x14ac:dyDescent="0.25">
      <c r="A1766" s="272" t="s">
        <v>8816</v>
      </c>
      <c r="B1766" s="272" t="s">
        <v>10591</v>
      </c>
      <c r="C1766" s="272" t="s">
        <v>10326</v>
      </c>
      <c r="D1766" s="259" t="s">
        <v>10327</v>
      </c>
      <c r="E1766" s="265" t="s">
        <v>10655</v>
      </c>
      <c r="F1766" s="272" t="s">
        <v>9198</v>
      </c>
      <c r="G1766" s="272" t="s">
        <v>9197</v>
      </c>
      <c r="H1766" s="265" t="s">
        <v>10996</v>
      </c>
      <c r="I1766" s="290" t="s">
        <v>10997</v>
      </c>
      <c r="J1766" s="265" t="s">
        <v>10655</v>
      </c>
      <c r="K1766" s="265" t="s">
        <v>10655</v>
      </c>
    </row>
    <row r="1767" spans="1:11" s="75" customFormat="1" ht="14.55" customHeight="1" x14ac:dyDescent="0.25">
      <c r="A1767" s="272" t="s">
        <v>8816</v>
      </c>
      <c r="B1767" s="272" t="s">
        <v>10591</v>
      </c>
      <c r="C1767" s="272" t="s">
        <v>10326</v>
      </c>
      <c r="D1767" s="259" t="s">
        <v>10327</v>
      </c>
      <c r="E1767" s="265" t="s">
        <v>10655</v>
      </c>
      <c r="F1767" s="272" t="s">
        <v>9198</v>
      </c>
      <c r="G1767" s="272" t="s">
        <v>9197</v>
      </c>
      <c r="H1767" s="265" t="s">
        <v>11000</v>
      </c>
      <c r="I1767" s="290" t="s">
        <v>11001</v>
      </c>
      <c r="J1767" s="265" t="s">
        <v>10655</v>
      </c>
      <c r="K1767" s="265" t="s">
        <v>10655</v>
      </c>
    </row>
    <row r="1768" spans="1:11" s="75" customFormat="1" ht="14.55" customHeight="1" x14ac:dyDescent="0.25">
      <c r="A1768" s="272" t="s">
        <v>8816</v>
      </c>
      <c r="B1768" s="272" t="s">
        <v>10591</v>
      </c>
      <c r="C1768" s="272" t="s">
        <v>10328</v>
      </c>
      <c r="D1768" s="259" t="s">
        <v>10329</v>
      </c>
      <c r="E1768" s="265" t="s">
        <v>10655</v>
      </c>
      <c r="F1768" s="272" t="s">
        <v>9198</v>
      </c>
      <c r="G1768" s="272" t="s">
        <v>9197</v>
      </c>
      <c r="H1768" s="265" t="s">
        <v>10976</v>
      </c>
      <c r="I1768" s="290" t="s">
        <v>10977</v>
      </c>
      <c r="J1768" s="265" t="s">
        <v>10655</v>
      </c>
      <c r="K1768" s="265" t="s">
        <v>10655</v>
      </c>
    </row>
    <row r="1769" spans="1:11" s="75" customFormat="1" ht="14.55" customHeight="1" x14ac:dyDescent="0.25">
      <c r="A1769" s="272" t="s">
        <v>8816</v>
      </c>
      <c r="B1769" s="272" t="s">
        <v>10591</v>
      </c>
      <c r="C1769" s="272" t="s">
        <v>10328</v>
      </c>
      <c r="D1769" s="259" t="s">
        <v>10329</v>
      </c>
      <c r="E1769" s="265" t="s">
        <v>10655</v>
      </c>
      <c r="F1769" s="272" t="s">
        <v>9198</v>
      </c>
      <c r="G1769" s="272" t="s">
        <v>9197</v>
      </c>
      <c r="H1769" s="265" t="s">
        <v>10980</v>
      </c>
      <c r="I1769" s="290" t="s">
        <v>10981</v>
      </c>
      <c r="J1769" s="265" t="s">
        <v>10655</v>
      </c>
      <c r="K1769" s="265" t="s">
        <v>10655</v>
      </c>
    </row>
    <row r="1770" spans="1:11" s="75" customFormat="1" ht="14.55" customHeight="1" x14ac:dyDescent="0.25">
      <c r="A1770" s="272" t="s">
        <v>8816</v>
      </c>
      <c r="B1770" s="272" t="s">
        <v>10591</v>
      </c>
      <c r="C1770" s="272" t="s">
        <v>10328</v>
      </c>
      <c r="D1770" s="259" t="s">
        <v>10329</v>
      </c>
      <c r="E1770" s="265" t="s">
        <v>10655</v>
      </c>
      <c r="F1770" s="272" t="s">
        <v>9198</v>
      </c>
      <c r="G1770" s="272" t="s">
        <v>9197</v>
      </c>
      <c r="H1770" s="265" t="s">
        <v>11008</v>
      </c>
      <c r="I1770" s="290" t="s">
        <v>11009</v>
      </c>
      <c r="J1770" s="265" t="s">
        <v>10655</v>
      </c>
      <c r="K1770" s="265" t="s">
        <v>10655</v>
      </c>
    </row>
    <row r="1771" spans="1:11" s="75" customFormat="1" ht="14.55" customHeight="1" x14ac:dyDescent="0.25">
      <c r="A1771" s="272" t="s">
        <v>8816</v>
      </c>
      <c r="B1771" s="272" t="s">
        <v>10591</v>
      </c>
      <c r="C1771" s="272" t="s">
        <v>10328</v>
      </c>
      <c r="D1771" s="259" t="s">
        <v>10329</v>
      </c>
      <c r="E1771" s="265" t="s">
        <v>10655</v>
      </c>
      <c r="F1771" s="272" t="s">
        <v>9198</v>
      </c>
      <c r="G1771" s="272" t="s">
        <v>9197</v>
      </c>
      <c r="H1771" s="265" t="s">
        <v>10992</v>
      </c>
      <c r="I1771" s="290" t="s">
        <v>10993</v>
      </c>
      <c r="J1771" s="265" t="s">
        <v>10655</v>
      </c>
      <c r="K1771" s="265" t="s">
        <v>10655</v>
      </c>
    </row>
    <row r="1772" spans="1:11" s="75" customFormat="1" ht="14.55" customHeight="1" x14ac:dyDescent="0.25">
      <c r="A1772" s="272" t="s">
        <v>8816</v>
      </c>
      <c r="B1772" s="272" t="s">
        <v>10591</v>
      </c>
      <c r="C1772" s="272" t="s">
        <v>10328</v>
      </c>
      <c r="D1772" s="259" t="s">
        <v>10329</v>
      </c>
      <c r="E1772" s="265" t="s">
        <v>10655</v>
      </c>
      <c r="F1772" s="272" t="s">
        <v>9198</v>
      </c>
      <c r="G1772" s="272" t="s">
        <v>9197</v>
      </c>
      <c r="H1772" s="265" t="s">
        <v>11000</v>
      </c>
      <c r="I1772" s="290" t="s">
        <v>11001</v>
      </c>
      <c r="J1772" s="265" t="s">
        <v>10655</v>
      </c>
      <c r="K1772" s="265" t="s">
        <v>10655</v>
      </c>
    </row>
    <row r="1773" spans="1:11" s="75" customFormat="1" ht="14.55" customHeight="1" x14ac:dyDescent="0.25">
      <c r="A1773" s="272" t="s">
        <v>8816</v>
      </c>
      <c r="B1773" s="272" t="s">
        <v>10591</v>
      </c>
      <c r="C1773" s="272" t="s">
        <v>10330</v>
      </c>
      <c r="D1773" s="259" t="s">
        <v>10331</v>
      </c>
      <c r="E1773" s="265" t="s">
        <v>10655</v>
      </c>
      <c r="F1773" s="272" t="s">
        <v>9198</v>
      </c>
      <c r="G1773" s="272" t="s">
        <v>9197</v>
      </c>
      <c r="H1773" s="265" t="s">
        <v>10976</v>
      </c>
      <c r="I1773" s="290" t="s">
        <v>10977</v>
      </c>
      <c r="J1773" s="265" t="s">
        <v>10655</v>
      </c>
      <c r="K1773" s="265" t="s">
        <v>10655</v>
      </c>
    </row>
    <row r="1774" spans="1:11" s="75" customFormat="1" ht="14.55" customHeight="1" x14ac:dyDescent="0.25">
      <c r="A1774" s="272" t="s">
        <v>8816</v>
      </c>
      <c r="B1774" s="272" t="s">
        <v>10591</v>
      </c>
      <c r="C1774" s="272" t="s">
        <v>10330</v>
      </c>
      <c r="D1774" s="259" t="s">
        <v>10331</v>
      </c>
      <c r="E1774" s="265" t="s">
        <v>10655</v>
      </c>
      <c r="F1774" s="272" t="s">
        <v>9198</v>
      </c>
      <c r="G1774" s="272" t="s">
        <v>9197</v>
      </c>
      <c r="H1774" s="265" t="s">
        <v>10980</v>
      </c>
      <c r="I1774" s="290" t="s">
        <v>10981</v>
      </c>
      <c r="J1774" s="265" t="s">
        <v>10655</v>
      </c>
      <c r="K1774" s="265" t="s">
        <v>10655</v>
      </c>
    </row>
    <row r="1775" spans="1:11" s="75" customFormat="1" ht="14.55" customHeight="1" x14ac:dyDescent="0.25">
      <c r="A1775" s="272" t="s">
        <v>8816</v>
      </c>
      <c r="B1775" s="272" t="s">
        <v>10591</v>
      </c>
      <c r="C1775" s="272" t="s">
        <v>10330</v>
      </c>
      <c r="D1775" s="259" t="s">
        <v>10331</v>
      </c>
      <c r="E1775" s="265" t="s">
        <v>10655</v>
      </c>
      <c r="F1775" s="272" t="s">
        <v>9198</v>
      </c>
      <c r="G1775" s="272" t="s">
        <v>9197</v>
      </c>
      <c r="H1775" s="265" t="s">
        <v>10984</v>
      </c>
      <c r="I1775" s="290" t="s">
        <v>10985</v>
      </c>
      <c r="J1775" s="265" t="s">
        <v>10655</v>
      </c>
      <c r="K1775" s="265" t="s">
        <v>10655</v>
      </c>
    </row>
    <row r="1776" spans="1:11" s="75" customFormat="1" ht="14.55" customHeight="1" x14ac:dyDescent="0.25">
      <c r="A1776" s="272" t="s">
        <v>8816</v>
      </c>
      <c r="B1776" s="272" t="s">
        <v>10591</v>
      </c>
      <c r="C1776" s="272" t="s">
        <v>10330</v>
      </c>
      <c r="D1776" s="259" t="s">
        <v>10331</v>
      </c>
      <c r="E1776" s="265" t="s">
        <v>10655</v>
      </c>
      <c r="F1776" s="272" t="s">
        <v>9198</v>
      </c>
      <c r="G1776" s="272" t="s">
        <v>9197</v>
      </c>
      <c r="H1776" s="265" t="s">
        <v>11008</v>
      </c>
      <c r="I1776" s="290" t="s">
        <v>11009</v>
      </c>
      <c r="J1776" s="265" t="s">
        <v>10655</v>
      </c>
      <c r="K1776" s="265" t="s">
        <v>10655</v>
      </c>
    </row>
    <row r="1777" spans="1:11" s="75" customFormat="1" ht="14.55" customHeight="1" x14ac:dyDescent="0.25">
      <c r="A1777" s="272" t="s">
        <v>8816</v>
      </c>
      <c r="B1777" s="272" t="s">
        <v>10591</v>
      </c>
      <c r="C1777" s="272" t="s">
        <v>10330</v>
      </c>
      <c r="D1777" s="259" t="s">
        <v>10331</v>
      </c>
      <c r="E1777" s="265" t="s">
        <v>10655</v>
      </c>
      <c r="F1777" s="272" t="s">
        <v>9198</v>
      </c>
      <c r="G1777" s="272" t="s">
        <v>9197</v>
      </c>
      <c r="H1777" s="265" t="s">
        <v>10988</v>
      </c>
      <c r="I1777" s="290" t="s">
        <v>10989</v>
      </c>
      <c r="J1777" s="265" t="s">
        <v>10655</v>
      </c>
      <c r="K1777" s="265" t="s">
        <v>10655</v>
      </c>
    </row>
    <row r="1778" spans="1:11" s="75" customFormat="1" ht="14.55" customHeight="1" x14ac:dyDescent="0.25">
      <c r="A1778" s="272" t="s">
        <v>8816</v>
      </c>
      <c r="B1778" s="272" t="s">
        <v>10591</v>
      </c>
      <c r="C1778" s="272" t="s">
        <v>10330</v>
      </c>
      <c r="D1778" s="259" t="s">
        <v>10331</v>
      </c>
      <c r="E1778" s="265" t="s">
        <v>10655</v>
      </c>
      <c r="F1778" s="272" t="s">
        <v>9198</v>
      </c>
      <c r="G1778" s="272" t="s">
        <v>9197</v>
      </c>
      <c r="H1778" s="265" t="s">
        <v>10992</v>
      </c>
      <c r="I1778" s="290" t="s">
        <v>10993</v>
      </c>
      <c r="J1778" s="265" t="s">
        <v>10655</v>
      </c>
      <c r="K1778" s="265" t="s">
        <v>10655</v>
      </c>
    </row>
    <row r="1779" spans="1:11" s="75" customFormat="1" ht="14.55" customHeight="1" x14ac:dyDescent="0.25">
      <c r="A1779" s="272" t="s">
        <v>8816</v>
      </c>
      <c r="B1779" s="272" t="s">
        <v>10591</v>
      </c>
      <c r="C1779" s="272" t="s">
        <v>10330</v>
      </c>
      <c r="D1779" s="259" t="s">
        <v>10331</v>
      </c>
      <c r="E1779" s="265" t="s">
        <v>10655</v>
      </c>
      <c r="F1779" s="272" t="s">
        <v>9198</v>
      </c>
      <c r="G1779" s="272" t="s">
        <v>9197</v>
      </c>
      <c r="H1779" s="265" t="s">
        <v>11000</v>
      </c>
      <c r="I1779" s="290" t="s">
        <v>11001</v>
      </c>
      <c r="J1779" s="265" t="s">
        <v>10655</v>
      </c>
      <c r="K1779" s="265" t="s">
        <v>10655</v>
      </c>
    </row>
    <row r="1780" spans="1:11" s="75" customFormat="1" ht="14.55" customHeight="1" x14ac:dyDescent="0.25">
      <c r="A1780" s="272" t="s">
        <v>8816</v>
      </c>
      <c r="B1780" s="272" t="s">
        <v>10591</v>
      </c>
      <c r="C1780" s="272" t="s">
        <v>10332</v>
      </c>
      <c r="D1780" s="259" t="s">
        <v>10333</v>
      </c>
      <c r="E1780" s="265" t="s">
        <v>10655</v>
      </c>
      <c r="F1780" s="272" t="s">
        <v>9198</v>
      </c>
      <c r="G1780" s="272" t="s">
        <v>9197</v>
      </c>
      <c r="H1780" s="265" t="s">
        <v>11008</v>
      </c>
      <c r="I1780" s="290" t="s">
        <v>11009</v>
      </c>
      <c r="J1780" s="265" t="s">
        <v>10655</v>
      </c>
      <c r="K1780" s="265" t="s">
        <v>10655</v>
      </c>
    </row>
    <row r="1781" spans="1:11" s="75" customFormat="1" ht="14.55" customHeight="1" x14ac:dyDescent="0.25">
      <c r="A1781" s="272" t="s">
        <v>8816</v>
      </c>
      <c r="B1781" s="272" t="s">
        <v>10591</v>
      </c>
      <c r="C1781" s="272" t="s">
        <v>10332</v>
      </c>
      <c r="D1781" s="259" t="s">
        <v>10333</v>
      </c>
      <c r="E1781" s="265" t="s">
        <v>10655</v>
      </c>
      <c r="F1781" s="272" t="s">
        <v>9198</v>
      </c>
      <c r="G1781" s="272" t="s">
        <v>9197</v>
      </c>
      <c r="H1781" s="265" t="s">
        <v>11000</v>
      </c>
      <c r="I1781" s="290" t="s">
        <v>11001</v>
      </c>
      <c r="J1781" s="265" t="s">
        <v>10655</v>
      </c>
      <c r="K1781" s="265" t="s">
        <v>10655</v>
      </c>
    </row>
    <row r="1782" spans="1:11" s="75" customFormat="1" ht="14.55" customHeight="1" x14ac:dyDescent="0.25">
      <c r="A1782" s="272" t="s">
        <v>8816</v>
      </c>
      <c r="B1782" s="272" t="s">
        <v>10591</v>
      </c>
      <c r="C1782" s="272" t="s">
        <v>10334</v>
      </c>
      <c r="D1782" s="259" t="s">
        <v>10335</v>
      </c>
      <c r="E1782" s="265" t="s">
        <v>10655</v>
      </c>
      <c r="F1782" s="272" t="s">
        <v>9198</v>
      </c>
      <c r="G1782" s="272" t="s">
        <v>9197</v>
      </c>
      <c r="H1782" s="265" t="s">
        <v>10976</v>
      </c>
      <c r="I1782" s="290" t="s">
        <v>10977</v>
      </c>
      <c r="J1782" s="265" t="s">
        <v>10655</v>
      </c>
      <c r="K1782" s="265" t="s">
        <v>10655</v>
      </c>
    </row>
    <row r="1783" spans="1:11" s="75" customFormat="1" ht="14.55" customHeight="1" x14ac:dyDescent="0.25">
      <c r="A1783" s="272" t="s">
        <v>8816</v>
      </c>
      <c r="B1783" s="272" t="s">
        <v>10591</v>
      </c>
      <c r="C1783" s="272" t="s">
        <v>10334</v>
      </c>
      <c r="D1783" s="259" t="s">
        <v>10335</v>
      </c>
      <c r="E1783" s="265" t="s">
        <v>10655</v>
      </c>
      <c r="F1783" s="272" t="s">
        <v>9198</v>
      </c>
      <c r="G1783" s="272" t="s">
        <v>9197</v>
      </c>
      <c r="H1783" s="265" t="s">
        <v>11002</v>
      </c>
      <c r="I1783" s="290" t="s">
        <v>11003</v>
      </c>
      <c r="J1783" s="265" t="s">
        <v>10655</v>
      </c>
      <c r="K1783" s="265" t="s">
        <v>10655</v>
      </c>
    </row>
    <row r="1784" spans="1:11" s="75" customFormat="1" ht="14.55" customHeight="1" x14ac:dyDescent="0.25">
      <c r="A1784" s="272" t="s">
        <v>8816</v>
      </c>
      <c r="B1784" s="272" t="s">
        <v>10591</v>
      </c>
      <c r="C1784" s="272" t="s">
        <v>10334</v>
      </c>
      <c r="D1784" s="259" t="s">
        <v>10335</v>
      </c>
      <c r="E1784" s="265" t="s">
        <v>10655</v>
      </c>
      <c r="F1784" s="272" t="s">
        <v>9198</v>
      </c>
      <c r="G1784" s="272" t="s">
        <v>9197</v>
      </c>
      <c r="H1784" s="265" t="s">
        <v>10986</v>
      </c>
      <c r="I1784" s="290" t="s">
        <v>10987</v>
      </c>
      <c r="J1784" s="265" t="s">
        <v>10655</v>
      </c>
      <c r="K1784" s="265" t="s">
        <v>10655</v>
      </c>
    </row>
    <row r="1785" spans="1:11" s="75" customFormat="1" ht="14.55" customHeight="1" x14ac:dyDescent="0.25">
      <c r="A1785" s="272" t="s">
        <v>8816</v>
      </c>
      <c r="B1785" s="272" t="s">
        <v>10591</v>
      </c>
      <c r="C1785" s="272" t="s">
        <v>10334</v>
      </c>
      <c r="D1785" s="259" t="s">
        <v>10335</v>
      </c>
      <c r="E1785" s="265" t="s">
        <v>10655</v>
      </c>
      <c r="F1785" s="272" t="s">
        <v>9198</v>
      </c>
      <c r="G1785" s="272" t="s">
        <v>9197</v>
      </c>
      <c r="H1785" s="265" t="s">
        <v>11006</v>
      </c>
      <c r="I1785" s="290" t="s">
        <v>11007</v>
      </c>
      <c r="J1785" s="265" t="s">
        <v>10655</v>
      </c>
      <c r="K1785" s="265" t="s">
        <v>10655</v>
      </c>
    </row>
    <row r="1786" spans="1:11" s="75" customFormat="1" ht="14.55" customHeight="1" x14ac:dyDescent="0.25">
      <c r="A1786" s="272" t="s">
        <v>8816</v>
      </c>
      <c r="B1786" s="272" t="s">
        <v>10591</v>
      </c>
      <c r="C1786" s="272" t="s">
        <v>10334</v>
      </c>
      <c r="D1786" s="259" t="s">
        <v>10335</v>
      </c>
      <c r="E1786" s="265" t="s">
        <v>10655</v>
      </c>
      <c r="F1786" s="272" t="s">
        <v>9198</v>
      </c>
      <c r="G1786" s="272" t="s">
        <v>9197</v>
      </c>
      <c r="H1786" s="265" t="s">
        <v>10990</v>
      </c>
      <c r="I1786" s="290" t="s">
        <v>10991</v>
      </c>
      <c r="J1786" s="265" t="s">
        <v>10655</v>
      </c>
      <c r="K1786" s="265" t="s">
        <v>10655</v>
      </c>
    </row>
    <row r="1787" spans="1:11" s="75" customFormat="1" ht="14.55" customHeight="1" x14ac:dyDescent="0.25">
      <c r="A1787" s="272" t="s">
        <v>8816</v>
      </c>
      <c r="B1787" s="272" t="s">
        <v>10591</v>
      </c>
      <c r="C1787" s="272" t="s">
        <v>10334</v>
      </c>
      <c r="D1787" s="259" t="s">
        <v>10335</v>
      </c>
      <c r="E1787" s="265" t="s">
        <v>10655</v>
      </c>
      <c r="F1787" s="272" t="s">
        <v>9198</v>
      </c>
      <c r="G1787" s="272" t="s">
        <v>9197</v>
      </c>
      <c r="H1787" s="265" t="s">
        <v>10994</v>
      </c>
      <c r="I1787" s="290" t="s">
        <v>10995</v>
      </c>
      <c r="J1787" s="265" t="s">
        <v>10655</v>
      </c>
      <c r="K1787" s="265" t="s">
        <v>10655</v>
      </c>
    </row>
    <row r="1788" spans="1:11" s="75" customFormat="1" ht="14.55" customHeight="1" x14ac:dyDescent="0.25">
      <c r="A1788" s="272" t="s">
        <v>8816</v>
      </c>
      <c r="B1788" s="272" t="s">
        <v>10591</v>
      </c>
      <c r="C1788" s="272" t="s">
        <v>10334</v>
      </c>
      <c r="D1788" s="259" t="s">
        <v>10335</v>
      </c>
      <c r="E1788" s="265" t="s">
        <v>10655</v>
      </c>
      <c r="F1788" s="272" t="s">
        <v>9198</v>
      </c>
      <c r="G1788" s="272" t="s">
        <v>9197</v>
      </c>
      <c r="H1788" s="265" t="s">
        <v>10996</v>
      </c>
      <c r="I1788" s="290" t="s">
        <v>10997</v>
      </c>
      <c r="J1788" s="265" t="s">
        <v>10655</v>
      </c>
      <c r="K1788" s="265" t="s">
        <v>10655</v>
      </c>
    </row>
    <row r="1789" spans="1:11" s="75" customFormat="1" ht="14.55" customHeight="1" x14ac:dyDescent="0.25">
      <c r="A1789" s="272" t="s">
        <v>8816</v>
      </c>
      <c r="B1789" s="272" t="s">
        <v>10591</v>
      </c>
      <c r="C1789" s="272" t="s">
        <v>10334</v>
      </c>
      <c r="D1789" s="259" t="s">
        <v>10335</v>
      </c>
      <c r="E1789" s="265" t="s">
        <v>10655</v>
      </c>
      <c r="F1789" s="272" t="s">
        <v>9198</v>
      </c>
      <c r="G1789" s="272" t="s">
        <v>9197</v>
      </c>
      <c r="H1789" s="265" t="s">
        <v>10998</v>
      </c>
      <c r="I1789" s="290" t="s">
        <v>10999</v>
      </c>
      <c r="J1789" s="265" t="s">
        <v>10655</v>
      </c>
      <c r="K1789" s="265" t="s">
        <v>10655</v>
      </c>
    </row>
    <row r="1790" spans="1:11" s="75" customFormat="1" ht="14.55" customHeight="1" x14ac:dyDescent="0.25">
      <c r="A1790" s="272" t="s">
        <v>8816</v>
      </c>
      <c r="B1790" s="272" t="s">
        <v>10591</v>
      </c>
      <c r="C1790" s="272" t="s">
        <v>10334</v>
      </c>
      <c r="D1790" s="259" t="s">
        <v>10335</v>
      </c>
      <c r="E1790" s="265" t="s">
        <v>10655</v>
      </c>
      <c r="F1790" s="272" t="s">
        <v>9198</v>
      </c>
      <c r="G1790" s="272" t="s">
        <v>9197</v>
      </c>
      <c r="H1790" s="265" t="s">
        <v>11000</v>
      </c>
      <c r="I1790" s="290" t="s">
        <v>11001</v>
      </c>
      <c r="J1790" s="265" t="s">
        <v>10655</v>
      </c>
      <c r="K1790" s="265" t="s">
        <v>10655</v>
      </c>
    </row>
    <row r="1791" spans="1:11" s="75" customFormat="1" ht="14.55" customHeight="1" x14ac:dyDescent="0.25">
      <c r="A1791" s="272" t="s">
        <v>8816</v>
      </c>
      <c r="B1791" s="272" t="s">
        <v>10591</v>
      </c>
      <c r="C1791" s="272" t="s">
        <v>10336</v>
      </c>
      <c r="D1791" s="259" t="s">
        <v>10337</v>
      </c>
      <c r="E1791" s="265" t="s">
        <v>10655</v>
      </c>
      <c r="F1791" s="272" t="s">
        <v>9198</v>
      </c>
      <c r="G1791" s="272" t="s">
        <v>9197</v>
      </c>
      <c r="H1791" s="265" t="s">
        <v>10976</v>
      </c>
      <c r="I1791" s="290" t="s">
        <v>10977</v>
      </c>
      <c r="J1791" s="265" t="s">
        <v>10655</v>
      </c>
      <c r="K1791" s="265" t="s">
        <v>10655</v>
      </c>
    </row>
    <row r="1792" spans="1:11" s="75" customFormat="1" ht="14.55" customHeight="1" x14ac:dyDescent="0.25">
      <c r="A1792" s="272" t="s">
        <v>8816</v>
      </c>
      <c r="B1792" s="272" t="s">
        <v>10591</v>
      </c>
      <c r="C1792" s="272" t="s">
        <v>10336</v>
      </c>
      <c r="D1792" s="259" t="s">
        <v>10337</v>
      </c>
      <c r="E1792" s="265" t="s">
        <v>10655</v>
      </c>
      <c r="F1792" s="272" t="s">
        <v>9198</v>
      </c>
      <c r="G1792" s="272" t="s">
        <v>9197</v>
      </c>
      <c r="H1792" s="265" t="s">
        <v>10978</v>
      </c>
      <c r="I1792" s="290" t="s">
        <v>10979</v>
      </c>
      <c r="J1792" s="265" t="s">
        <v>10655</v>
      </c>
      <c r="K1792" s="265" t="s">
        <v>10655</v>
      </c>
    </row>
    <row r="1793" spans="1:11" s="75" customFormat="1" ht="14.55" customHeight="1" x14ac:dyDescent="0.25">
      <c r="A1793" s="272" t="s">
        <v>8816</v>
      </c>
      <c r="B1793" s="272" t="s">
        <v>10591</v>
      </c>
      <c r="C1793" s="272" t="s">
        <v>10336</v>
      </c>
      <c r="D1793" s="259" t="s">
        <v>10337</v>
      </c>
      <c r="E1793" s="265" t="s">
        <v>10655</v>
      </c>
      <c r="F1793" s="272" t="s">
        <v>9198</v>
      </c>
      <c r="G1793" s="272" t="s">
        <v>9197</v>
      </c>
      <c r="H1793" s="265" t="s">
        <v>10980</v>
      </c>
      <c r="I1793" s="290" t="s">
        <v>10981</v>
      </c>
      <c r="J1793" s="265" t="s">
        <v>10655</v>
      </c>
      <c r="K1793" s="265" t="s">
        <v>10655</v>
      </c>
    </row>
    <row r="1794" spans="1:11" s="75" customFormat="1" ht="14.55" customHeight="1" x14ac:dyDescent="0.25">
      <c r="A1794" s="272" t="s">
        <v>8816</v>
      </c>
      <c r="B1794" s="272" t="s">
        <v>10591</v>
      </c>
      <c r="C1794" s="272" t="s">
        <v>10336</v>
      </c>
      <c r="D1794" s="259" t="s">
        <v>10337</v>
      </c>
      <c r="E1794" s="265" t="s">
        <v>10655</v>
      </c>
      <c r="F1794" s="272" t="s">
        <v>9198</v>
      </c>
      <c r="G1794" s="272" t="s">
        <v>9197</v>
      </c>
      <c r="H1794" s="265" t="s">
        <v>10982</v>
      </c>
      <c r="I1794" s="290" t="s">
        <v>10983</v>
      </c>
      <c r="J1794" s="265" t="s">
        <v>10655</v>
      </c>
      <c r="K1794" s="265" t="s">
        <v>10655</v>
      </c>
    </row>
    <row r="1795" spans="1:11" s="75" customFormat="1" ht="14.55" customHeight="1" x14ac:dyDescent="0.25">
      <c r="A1795" s="272" t="s">
        <v>8816</v>
      </c>
      <c r="B1795" s="272" t="s">
        <v>10591</v>
      </c>
      <c r="C1795" s="272" t="s">
        <v>10336</v>
      </c>
      <c r="D1795" s="259" t="s">
        <v>10337</v>
      </c>
      <c r="E1795" s="265" t="s">
        <v>10655</v>
      </c>
      <c r="F1795" s="272" t="s">
        <v>9198</v>
      </c>
      <c r="G1795" s="272" t="s">
        <v>9197</v>
      </c>
      <c r="H1795" s="265" t="s">
        <v>10984</v>
      </c>
      <c r="I1795" s="290" t="s">
        <v>10985</v>
      </c>
      <c r="J1795" s="265" t="s">
        <v>10655</v>
      </c>
      <c r="K1795" s="265" t="s">
        <v>10655</v>
      </c>
    </row>
    <row r="1796" spans="1:11" s="75" customFormat="1" ht="14.55" customHeight="1" x14ac:dyDescent="0.25">
      <c r="A1796" s="272" t="s">
        <v>8816</v>
      </c>
      <c r="B1796" s="272" t="s">
        <v>10591</v>
      </c>
      <c r="C1796" s="272" t="s">
        <v>10336</v>
      </c>
      <c r="D1796" s="259" t="s">
        <v>10337</v>
      </c>
      <c r="E1796" s="265" t="s">
        <v>10655</v>
      </c>
      <c r="F1796" s="272" t="s">
        <v>9198</v>
      </c>
      <c r="G1796" s="272" t="s">
        <v>9197</v>
      </c>
      <c r="H1796" s="265" t="s">
        <v>10986</v>
      </c>
      <c r="I1796" s="290" t="s">
        <v>10987</v>
      </c>
      <c r="J1796" s="265" t="s">
        <v>10655</v>
      </c>
      <c r="K1796" s="265" t="s">
        <v>10655</v>
      </c>
    </row>
    <row r="1797" spans="1:11" s="75" customFormat="1" ht="14.55" customHeight="1" x14ac:dyDescent="0.25">
      <c r="A1797" s="272" t="s">
        <v>8816</v>
      </c>
      <c r="B1797" s="272" t="s">
        <v>10591</v>
      </c>
      <c r="C1797" s="272" t="s">
        <v>10336</v>
      </c>
      <c r="D1797" s="259" t="s">
        <v>10337</v>
      </c>
      <c r="E1797" s="265" t="s">
        <v>10655</v>
      </c>
      <c r="F1797" s="272" t="s">
        <v>9198</v>
      </c>
      <c r="G1797" s="272" t="s">
        <v>9197</v>
      </c>
      <c r="H1797" s="265" t="s">
        <v>11006</v>
      </c>
      <c r="I1797" s="290" t="s">
        <v>11007</v>
      </c>
      <c r="J1797" s="265" t="s">
        <v>10655</v>
      </c>
      <c r="K1797" s="265" t="s">
        <v>10655</v>
      </c>
    </row>
    <row r="1798" spans="1:11" s="75" customFormat="1" ht="14.55" customHeight="1" x14ac:dyDescent="0.25">
      <c r="A1798" s="272" t="s">
        <v>8816</v>
      </c>
      <c r="B1798" s="272" t="s">
        <v>10591</v>
      </c>
      <c r="C1798" s="272" t="s">
        <v>10336</v>
      </c>
      <c r="D1798" s="259" t="s">
        <v>10337</v>
      </c>
      <c r="E1798" s="265" t="s">
        <v>10655</v>
      </c>
      <c r="F1798" s="272" t="s">
        <v>9198</v>
      </c>
      <c r="G1798" s="272" t="s">
        <v>9197</v>
      </c>
      <c r="H1798" s="265" t="s">
        <v>10988</v>
      </c>
      <c r="I1798" s="290" t="s">
        <v>10989</v>
      </c>
      <c r="J1798" s="265" t="s">
        <v>10655</v>
      </c>
      <c r="K1798" s="265" t="s">
        <v>10655</v>
      </c>
    </row>
    <row r="1799" spans="1:11" s="75" customFormat="1" ht="14.55" customHeight="1" x14ac:dyDescent="0.25">
      <c r="A1799" s="272" t="s">
        <v>8816</v>
      </c>
      <c r="B1799" s="272" t="s">
        <v>10591</v>
      </c>
      <c r="C1799" s="272" t="s">
        <v>10336</v>
      </c>
      <c r="D1799" s="259" t="s">
        <v>10337</v>
      </c>
      <c r="E1799" s="265" t="s">
        <v>10655</v>
      </c>
      <c r="F1799" s="272" t="s">
        <v>9198</v>
      </c>
      <c r="G1799" s="272" t="s">
        <v>9197</v>
      </c>
      <c r="H1799" s="265" t="s">
        <v>10992</v>
      </c>
      <c r="I1799" s="290" t="s">
        <v>10993</v>
      </c>
      <c r="J1799" s="265" t="s">
        <v>10655</v>
      </c>
      <c r="K1799" s="265" t="s">
        <v>10655</v>
      </c>
    </row>
    <row r="1800" spans="1:11" s="75" customFormat="1" ht="14.55" customHeight="1" x14ac:dyDescent="0.25">
      <c r="A1800" s="272" t="s">
        <v>8816</v>
      </c>
      <c r="B1800" s="272" t="s">
        <v>10591</v>
      </c>
      <c r="C1800" s="272" t="s">
        <v>10336</v>
      </c>
      <c r="D1800" s="259" t="s">
        <v>10337</v>
      </c>
      <c r="E1800" s="265" t="s">
        <v>10655</v>
      </c>
      <c r="F1800" s="272" t="s">
        <v>9198</v>
      </c>
      <c r="G1800" s="272" t="s">
        <v>9197</v>
      </c>
      <c r="H1800" s="265" t="s">
        <v>10994</v>
      </c>
      <c r="I1800" s="290" t="s">
        <v>10995</v>
      </c>
      <c r="J1800" s="265" t="s">
        <v>10655</v>
      </c>
      <c r="K1800" s="265" t="s">
        <v>10655</v>
      </c>
    </row>
    <row r="1801" spans="1:11" s="75" customFormat="1" ht="14.55" customHeight="1" x14ac:dyDescent="0.25">
      <c r="A1801" s="272" t="s">
        <v>8816</v>
      </c>
      <c r="B1801" s="272" t="s">
        <v>10591</v>
      </c>
      <c r="C1801" s="272" t="s">
        <v>10336</v>
      </c>
      <c r="D1801" s="259" t="s">
        <v>10337</v>
      </c>
      <c r="E1801" s="265" t="s">
        <v>10655</v>
      </c>
      <c r="F1801" s="272" t="s">
        <v>9198</v>
      </c>
      <c r="G1801" s="272" t="s">
        <v>9197</v>
      </c>
      <c r="H1801" s="265" t="s">
        <v>10996</v>
      </c>
      <c r="I1801" s="290" t="s">
        <v>10997</v>
      </c>
      <c r="J1801" s="265" t="s">
        <v>10655</v>
      </c>
      <c r="K1801" s="265" t="s">
        <v>10655</v>
      </c>
    </row>
    <row r="1802" spans="1:11" s="75" customFormat="1" ht="14.55" customHeight="1" x14ac:dyDescent="0.25">
      <c r="A1802" s="272" t="s">
        <v>8816</v>
      </c>
      <c r="B1802" s="272" t="s">
        <v>10591</v>
      </c>
      <c r="C1802" s="272" t="s">
        <v>10336</v>
      </c>
      <c r="D1802" s="259" t="s">
        <v>10337</v>
      </c>
      <c r="E1802" s="265" t="s">
        <v>10655</v>
      </c>
      <c r="F1802" s="272" t="s">
        <v>9198</v>
      </c>
      <c r="G1802" s="272" t="s">
        <v>9197</v>
      </c>
      <c r="H1802" s="265" t="s">
        <v>10929</v>
      </c>
      <c r="I1802" s="290" t="s">
        <v>10930</v>
      </c>
      <c r="J1802" s="265" t="s">
        <v>10655</v>
      </c>
      <c r="K1802" s="265" t="s">
        <v>10655</v>
      </c>
    </row>
    <row r="1803" spans="1:11" s="75" customFormat="1" ht="14.55" customHeight="1" x14ac:dyDescent="0.25">
      <c r="A1803" s="272" t="s">
        <v>8816</v>
      </c>
      <c r="B1803" s="272" t="s">
        <v>10591</v>
      </c>
      <c r="C1803" s="272" t="s">
        <v>10336</v>
      </c>
      <c r="D1803" s="259" t="s">
        <v>10337</v>
      </c>
      <c r="E1803" s="265" t="s">
        <v>10655</v>
      </c>
      <c r="F1803" s="272" t="s">
        <v>9198</v>
      </c>
      <c r="G1803" s="272" t="s">
        <v>9197</v>
      </c>
      <c r="H1803" s="265" t="s">
        <v>11012</v>
      </c>
      <c r="I1803" s="290" t="s">
        <v>11013</v>
      </c>
      <c r="J1803" s="265" t="s">
        <v>10655</v>
      </c>
      <c r="K1803" s="265" t="s">
        <v>10655</v>
      </c>
    </row>
    <row r="1804" spans="1:11" s="75" customFormat="1" ht="14.55" customHeight="1" x14ac:dyDescent="0.25">
      <c r="A1804" s="272" t="s">
        <v>8816</v>
      </c>
      <c r="B1804" s="272" t="s">
        <v>10591</v>
      </c>
      <c r="C1804" s="272" t="s">
        <v>10336</v>
      </c>
      <c r="D1804" s="259" t="s">
        <v>10337</v>
      </c>
      <c r="E1804" s="265" t="s">
        <v>10655</v>
      </c>
      <c r="F1804" s="272" t="s">
        <v>9198</v>
      </c>
      <c r="G1804" s="272" t="s">
        <v>9197</v>
      </c>
      <c r="H1804" s="265" t="s">
        <v>11000</v>
      </c>
      <c r="I1804" s="290" t="s">
        <v>11001</v>
      </c>
      <c r="J1804" s="265" t="s">
        <v>10655</v>
      </c>
      <c r="K1804" s="265" t="s">
        <v>10655</v>
      </c>
    </row>
    <row r="1805" spans="1:11" s="75" customFormat="1" ht="14.55" customHeight="1" x14ac:dyDescent="0.25">
      <c r="A1805" s="272" t="s">
        <v>8816</v>
      </c>
      <c r="B1805" s="272" t="s">
        <v>10591</v>
      </c>
      <c r="C1805" s="272" t="s">
        <v>10338</v>
      </c>
      <c r="D1805" s="259" t="s">
        <v>10339</v>
      </c>
      <c r="E1805" s="265" t="s">
        <v>10655</v>
      </c>
      <c r="F1805" s="272" t="s">
        <v>9198</v>
      </c>
      <c r="G1805" s="272" t="s">
        <v>9197</v>
      </c>
      <c r="H1805" s="265" t="s">
        <v>10986</v>
      </c>
      <c r="I1805" s="290" t="s">
        <v>10987</v>
      </c>
      <c r="J1805" s="265" t="s">
        <v>10655</v>
      </c>
      <c r="K1805" s="265" t="s">
        <v>10655</v>
      </c>
    </row>
    <row r="1806" spans="1:11" s="75" customFormat="1" ht="14.55" customHeight="1" x14ac:dyDescent="0.25">
      <c r="A1806" s="272" t="s">
        <v>8816</v>
      </c>
      <c r="B1806" s="272" t="s">
        <v>10591</v>
      </c>
      <c r="C1806" s="272" t="s">
        <v>10338</v>
      </c>
      <c r="D1806" s="259" t="s">
        <v>10339</v>
      </c>
      <c r="E1806" s="265" t="s">
        <v>10655</v>
      </c>
      <c r="F1806" s="272" t="s">
        <v>9198</v>
      </c>
      <c r="G1806" s="272" t="s">
        <v>9197</v>
      </c>
      <c r="H1806" s="265" t="s">
        <v>11006</v>
      </c>
      <c r="I1806" s="290" t="s">
        <v>11007</v>
      </c>
      <c r="J1806" s="265" t="s">
        <v>10655</v>
      </c>
      <c r="K1806" s="265" t="s">
        <v>10655</v>
      </c>
    </row>
    <row r="1807" spans="1:11" s="75" customFormat="1" ht="14.55" customHeight="1" x14ac:dyDescent="0.25">
      <c r="A1807" s="272" t="s">
        <v>8816</v>
      </c>
      <c r="B1807" s="272" t="s">
        <v>10591</v>
      </c>
      <c r="C1807" s="272" t="s">
        <v>10338</v>
      </c>
      <c r="D1807" s="259" t="s">
        <v>10339</v>
      </c>
      <c r="E1807" s="265" t="s">
        <v>10655</v>
      </c>
      <c r="F1807" s="272" t="s">
        <v>9198</v>
      </c>
      <c r="G1807" s="272" t="s">
        <v>9197</v>
      </c>
      <c r="H1807" s="265" t="s">
        <v>10988</v>
      </c>
      <c r="I1807" s="290" t="s">
        <v>10989</v>
      </c>
      <c r="J1807" s="265" t="s">
        <v>10655</v>
      </c>
      <c r="K1807" s="265" t="s">
        <v>10655</v>
      </c>
    </row>
    <row r="1808" spans="1:11" s="75" customFormat="1" ht="14.55" customHeight="1" x14ac:dyDescent="0.25">
      <c r="A1808" s="272" t="s">
        <v>8816</v>
      </c>
      <c r="B1808" s="272" t="s">
        <v>10591</v>
      </c>
      <c r="C1808" s="272" t="s">
        <v>10338</v>
      </c>
      <c r="D1808" s="259" t="s">
        <v>10339</v>
      </c>
      <c r="E1808" s="265" t="s">
        <v>10655</v>
      </c>
      <c r="F1808" s="272" t="s">
        <v>9198</v>
      </c>
      <c r="G1808" s="272" t="s">
        <v>9197</v>
      </c>
      <c r="H1808" s="265" t="s">
        <v>11012</v>
      </c>
      <c r="I1808" s="290" t="s">
        <v>11013</v>
      </c>
      <c r="J1808" s="265" t="s">
        <v>10655</v>
      </c>
      <c r="K1808" s="265" t="s">
        <v>10655</v>
      </c>
    </row>
    <row r="1809" spans="1:11" s="75" customFormat="1" ht="14.55" customHeight="1" x14ac:dyDescent="0.25">
      <c r="A1809" s="272" t="s">
        <v>8816</v>
      </c>
      <c r="B1809" s="272" t="s">
        <v>10591</v>
      </c>
      <c r="C1809" s="272" t="s">
        <v>10338</v>
      </c>
      <c r="D1809" s="259" t="s">
        <v>10339</v>
      </c>
      <c r="E1809" s="265" t="s">
        <v>10655</v>
      </c>
      <c r="F1809" s="272" t="s">
        <v>9198</v>
      </c>
      <c r="G1809" s="272" t="s">
        <v>9197</v>
      </c>
      <c r="H1809" s="265" t="s">
        <v>11000</v>
      </c>
      <c r="I1809" s="290" t="s">
        <v>11001</v>
      </c>
      <c r="J1809" s="265" t="s">
        <v>10655</v>
      </c>
      <c r="K1809" s="265" t="s">
        <v>10655</v>
      </c>
    </row>
    <row r="1810" spans="1:11" s="75" customFormat="1" ht="14.55" customHeight="1" x14ac:dyDescent="0.25">
      <c r="A1810" s="272" t="s">
        <v>8816</v>
      </c>
      <c r="B1810" s="272" t="s">
        <v>10591</v>
      </c>
      <c r="C1810" s="272" t="s">
        <v>10340</v>
      </c>
      <c r="D1810" s="259" t="s">
        <v>10341</v>
      </c>
      <c r="E1810" s="265" t="s">
        <v>10655</v>
      </c>
      <c r="F1810" s="272" t="s">
        <v>9198</v>
      </c>
      <c r="G1810" s="272" t="s">
        <v>9197</v>
      </c>
      <c r="H1810" s="265" t="s">
        <v>10986</v>
      </c>
      <c r="I1810" s="290" t="s">
        <v>10987</v>
      </c>
      <c r="J1810" s="265" t="s">
        <v>10655</v>
      </c>
      <c r="K1810" s="265" t="s">
        <v>10655</v>
      </c>
    </row>
    <row r="1811" spans="1:11" s="75" customFormat="1" ht="14.55" customHeight="1" x14ac:dyDescent="0.25">
      <c r="A1811" s="272" t="s">
        <v>8816</v>
      </c>
      <c r="B1811" s="272" t="s">
        <v>10591</v>
      </c>
      <c r="C1811" s="272" t="s">
        <v>10340</v>
      </c>
      <c r="D1811" s="259" t="s">
        <v>10341</v>
      </c>
      <c r="E1811" s="265" t="s">
        <v>10655</v>
      </c>
      <c r="F1811" s="272" t="s">
        <v>9198</v>
      </c>
      <c r="G1811" s="272" t="s">
        <v>9197</v>
      </c>
      <c r="H1811" s="265" t="s">
        <v>11006</v>
      </c>
      <c r="I1811" s="290" t="s">
        <v>11007</v>
      </c>
      <c r="J1811" s="265" t="s">
        <v>10655</v>
      </c>
      <c r="K1811" s="265" t="s">
        <v>10655</v>
      </c>
    </row>
    <row r="1812" spans="1:11" s="75" customFormat="1" ht="14.55" customHeight="1" x14ac:dyDescent="0.25">
      <c r="A1812" s="272" t="s">
        <v>8816</v>
      </c>
      <c r="B1812" s="272" t="s">
        <v>10591</v>
      </c>
      <c r="C1812" s="272" t="s">
        <v>10340</v>
      </c>
      <c r="D1812" s="259" t="s">
        <v>10341</v>
      </c>
      <c r="E1812" s="265" t="s">
        <v>10655</v>
      </c>
      <c r="F1812" s="272" t="s">
        <v>9198</v>
      </c>
      <c r="G1812" s="272" t="s">
        <v>9197</v>
      </c>
      <c r="H1812" s="265" t="s">
        <v>11012</v>
      </c>
      <c r="I1812" s="290" t="s">
        <v>11013</v>
      </c>
      <c r="J1812" s="265" t="s">
        <v>10655</v>
      </c>
      <c r="K1812" s="265" t="s">
        <v>10655</v>
      </c>
    </row>
    <row r="1813" spans="1:11" s="75" customFormat="1" ht="14.55" customHeight="1" x14ac:dyDescent="0.25">
      <c r="A1813" s="272" t="s">
        <v>8816</v>
      </c>
      <c r="B1813" s="272" t="s">
        <v>10591</v>
      </c>
      <c r="C1813" s="272" t="s">
        <v>10340</v>
      </c>
      <c r="D1813" s="259" t="s">
        <v>10341</v>
      </c>
      <c r="E1813" s="265" t="s">
        <v>10655</v>
      </c>
      <c r="F1813" s="272" t="s">
        <v>9198</v>
      </c>
      <c r="G1813" s="272" t="s">
        <v>9197</v>
      </c>
      <c r="H1813" s="265" t="s">
        <v>11000</v>
      </c>
      <c r="I1813" s="290" t="s">
        <v>11001</v>
      </c>
      <c r="J1813" s="265" t="s">
        <v>10655</v>
      </c>
      <c r="K1813" s="265" t="s">
        <v>10655</v>
      </c>
    </row>
    <row r="1814" spans="1:11" s="75" customFormat="1" ht="14.55" customHeight="1" x14ac:dyDescent="0.25">
      <c r="A1814" s="272" t="s">
        <v>8816</v>
      </c>
      <c r="B1814" s="272" t="s">
        <v>10591</v>
      </c>
      <c r="C1814" s="272" t="s">
        <v>10342</v>
      </c>
      <c r="D1814" s="259" t="s">
        <v>10343</v>
      </c>
      <c r="E1814" s="265" t="s">
        <v>10655</v>
      </c>
      <c r="F1814" s="272" t="s">
        <v>9198</v>
      </c>
      <c r="G1814" s="272" t="s">
        <v>9197</v>
      </c>
      <c r="H1814" s="265" t="s">
        <v>10986</v>
      </c>
      <c r="I1814" s="290" t="s">
        <v>10987</v>
      </c>
      <c r="J1814" s="265" t="s">
        <v>10655</v>
      </c>
      <c r="K1814" s="265" t="s">
        <v>10655</v>
      </c>
    </row>
    <row r="1815" spans="1:11" s="75" customFormat="1" ht="14.55" customHeight="1" x14ac:dyDescent="0.25">
      <c r="A1815" s="272" t="s">
        <v>8816</v>
      </c>
      <c r="B1815" s="272" t="s">
        <v>10591</v>
      </c>
      <c r="C1815" s="272" t="s">
        <v>10342</v>
      </c>
      <c r="D1815" s="259" t="s">
        <v>10343</v>
      </c>
      <c r="E1815" s="265" t="s">
        <v>10655</v>
      </c>
      <c r="F1815" s="272" t="s">
        <v>9198</v>
      </c>
      <c r="G1815" s="272" t="s">
        <v>9197</v>
      </c>
      <c r="H1815" s="265" t="s">
        <v>11006</v>
      </c>
      <c r="I1815" s="290" t="s">
        <v>11007</v>
      </c>
      <c r="J1815" s="265" t="s">
        <v>10655</v>
      </c>
      <c r="K1815" s="265" t="s">
        <v>10655</v>
      </c>
    </row>
    <row r="1816" spans="1:11" s="75" customFormat="1" ht="14.55" customHeight="1" x14ac:dyDescent="0.25">
      <c r="A1816" s="272" t="s">
        <v>8816</v>
      </c>
      <c r="B1816" s="272" t="s">
        <v>10591</v>
      </c>
      <c r="C1816" s="272" t="s">
        <v>10342</v>
      </c>
      <c r="D1816" s="259" t="s">
        <v>10343</v>
      </c>
      <c r="E1816" s="265" t="s">
        <v>10655</v>
      </c>
      <c r="F1816" s="272" t="s">
        <v>9198</v>
      </c>
      <c r="G1816" s="272" t="s">
        <v>9197</v>
      </c>
      <c r="H1816" s="265" t="s">
        <v>11000</v>
      </c>
      <c r="I1816" s="290" t="s">
        <v>11001</v>
      </c>
      <c r="J1816" s="265" t="s">
        <v>10655</v>
      </c>
      <c r="K1816" s="265" t="s">
        <v>10655</v>
      </c>
    </row>
    <row r="1817" spans="1:11" s="75" customFormat="1" ht="14.55" customHeight="1" x14ac:dyDescent="0.25">
      <c r="A1817" s="272" t="s">
        <v>8816</v>
      </c>
      <c r="B1817" s="272" t="s">
        <v>10591</v>
      </c>
      <c r="C1817" s="272" t="s">
        <v>10344</v>
      </c>
      <c r="D1817" s="259" t="s">
        <v>10345</v>
      </c>
      <c r="E1817" s="265" t="s">
        <v>10655</v>
      </c>
      <c r="F1817" s="272" t="s">
        <v>9198</v>
      </c>
      <c r="G1817" s="272" t="s">
        <v>9197</v>
      </c>
      <c r="H1817" s="265" t="s">
        <v>10986</v>
      </c>
      <c r="I1817" s="290" t="s">
        <v>10987</v>
      </c>
      <c r="J1817" s="265" t="s">
        <v>10655</v>
      </c>
      <c r="K1817" s="265" t="s">
        <v>10655</v>
      </c>
    </row>
    <row r="1818" spans="1:11" s="75" customFormat="1" ht="14.55" customHeight="1" x14ac:dyDescent="0.25">
      <c r="A1818" s="272" t="s">
        <v>8816</v>
      </c>
      <c r="B1818" s="272" t="s">
        <v>10591</v>
      </c>
      <c r="C1818" s="272" t="s">
        <v>10344</v>
      </c>
      <c r="D1818" s="259" t="s">
        <v>10345</v>
      </c>
      <c r="E1818" s="265" t="s">
        <v>10655</v>
      </c>
      <c r="F1818" s="272" t="s">
        <v>9198</v>
      </c>
      <c r="G1818" s="272" t="s">
        <v>9197</v>
      </c>
      <c r="H1818" s="265" t="s">
        <v>11006</v>
      </c>
      <c r="I1818" s="290" t="s">
        <v>11007</v>
      </c>
      <c r="J1818" s="265" t="s">
        <v>10655</v>
      </c>
      <c r="K1818" s="265" t="s">
        <v>10655</v>
      </c>
    </row>
    <row r="1819" spans="1:11" s="75" customFormat="1" ht="14.55" customHeight="1" x14ac:dyDescent="0.25">
      <c r="A1819" s="272" t="s">
        <v>8816</v>
      </c>
      <c r="B1819" s="272" t="s">
        <v>10591</v>
      </c>
      <c r="C1819" s="272" t="s">
        <v>10344</v>
      </c>
      <c r="D1819" s="259" t="s">
        <v>10345</v>
      </c>
      <c r="E1819" s="265" t="s">
        <v>10655</v>
      </c>
      <c r="F1819" s="272" t="s">
        <v>9198</v>
      </c>
      <c r="G1819" s="272" t="s">
        <v>9197</v>
      </c>
      <c r="H1819" s="265" t="s">
        <v>11012</v>
      </c>
      <c r="I1819" s="290" t="s">
        <v>11013</v>
      </c>
      <c r="J1819" s="265" t="s">
        <v>10655</v>
      </c>
      <c r="K1819" s="265" t="s">
        <v>10655</v>
      </c>
    </row>
    <row r="1820" spans="1:11" s="75" customFormat="1" ht="14.55" customHeight="1" x14ac:dyDescent="0.25">
      <c r="A1820" s="272" t="s">
        <v>8816</v>
      </c>
      <c r="B1820" s="272" t="s">
        <v>10591</v>
      </c>
      <c r="C1820" s="272" t="s">
        <v>10344</v>
      </c>
      <c r="D1820" s="259" t="s">
        <v>10345</v>
      </c>
      <c r="E1820" s="265" t="s">
        <v>10655</v>
      </c>
      <c r="F1820" s="272" t="s">
        <v>9198</v>
      </c>
      <c r="G1820" s="272" t="s">
        <v>9197</v>
      </c>
      <c r="H1820" s="265" t="s">
        <v>11000</v>
      </c>
      <c r="I1820" s="290" t="s">
        <v>11001</v>
      </c>
      <c r="J1820" s="265" t="s">
        <v>10655</v>
      </c>
      <c r="K1820" s="265" t="s">
        <v>10655</v>
      </c>
    </row>
    <row r="1821" spans="1:11" s="75" customFormat="1" ht="14.55" customHeight="1" x14ac:dyDescent="0.25">
      <c r="A1821" s="272" t="s">
        <v>8816</v>
      </c>
      <c r="B1821" s="272" t="s">
        <v>10591</v>
      </c>
      <c r="C1821" s="272" t="s">
        <v>10346</v>
      </c>
      <c r="D1821" s="259" t="s">
        <v>10347</v>
      </c>
      <c r="E1821" s="265" t="s">
        <v>10655</v>
      </c>
      <c r="F1821" s="272" t="s">
        <v>9198</v>
      </c>
      <c r="G1821" s="272" t="s">
        <v>9197</v>
      </c>
      <c r="H1821" s="265" t="s">
        <v>10986</v>
      </c>
      <c r="I1821" s="290" t="s">
        <v>10987</v>
      </c>
      <c r="J1821" s="265" t="s">
        <v>10655</v>
      </c>
      <c r="K1821" s="265" t="s">
        <v>10655</v>
      </c>
    </row>
    <row r="1822" spans="1:11" s="75" customFormat="1" ht="14.55" customHeight="1" x14ac:dyDescent="0.25">
      <c r="A1822" s="272" t="s">
        <v>8816</v>
      </c>
      <c r="B1822" s="272" t="s">
        <v>10591</v>
      </c>
      <c r="C1822" s="272" t="s">
        <v>10346</v>
      </c>
      <c r="D1822" s="259" t="s">
        <v>10347</v>
      </c>
      <c r="E1822" s="265" t="s">
        <v>10655</v>
      </c>
      <c r="F1822" s="272" t="s">
        <v>9198</v>
      </c>
      <c r="G1822" s="272" t="s">
        <v>9197</v>
      </c>
      <c r="H1822" s="265" t="s">
        <v>11000</v>
      </c>
      <c r="I1822" s="290" t="s">
        <v>11001</v>
      </c>
      <c r="J1822" s="265" t="s">
        <v>10655</v>
      </c>
      <c r="K1822" s="265" t="s">
        <v>10655</v>
      </c>
    </row>
    <row r="1823" spans="1:11" s="75" customFormat="1" ht="14.55" customHeight="1" x14ac:dyDescent="0.25">
      <c r="A1823" s="272" t="s">
        <v>8816</v>
      </c>
      <c r="B1823" s="272" t="s">
        <v>10591</v>
      </c>
      <c r="C1823" s="272" t="s">
        <v>10348</v>
      </c>
      <c r="D1823" s="259" t="s">
        <v>10349</v>
      </c>
      <c r="E1823" s="265" t="s">
        <v>10655</v>
      </c>
      <c r="F1823" s="272" t="s">
        <v>9198</v>
      </c>
      <c r="G1823" s="272" t="s">
        <v>9198</v>
      </c>
      <c r="H1823" s="265" t="s">
        <v>10986</v>
      </c>
      <c r="I1823" s="290" t="s">
        <v>10987</v>
      </c>
      <c r="J1823" s="265" t="s">
        <v>10655</v>
      </c>
      <c r="K1823" s="265" t="s">
        <v>10655</v>
      </c>
    </row>
    <row r="1824" spans="1:11" s="75" customFormat="1" ht="14.55" customHeight="1" x14ac:dyDescent="0.25">
      <c r="A1824" s="272" t="s">
        <v>8816</v>
      </c>
      <c r="B1824" s="272" t="s">
        <v>10591</v>
      </c>
      <c r="C1824" s="272" t="s">
        <v>10348</v>
      </c>
      <c r="D1824" s="259" t="s">
        <v>10349</v>
      </c>
      <c r="E1824" s="265" t="s">
        <v>10655</v>
      </c>
      <c r="F1824" s="272" t="s">
        <v>9198</v>
      </c>
      <c r="G1824" s="272" t="s">
        <v>9198</v>
      </c>
      <c r="H1824" s="265" t="s">
        <v>11012</v>
      </c>
      <c r="I1824" s="290" t="s">
        <v>11013</v>
      </c>
      <c r="J1824" s="265" t="s">
        <v>10655</v>
      </c>
      <c r="K1824" s="265" t="s">
        <v>10655</v>
      </c>
    </row>
    <row r="1825" spans="1:11" s="75" customFormat="1" ht="14.55" customHeight="1" x14ac:dyDescent="0.25">
      <c r="A1825" s="272" t="s">
        <v>8816</v>
      </c>
      <c r="B1825" s="272" t="s">
        <v>10591</v>
      </c>
      <c r="C1825" s="272" t="s">
        <v>10348</v>
      </c>
      <c r="D1825" s="259" t="s">
        <v>10349</v>
      </c>
      <c r="E1825" s="265" t="s">
        <v>10655</v>
      </c>
      <c r="F1825" s="272" t="s">
        <v>9198</v>
      </c>
      <c r="G1825" s="272" t="s">
        <v>9198</v>
      </c>
      <c r="H1825" s="265" t="s">
        <v>11000</v>
      </c>
      <c r="I1825" s="290" t="s">
        <v>11001</v>
      </c>
      <c r="J1825" s="265" t="s">
        <v>10655</v>
      </c>
      <c r="K1825" s="265" t="s">
        <v>10655</v>
      </c>
    </row>
    <row r="1826" spans="1:11" s="75" customFormat="1" ht="14.55" customHeight="1" x14ac:dyDescent="0.25">
      <c r="A1826" s="272" t="s">
        <v>8816</v>
      </c>
      <c r="B1826" s="272" t="s">
        <v>10591</v>
      </c>
      <c r="C1826" s="272" t="s">
        <v>10350</v>
      </c>
      <c r="D1826" s="259" t="s">
        <v>10351</v>
      </c>
      <c r="E1826" s="265" t="s">
        <v>10655</v>
      </c>
      <c r="F1826" s="272" t="s">
        <v>9198</v>
      </c>
      <c r="G1826" s="272" t="s">
        <v>9198</v>
      </c>
      <c r="H1826" s="265" t="s">
        <v>10986</v>
      </c>
      <c r="I1826" s="290" t="s">
        <v>10987</v>
      </c>
      <c r="J1826" s="265" t="s">
        <v>10655</v>
      </c>
      <c r="K1826" s="265" t="s">
        <v>10655</v>
      </c>
    </row>
    <row r="1827" spans="1:11" s="75" customFormat="1" ht="14.55" customHeight="1" x14ac:dyDescent="0.25">
      <c r="A1827" s="272" t="s">
        <v>8816</v>
      </c>
      <c r="B1827" s="272" t="s">
        <v>10591</v>
      </c>
      <c r="C1827" s="272" t="s">
        <v>10350</v>
      </c>
      <c r="D1827" s="259" t="s">
        <v>10351</v>
      </c>
      <c r="E1827" s="265" t="s">
        <v>10655</v>
      </c>
      <c r="F1827" s="272" t="s">
        <v>9198</v>
      </c>
      <c r="G1827" s="272" t="s">
        <v>9198</v>
      </c>
      <c r="H1827" s="265" t="s">
        <v>11006</v>
      </c>
      <c r="I1827" s="290" t="s">
        <v>11007</v>
      </c>
      <c r="J1827" s="265" t="s">
        <v>10655</v>
      </c>
      <c r="K1827" s="265" t="s">
        <v>10655</v>
      </c>
    </row>
    <row r="1828" spans="1:11" s="75" customFormat="1" ht="14.55" customHeight="1" x14ac:dyDescent="0.25">
      <c r="A1828" s="272" t="s">
        <v>8816</v>
      </c>
      <c r="B1828" s="272" t="s">
        <v>10591</v>
      </c>
      <c r="C1828" s="272" t="s">
        <v>10350</v>
      </c>
      <c r="D1828" s="259" t="s">
        <v>10351</v>
      </c>
      <c r="E1828" s="265" t="s">
        <v>10655</v>
      </c>
      <c r="F1828" s="272" t="s">
        <v>9198</v>
      </c>
      <c r="G1828" s="272" t="s">
        <v>9198</v>
      </c>
      <c r="H1828" s="265" t="s">
        <v>11000</v>
      </c>
      <c r="I1828" s="290" t="s">
        <v>11001</v>
      </c>
      <c r="J1828" s="265" t="s">
        <v>10655</v>
      </c>
      <c r="K1828" s="265" t="s">
        <v>10655</v>
      </c>
    </row>
    <row r="1829" spans="1:11" s="75" customFormat="1" ht="14.55" customHeight="1" x14ac:dyDescent="0.25">
      <c r="A1829" s="272" t="s">
        <v>8816</v>
      </c>
      <c r="B1829" s="272" t="s">
        <v>10591</v>
      </c>
      <c r="C1829" s="272" t="s">
        <v>10352</v>
      </c>
      <c r="D1829" s="259" t="s">
        <v>10353</v>
      </c>
      <c r="E1829" s="265" t="s">
        <v>10655</v>
      </c>
      <c r="F1829" s="272" t="s">
        <v>9198</v>
      </c>
      <c r="G1829" s="272" t="s">
        <v>9197</v>
      </c>
      <c r="H1829" s="265" t="s">
        <v>10986</v>
      </c>
      <c r="I1829" s="290" t="s">
        <v>10987</v>
      </c>
      <c r="J1829" s="265" t="s">
        <v>10655</v>
      </c>
      <c r="K1829" s="265" t="s">
        <v>10655</v>
      </c>
    </row>
    <row r="1830" spans="1:11" s="75" customFormat="1" ht="14.55" customHeight="1" x14ac:dyDescent="0.25">
      <c r="A1830" s="272" t="s">
        <v>8816</v>
      </c>
      <c r="B1830" s="272" t="s">
        <v>10591</v>
      </c>
      <c r="C1830" s="272" t="s">
        <v>10352</v>
      </c>
      <c r="D1830" s="259" t="s">
        <v>10353</v>
      </c>
      <c r="E1830" s="265" t="s">
        <v>10655</v>
      </c>
      <c r="F1830" s="272" t="s">
        <v>9198</v>
      </c>
      <c r="G1830" s="272" t="s">
        <v>9197</v>
      </c>
      <c r="H1830" s="265" t="s">
        <v>11006</v>
      </c>
      <c r="I1830" s="290" t="s">
        <v>11007</v>
      </c>
      <c r="J1830" s="265" t="s">
        <v>10655</v>
      </c>
      <c r="K1830" s="265" t="s">
        <v>10655</v>
      </c>
    </row>
    <row r="1831" spans="1:11" s="75" customFormat="1" ht="14.55" customHeight="1" x14ac:dyDescent="0.25">
      <c r="A1831" s="272" t="s">
        <v>8816</v>
      </c>
      <c r="B1831" s="272" t="s">
        <v>10591</v>
      </c>
      <c r="C1831" s="272" t="s">
        <v>10352</v>
      </c>
      <c r="D1831" s="259" t="s">
        <v>10353</v>
      </c>
      <c r="E1831" s="265" t="s">
        <v>10655</v>
      </c>
      <c r="F1831" s="272" t="s">
        <v>9198</v>
      </c>
      <c r="G1831" s="272" t="s">
        <v>9197</v>
      </c>
      <c r="H1831" s="265" t="s">
        <v>10929</v>
      </c>
      <c r="I1831" s="290" t="s">
        <v>10930</v>
      </c>
      <c r="J1831" s="265" t="s">
        <v>10655</v>
      </c>
      <c r="K1831" s="265" t="s">
        <v>10655</v>
      </c>
    </row>
    <row r="1832" spans="1:11" s="75" customFormat="1" ht="14.55" customHeight="1" x14ac:dyDescent="0.25">
      <c r="A1832" s="272" t="s">
        <v>8816</v>
      </c>
      <c r="B1832" s="272" t="s">
        <v>10591</v>
      </c>
      <c r="C1832" s="272" t="s">
        <v>10352</v>
      </c>
      <c r="D1832" s="259" t="s">
        <v>10353</v>
      </c>
      <c r="E1832" s="265" t="s">
        <v>10655</v>
      </c>
      <c r="F1832" s="272" t="s">
        <v>9198</v>
      </c>
      <c r="G1832" s="272" t="s">
        <v>9197</v>
      </c>
      <c r="H1832" s="265" t="s">
        <v>11000</v>
      </c>
      <c r="I1832" s="290" t="s">
        <v>11001</v>
      </c>
      <c r="J1832" s="265" t="s">
        <v>10655</v>
      </c>
      <c r="K1832" s="265" t="s">
        <v>10655</v>
      </c>
    </row>
    <row r="1833" spans="1:11" s="75" customFormat="1" ht="14.55" customHeight="1" x14ac:dyDescent="0.25">
      <c r="A1833" s="272" t="s">
        <v>8816</v>
      </c>
      <c r="B1833" s="272" t="s">
        <v>10591</v>
      </c>
      <c r="C1833" s="272" t="s">
        <v>10354</v>
      </c>
      <c r="D1833" s="259" t="s">
        <v>10355</v>
      </c>
      <c r="E1833" s="265" t="s">
        <v>10655</v>
      </c>
      <c r="F1833" s="272" t="s">
        <v>9198</v>
      </c>
      <c r="G1833" s="272" t="s">
        <v>9198</v>
      </c>
      <c r="H1833" s="265" t="s">
        <v>10986</v>
      </c>
      <c r="I1833" s="290" t="s">
        <v>10987</v>
      </c>
      <c r="J1833" s="265" t="s">
        <v>10655</v>
      </c>
      <c r="K1833" s="265" t="s">
        <v>10655</v>
      </c>
    </row>
    <row r="1834" spans="1:11" s="75" customFormat="1" ht="14.55" customHeight="1" x14ac:dyDescent="0.25">
      <c r="A1834" s="272" t="s">
        <v>8816</v>
      </c>
      <c r="B1834" s="272" t="s">
        <v>10591</v>
      </c>
      <c r="C1834" s="272" t="s">
        <v>10354</v>
      </c>
      <c r="D1834" s="259" t="s">
        <v>10355</v>
      </c>
      <c r="E1834" s="265" t="s">
        <v>10655</v>
      </c>
      <c r="F1834" s="272" t="s">
        <v>9198</v>
      </c>
      <c r="G1834" s="272" t="s">
        <v>9198</v>
      </c>
      <c r="H1834" s="265" t="s">
        <v>10929</v>
      </c>
      <c r="I1834" s="290" t="s">
        <v>10930</v>
      </c>
      <c r="J1834" s="265" t="s">
        <v>10655</v>
      </c>
      <c r="K1834" s="265" t="s">
        <v>10655</v>
      </c>
    </row>
    <row r="1835" spans="1:11" s="75" customFormat="1" ht="14.55" customHeight="1" x14ac:dyDescent="0.25">
      <c r="A1835" s="272" t="s">
        <v>8816</v>
      </c>
      <c r="B1835" s="272" t="s">
        <v>10591</v>
      </c>
      <c r="C1835" s="272" t="s">
        <v>10354</v>
      </c>
      <c r="D1835" s="259" t="s">
        <v>10355</v>
      </c>
      <c r="E1835" s="265" t="s">
        <v>10655</v>
      </c>
      <c r="F1835" s="272" t="s">
        <v>9198</v>
      </c>
      <c r="G1835" s="272" t="s">
        <v>9198</v>
      </c>
      <c r="H1835" s="265" t="s">
        <v>11000</v>
      </c>
      <c r="I1835" s="290" t="s">
        <v>11001</v>
      </c>
      <c r="J1835" s="265" t="s">
        <v>10655</v>
      </c>
      <c r="K1835" s="265" t="s">
        <v>10655</v>
      </c>
    </row>
    <row r="1836" spans="1:11" s="75" customFormat="1" ht="14.55" customHeight="1" x14ac:dyDescent="0.25">
      <c r="A1836" s="272" t="s">
        <v>8816</v>
      </c>
      <c r="B1836" s="272" t="s">
        <v>10591</v>
      </c>
      <c r="C1836" s="272" t="s">
        <v>10356</v>
      </c>
      <c r="D1836" s="259" t="s">
        <v>10357</v>
      </c>
      <c r="E1836" s="265" t="s">
        <v>10655</v>
      </c>
      <c r="F1836" s="272" t="s">
        <v>9198</v>
      </c>
      <c r="G1836" s="272" t="s">
        <v>9197</v>
      </c>
      <c r="H1836" s="265" t="s">
        <v>10986</v>
      </c>
      <c r="I1836" s="290" t="s">
        <v>10987</v>
      </c>
      <c r="J1836" s="265" t="s">
        <v>10655</v>
      </c>
      <c r="K1836" s="265" t="s">
        <v>10655</v>
      </c>
    </row>
    <row r="1837" spans="1:11" s="75" customFormat="1" ht="14.55" customHeight="1" x14ac:dyDescent="0.25">
      <c r="A1837" s="272" t="s">
        <v>8816</v>
      </c>
      <c r="B1837" s="272" t="s">
        <v>10591</v>
      </c>
      <c r="C1837" s="272" t="s">
        <v>10356</v>
      </c>
      <c r="D1837" s="259" t="s">
        <v>10357</v>
      </c>
      <c r="E1837" s="265" t="s">
        <v>10655</v>
      </c>
      <c r="F1837" s="272" t="s">
        <v>9198</v>
      </c>
      <c r="G1837" s="272" t="s">
        <v>9197</v>
      </c>
      <c r="H1837" s="265" t="s">
        <v>11006</v>
      </c>
      <c r="I1837" s="290" t="s">
        <v>11007</v>
      </c>
      <c r="J1837" s="265" t="s">
        <v>10655</v>
      </c>
      <c r="K1837" s="265" t="s">
        <v>10655</v>
      </c>
    </row>
    <row r="1838" spans="1:11" s="75" customFormat="1" ht="14.55" customHeight="1" x14ac:dyDescent="0.25">
      <c r="A1838" s="272" t="s">
        <v>8816</v>
      </c>
      <c r="B1838" s="272" t="s">
        <v>10591</v>
      </c>
      <c r="C1838" s="272" t="s">
        <v>10356</v>
      </c>
      <c r="D1838" s="259" t="s">
        <v>10357</v>
      </c>
      <c r="E1838" s="265" t="s">
        <v>10655</v>
      </c>
      <c r="F1838" s="272" t="s">
        <v>9198</v>
      </c>
      <c r="G1838" s="272" t="s">
        <v>9197</v>
      </c>
      <c r="H1838" s="265" t="s">
        <v>11012</v>
      </c>
      <c r="I1838" s="290" t="s">
        <v>11013</v>
      </c>
      <c r="J1838" s="265" t="s">
        <v>10655</v>
      </c>
      <c r="K1838" s="265" t="s">
        <v>10655</v>
      </c>
    </row>
    <row r="1839" spans="1:11" s="75" customFormat="1" ht="14.55" customHeight="1" x14ac:dyDescent="0.25">
      <c r="A1839" s="272" t="s">
        <v>8816</v>
      </c>
      <c r="B1839" s="272" t="s">
        <v>10591</v>
      </c>
      <c r="C1839" s="272" t="s">
        <v>10356</v>
      </c>
      <c r="D1839" s="259" t="s">
        <v>10357</v>
      </c>
      <c r="E1839" s="265" t="s">
        <v>10655</v>
      </c>
      <c r="F1839" s="272" t="s">
        <v>9198</v>
      </c>
      <c r="G1839" s="272" t="s">
        <v>9197</v>
      </c>
      <c r="H1839" s="265" t="s">
        <v>11000</v>
      </c>
      <c r="I1839" s="290" t="s">
        <v>11001</v>
      </c>
      <c r="J1839" s="265" t="s">
        <v>10655</v>
      </c>
      <c r="K1839" s="265" t="s">
        <v>10655</v>
      </c>
    </row>
    <row r="1840" spans="1:11" s="75" customFormat="1" ht="14.55" customHeight="1" x14ac:dyDescent="0.25">
      <c r="A1840" s="272" t="s">
        <v>8816</v>
      </c>
      <c r="B1840" s="272" t="s">
        <v>10591</v>
      </c>
      <c r="C1840" s="272" t="s">
        <v>10358</v>
      </c>
      <c r="D1840" s="259" t="s">
        <v>10359</v>
      </c>
      <c r="E1840" s="265" t="s">
        <v>10655</v>
      </c>
      <c r="F1840" s="272" t="s">
        <v>9198</v>
      </c>
      <c r="G1840" s="272" t="s">
        <v>9197</v>
      </c>
      <c r="H1840" s="265" t="s">
        <v>10986</v>
      </c>
      <c r="I1840" s="290" t="s">
        <v>10987</v>
      </c>
      <c r="J1840" s="265" t="s">
        <v>10655</v>
      </c>
      <c r="K1840" s="265" t="s">
        <v>10655</v>
      </c>
    </row>
    <row r="1841" spans="1:11" s="75" customFormat="1" ht="14.55" customHeight="1" x14ac:dyDescent="0.25">
      <c r="A1841" s="272" t="s">
        <v>8816</v>
      </c>
      <c r="B1841" s="272" t="s">
        <v>10591</v>
      </c>
      <c r="C1841" s="272" t="s">
        <v>10358</v>
      </c>
      <c r="D1841" s="259" t="s">
        <v>10359</v>
      </c>
      <c r="E1841" s="265" t="s">
        <v>10655</v>
      </c>
      <c r="F1841" s="272" t="s">
        <v>9198</v>
      </c>
      <c r="G1841" s="272" t="s">
        <v>9197</v>
      </c>
      <c r="H1841" s="265" t="s">
        <v>10929</v>
      </c>
      <c r="I1841" s="290" t="s">
        <v>10930</v>
      </c>
      <c r="J1841" s="265" t="s">
        <v>10655</v>
      </c>
      <c r="K1841" s="265" t="s">
        <v>10655</v>
      </c>
    </row>
    <row r="1842" spans="1:11" s="75" customFormat="1" ht="14.55" customHeight="1" x14ac:dyDescent="0.25">
      <c r="A1842" s="272" t="s">
        <v>8816</v>
      </c>
      <c r="B1842" s="272" t="s">
        <v>10591</v>
      </c>
      <c r="C1842" s="272" t="s">
        <v>10358</v>
      </c>
      <c r="D1842" s="259" t="s">
        <v>10359</v>
      </c>
      <c r="E1842" s="265" t="s">
        <v>10655</v>
      </c>
      <c r="F1842" s="272" t="s">
        <v>9198</v>
      </c>
      <c r="G1842" s="272" t="s">
        <v>9197</v>
      </c>
      <c r="H1842" s="265" t="s">
        <v>11000</v>
      </c>
      <c r="I1842" s="290" t="s">
        <v>11001</v>
      </c>
      <c r="J1842" s="265" t="s">
        <v>10655</v>
      </c>
      <c r="K1842" s="265" t="s">
        <v>10655</v>
      </c>
    </row>
    <row r="1843" spans="1:11" s="75" customFormat="1" ht="14.55" customHeight="1" x14ac:dyDescent="0.25">
      <c r="A1843" s="272" t="s">
        <v>8816</v>
      </c>
      <c r="B1843" s="272" t="s">
        <v>10591</v>
      </c>
      <c r="C1843" s="272" t="s">
        <v>10360</v>
      </c>
      <c r="D1843" s="259" t="s">
        <v>10361</v>
      </c>
      <c r="E1843" s="265" t="s">
        <v>10655</v>
      </c>
      <c r="F1843" s="272" t="s">
        <v>9198</v>
      </c>
      <c r="G1843" s="272" t="s">
        <v>9197</v>
      </c>
      <c r="H1843" s="265" t="s">
        <v>10906</v>
      </c>
      <c r="I1843" s="290" t="s">
        <v>10907</v>
      </c>
      <c r="J1843" s="265" t="s">
        <v>10655</v>
      </c>
      <c r="K1843" s="265" t="s">
        <v>10655</v>
      </c>
    </row>
    <row r="1844" spans="1:11" s="75" customFormat="1" ht="14.55" customHeight="1" x14ac:dyDescent="0.25">
      <c r="A1844" s="272" t="s">
        <v>8816</v>
      </c>
      <c r="B1844" s="272" t="s">
        <v>10591</v>
      </c>
      <c r="C1844" s="272" t="s">
        <v>10360</v>
      </c>
      <c r="D1844" s="259" t="s">
        <v>10361</v>
      </c>
      <c r="E1844" s="265" t="s">
        <v>10655</v>
      </c>
      <c r="F1844" s="272" t="s">
        <v>9198</v>
      </c>
      <c r="G1844" s="272" t="s">
        <v>9197</v>
      </c>
      <c r="H1844" s="265" t="s">
        <v>10986</v>
      </c>
      <c r="I1844" s="290" t="s">
        <v>10987</v>
      </c>
      <c r="J1844" s="265" t="s">
        <v>10655</v>
      </c>
      <c r="K1844" s="265" t="s">
        <v>10655</v>
      </c>
    </row>
    <row r="1845" spans="1:11" s="75" customFormat="1" ht="14.55" customHeight="1" x14ac:dyDescent="0.25">
      <c r="A1845" s="272" t="s">
        <v>8816</v>
      </c>
      <c r="B1845" s="272" t="s">
        <v>10591</v>
      </c>
      <c r="C1845" s="272" t="s">
        <v>10360</v>
      </c>
      <c r="D1845" s="259" t="s">
        <v>10361</v>
      </c>
      <c r="E1845" s="265" t="s">
        <v>10655</v>
      </c>
      <c r="F1845" s="272" t="s">
        <v>9198</v>
      </c>
      <c r="G1845" s="272" t="s">
        <v>9197</v>
      </c>
      <c r="H1845" s="265" t="s">
        <v>11006</v>
      </c>
      <c r="I1845" s="290" t="s">
        <v>11007</v>
      </c>
      <c r="J1845" s="265" t="s">
        <v>10655</v>
      </c>
      <c r="K1845" s="265" t="s">
        <v>10655</v>
      </c>
    </row>
    <row r="1846" spans="1:11" s="75" customFormat="1" ht="14.55" customHeight="1" x14ac:dyDescent="0.25">
      <c r="A1846" s="272" t="s">
        <v>8816</v>
      </c>
      <c r="B1846" s="272" t="s">
        <v>10591</v>
      </c>
      <c r="C1846" s="272" t="s">
        <v>10360</v>
      </c>
      <c r="D1846" s="259" t="s">
        <v>10361</v>
      </c>
      <c r="E1846" s="265" t="s">
        <v>10655</v>
      </c>
      <c r="F1846" s="272" t="s">
        <v>9198</v>
      </c>
      <c r="G1846" s="272" t="s">
        <v>9197</v>
      </c>
      <c r="H1846" s="265" t="s">
        <v>10908</v>
      </c>
      <c r="I1846" s="290" t="s">
        <v>10909</v>
      </c>
      <c r="J1846" s="265" t="s">
        <v>10655</v>
      </c>
      <c r="K1846" s="265" t="s">
        <v>10655</v>
      </c>
    </row>
    <row r="1847" spans="1:11" s="75" customFormat="1" ht="14.55" customHeight="1" x14ac:dyDescent="0.25">
      <c r="A1847" s="272" t="s">
        <v>8816</v>
      </c>
      <c r="B1847" s="272" t="s">
        <v>10591</v>
      </c>
      <c r="C1847" s="272" t="s">
        <v>10360</v>
      </c>
      <c r="D1847" s="259" t="s">
        <v>10361</v>
      </c>
      <c r="E1847" s="265" t="s">
        <v>10655</v>
      </c>
      <c r="F1847" s="272" t="s">
        <v>9198</v>
      </c>
      <c r="G1847" s="272" t="s">
        <v>9197</v>
      </c>
      <c r="H1847" s="265" t="s">
        <v>11000</v>
      </c>
      <c r="I1847" s="290" t="s">
        <v>11001</v>
      </c>
      <c r="J1847" s="265" t="s">
        <v>10655</v>
      </c>
      <c r="K1847" s="265" t="s">
        <v>10655</v>
      </c>
    </row>
    <row r="1848" spans="1:11" s="75" customFormat="1" ht="14.55" customHeight="1" x14ac:dyDescent="0.25">
      <c r="A1848" s="272" t="s">
        <v>8816</v>
      </c>
      <c r="B1848" s="272" t="s">
        <v>10591</v>
      </c>
      <c r="C1848" s="272" t="s">
        <v>10362</v>
      </c>
      <c r="D1848" s="259" t="s">
        <v>10363</v>
      </c>
      <c r="E1848" s="265" t="s">
        <v>10655</v>
      </c>
      <c r="F1848" s="272" t="s">
        <v>9198</v>
      </c>
      <c r="G1848" s="272" t="s">
        <v>9197</v>
      </c>
      <c r="H1848" s="265" t="s">
        <v>10906</v>
      </c>
      <c r="I1848" s="290" t="s">
        <v>10907</v>
      </c>
      <c r="J1848" s="265" t="s">
        <v>10655</v>
      </c>
      <c r="K1848" s="265" t="s">
        <v>10655</v>
      </c>
    </row>
    <row r="1849" spans="1:11" s="75" customFormat="1" ht="14.55" customHeight="1" x14ac:dyDescent="0.25">
      <c r="A1849" s="272" t="s">
        <v>8816</v>
      </c>
      <c r="B1849" s="272" t="s">
        <v>10591</v>
      </c>
      <c r="C1849" s="272" t="s">
        <v>10362</v>
      </c>
      <c r="D1849" s="259" t="s">
        <v>10363</v>
      </c>
      <c r="E1849" s="265" t="s">
        <v>10655</v>
      </c>
      <c r="F1849" s="272" t="s">
        <v>9198</v>
      </c>
      <c r="G1849" s="272" t="s">
        <v>9197</v>
      </c>
      <c r="H1849" s="265" t="s">
        <v>10986</v>
      </c>
      <c r="I1849" s="290" t="s">
        <v>10987</v>
      </c>
      <c r="J1849" s="265" t="s">
        <v>10655</v>
      </c>
      <c r="K1849" s="265" t="s">
        <v>10655</v>
      </c>
    </row>
    <row r="1850" spans="1:11" s="75" customFormat="1" ht="14.55" customHeight="1" x14ac:dyDescent="0.25">
      <c r="A1850" s="272" t="s">
        <v>8816</v>
      </c>
      <c r="B1850" s="272" t="s">
        <v>10591</v>
      </c>
      <c r="C1850" s="272" t="s">
        <v>10362</v>
      </c>
      <c r="D1850" s="259" t="s">
        <v>10363</v>
      </c>
      <c r="E1850" s="265" t="s">
        <v>10655</v>
      </c>
      <c r="F1850" s="272" t="s">
        <v>9198</v>
      </c>
      <c r="G1850" s="272" t="s">
        <v>9197</v>
      </c>
      <c r="H1850" s="265" t="s">
        <v>11012</v>
      </c>
      <c r="I1850" s="290" t="s">
        <v>11013</v>
      </c>
      <c r="J1850" s="265" t="s">
        <v>10655</v>
      </c>
      <c r="K1850" s="265" t="s">
        <v>10655</v>
      </c>
    </row>
    <row r="1851" spans="1:11" s="75" customFormat="1" ht="14.55" customHeight="1" x14ac:dyDescent="0.25">
      <c r="A1851" s="272" t="s">
        <v>8816</v>
      </c>
      <c r="B1851" s="272" t="s">
        <v>10591</v>
      </c>
      <c r="C1851" s="272" t="s">
        <v>10362</v>
      </c>
      <c r="D1851" s="259" t="s">
        <v>10363</v>
      </c>
      <c r="E1851" s="265" t="s">
        <v>10655</v>
      </c>
      <c r="F1851" s="272" t="s">
        <v>9198</v>
      </c>
      <c r="G1851" s="272" t="s">
        <v>9197</v>
      </c>
      <c r="H1851" s="265" t="s">
        <v>10908</v>
      </c>
      <c r="I1851" s="290" t="s">
        <v>10909</v>
      </c>
      <c r="J1851" s="265" t="s">
        <v>10655</v>
      </c>
      <c r="K1851" s="265" t="s">
        <v>10655</v>
      </c>
    </row>
    <row r="1852" spans="1:11" s="75" customFormat="1" ht="14.55" customHeight="1" x14ac:dyDescent="0.25">
      <c r="A1852" s="272" t="s">
        <v>8816</v>
      </c>
      <c r="B1852" s="272" t="s">
        <v>10591</v>
      </c>
      <c r="C1852" s="272" t="s">
        <v>10362</v>
      </c>
      <c r="D1852" s="259" t="s">
        <v>10363</v>
      </c>
      <c r="E1852" s="265" t="s">
        <v>10655</v>
      </c>
      <c r="F1852" s="272" t="s">
        <v>9198</v>
      </c>
      <c r="G1852" s="272" t="s">
        <v>9197</v>
      </c>
      <c r="H1852" s="265" t="s">
        <v>11000</v>
      </c>
      <c r="I1852" s="290" t="s">
        <v>11001</v>
      </c>
      <c r="J1852" s="265" t="s">
        <v>10655</v>
      </c>
      <c r="K1852" s="265" t="s">
        <v>10655</v>
      </c>
    </row>
    <row r="1853" spans="1:11" s="75" customFormat="1" ht="14.55" customHeight="1" x14ac:dyDescent="0.25">
      <c r="A1853" s="272" t="s">
        <v>8816</v>
      </c>
      <c r="B1853" s="272" t="s">
        <v>10591</v>
      </c>
      <c r="C1853" s="272" t="s">
        <v>10364</v>
      </c>
      <c r="D1853" s="259" t="s">
        <v>10365</v>
      </c>
      <c r="E1853" s="265" t="s">
        <v>10655</v>
      </c>
      <c r="F1853" s="272" t="s">
        <v>9198</v>
      </c>
      <c r="G1853" s="272" t="s">
        <v>9197</v>
      </c>
      <c r="H1853" s="265" t="s">
        <v>10906</v>
      </c>
      <c r="I1853" s="290" t="s">
        <v>10907</v>
      </c>
      <c r="J1853" s="265" t="s">
        <v>10655</v>
      </c>
      <c r="K1853" s="265" t="s">
        <v>10655</v>
      </c>
    </row>
    <row r="1854" spans="1:11" s="75" customFormat="1" ht="14.55" customHeight="1" x14ac:dyDescent="0.25">
      <c r="A1854" s="272" t="s">
        <v>8816</v>
      </c>
      <c r="B1854" s="272" t="s">
        <v>10591</v>
      </c>
      <c r="C1854" s="272" t="s">
        <v>10364</v>
      </c>
      <c r="D1854" s="259" t="s">
        <v>10365</v>
      </c>
      <c r="E1854" s="265" t="s">
        <v>10655</v>
      </c>
      <c r="F1854" s="272" t="s">
        <v>9198</v>
      </c>
      <c r="G1854" s="272" t="s">
        <v>9197</v>
      </c>
      <c r="H1854" s="265" t="s">
        <v>10986</v>
      </c>
      <c r="I1854" s="290" t="s">
        <v>10987</v>
      </c>
      <c r="J1854" s="265" t="s">
        <v>10655</v>
      </c>
      <c r="K1854" s="265" t="s">
        <v>10655</v>
      </c>
    </row>
    <row r="1855" spans="1:11" s="75" customFormat="1" ht="14.55" customHeight="1" x14ac:dyDescent="0.25">
      <c r="A1855" s="272" t="s">
        <v>8816</v>
      </c>
      <c r="B1855" s="272" t="s">
        <v>10591</v>
      </c>
      <c r="C1855" s="272" t="s">
        <v>10364</v>
      </c>
      <c r="D1855" s="259" t="s">
        <v>10365</v>
      </c>
      <c r="E1855" s="265" t="s">
        <v>10655</v>
      </c>
      <c r="F1855" s="272" t="s">
        <v>9198</v>
      </c>
      <c r="G1855" s="272" t="s">
        <v>9197</v>
      </c>
      <c r="H1855" s="265" t="s">
        <v>10929</v>
      </c>
      <c r="I1855" s="290" t="s">
        <v>10930</v>
      </c>
      <c r="J1855" s="265" t="s">
        <v>10655</v>
      </c>
      <c r="K1855" s="265" t="s">
        <v>10655</v>
      </c>
    </row>
    <row r="1856" spans="1:11" s="75" customFormat="1" ht="14.55" customHeight="1" x14ac:dyDescent="0.25">
      <c r="A1856" s="272" t="s">
        <v>8816</v>
      </c>
      <c r="B1856" s="272" t="s">
        <v>10591</v>
      </c>
      <c r="C1856" s="272" t="s">
        <v>10364</v>
      </c>
      <c r="D1856" s="259" t="s">
        <v>10365</v>
      </c>
      <c r="E1856" s="265" t="s">
        <v>10655</v>
      </c>
      <c r="F1856" s="272" t="s">
        <v>9198</v>
      </c>
      <c r="G1856" s="272" t="s">
        <v>9197</v>
      </c>
      <c r="H1856" s="265" t="s">
        <v>10908</v>
      </c>
      <c r="I1856" s="290" t="s">
        <v>10909</v>
      </c>
      <c r="J1856" s="265" t="s">
        <v>10655</v>
      </c>
      <c r="K1856" s="265" t="s">
        <v>10655</v>
      </c>
    </row>
    <row r="1857" spans="1:11" s="75" customFormat="1" ht="14.55" customHeight="1" x14ac:dyDescent="0.25">
      <c r="A1857" s="272" t="s">
        <v>8816</v>
      </c>
      <c r="B1857" s="272" t="s">
        <v>10591</v>
      </c>
      <c r="C1857" s="272" t="s">
        <v>10364</v>
      </c>
      <c r="D1857" s="259" t="s">
        <v>10365</v>
      </c>
      <c r="E1857" s="265" t="s">
        <v>10655</v>
      </c>
      <c r="F1857" s="272" t="s">
        <v>9198</v>
      </c>
      <c r="G1857" s="272" t="s">
        <v>9197</v>
      </c>
      <c r="H1857" s="265" t="s">
        <v>11000</v>
      </c>
      <c r="I1857" s="290" t="s">
        <v>11001</v>
      </c>
      <c r="J1857" s="265" t="s">
        <v>10655</v>
      </c>
      <c r="K1857" s="265" t="s">
        <v>10655</v>
      </c>
    </row>
    <row r="1858" spans="1:11" s="75" customFormat="1" ht="14.55" customHeight="1" x14ac:dyDescent="0.25">
      <c r="A1858" s="272" t="s">
        <v>8816</v>
      </c>
      <c r="B1858" s="272" t="s">
        <v>10591</v>
      </c>
      <c r="C1858" s="272" t="s">
        <v>10366</v>
      </c>
      <c r="D1858" s="259" t="s">
        <v>10367</v>
      </c>
      <c r="E1858" s="265" t="s">
        <v>10655</v>
      </c>
      <c r="F1858" s="272" t="s">
        <v>9198</v>
      </c>
      <c r="G1858" s="272" t="s">
        <v>9197</v>
      </c>
      <c r="H1858" s="265" t="s">
        <v>10980</v>
      </c>
      <c r="I1858" s="290" t="s">
        <v>10981</v>
      </c>
      <c r="J1858" s="265" t="s">
        <v>10655</v>
      </c>
      <c r="K1858" s="265" t="s">
        <v>10655</v>
      </c>
    </row>
    <row r="1859" spans="1:11" s="75" customFormat="1" ht="14.55" customHeight="1" x14ac:dyDescent="0.25">
      <c r="A1859" s="272" t="s">
        <v>8816</v>
      </c>
      <c r="B1859" s="272" t="s">
        <v>10591</v>
      </c>
      <c r="C1859" s="272" t="s">
        <v>10366</v>
      </c>
      <c r="D1859" s="259" t="s">
        <v>10367</v>
      </c>
      <c r="E1859" s="265" t="s">
        <v>10655</v>
      </c>
      <c r="F1859" s="272" t="s">
        <v>9198</v>
      </c>
      <c r="G1859" s="272" t="s">
        <v>9197</v>
      </c>
      <c r="H1859" s="265" t="s">
        <v>10988</v>
      </c>
      <c r="I1859" s="290" t="s">
        <v>10989</v>
      </c>
      <c r="J1859" s="265" t="s">
        <v>10655</v>
      </c>
      <c r="K1859" s="265" t="s">
        <v>10655</v>
      </c>
    </row>
    <row r="1860" spans="1:11" s="75" customFormat="1" ht="14.55" customHeight="1" x14ac:dyDescent="0.25">
      <c r="A1860" s="272" t="s">
        <v>8816</v>
      </c>
      <c r="B1860" s="272" t="s">
        <v>10591</v>
      </c>
      <c r="C1860" s="272" t="s">
        <v>10366</v>
      </c>
      <c r="D1860" s="259" t="s">
        <v>10367</v>
      </c>
      <c r="E1860" s="265" t="s">
        <v>10655</v>
      </c>
      <c r="F1860" s="272" t="s">
        <v>9198</v>
      </c>
      <c r="G1860" s="272" t="s">
        <v>9197</v>
      </c>
      <c r="H1860" s="265" t="s">
        <v>10994</v>
      </c>
      <c r="I1860" s="290" t="s">
        <v>10995</v>
      </c>
      <c r="J1860" s="265" t="s">
        <v>10655</v>
      </c>
      <c r="K1860" s="265" t="s">
        <v>10655</v>
      </c>
    </row>
    <row r="1861" spans="1:11" s="75" customFormat="1" ht="14.55" customHeight="1" x14ac:dyDescent="0.25">
      <c r="A1861" s="272" t="s">
        <v>8816</v>
      </c>
      <c r="B1861" s="272" t="s">
        <v>10591</v>
      </c>
      <c r="C1861" s="272" t="s">
        <v>10366</v>
      </c>
      <c r="D1861" s="259" t="s">
        <v>10367</v>
      </c>
      <c r="E1861" s="265" t="s">
        <v>10655</v>
      </c>
      <c r="F1861" s="272" t="s">
        <v>9198</v>
      </c>
      <c r="G1861" s="272" t="s">
        <v>9197</v>
      </c>
      <c r="H1861" s="265" t="s">
        <v>10996</v>
      </c>
      <c r="I1861" s="290" t="s">
        <v>10997</v>
      </c>
      <c r="J1861" s="265" t="s">
        <v>10655</v>
      </c>
      <c r="K1861" s="265" t="s">
        <v>10655</v>
      </c>
    </row>
    <row r="1862" spans="1:11" s="75" customFormat="1" ht="14.55" customHeight="1" x14ac:dyDescent="0.25">
      <c r="A1862" s="272" t="s">
        <v>8816</v>
      </c>
      <c r="B1862" s="272" t="s">
        <v>10591</v>
      </c>
      <c r="C1862" s="272" t="s">
        <v>10366</v>
      </c>
      <c r="D1862" s="259" t="s">
        <v>10367</v>
      </c>
      <c r="E1862" s="265" t="s">
        <v>10655</v>
      </c>
      <c r="F1862" s="272" t="s">
        <v>9198</v>
      </c>
      <c r="G1862" s="272" t="s">
        <v>9197</v>
      </c>
      <c r="H1862" s="265" t="s">
        <v>10998</v>
      </c>
      <c r="I1862" s="290" t="s">
        <v>10999</v>
      </c>
      <c r="J1862" s="265" t="s">
        <v>10655</v>
      </c>
      <c r="K1862" s="265" t="s">
        <v>10655</v>
      </c>
    </row>
    <row r="1863" spans="1:11" s="75" customFormat="1" ht="14.55" customHeight="1" x14ac:dyDescent="0.25">
      <c r="A1863" s="272" t="s">
        <v>8816</v>
      </c>
      <c r="B1863" s="272" t="s">
        <v>10591</v>
      </c>
      <c r="C1863" s="272" t="s">
        <v>10366</v>
      </c>
      <c r="D1863" s="259" t="s">
        <v>10367</v>
      </c>
      <c r="E1863" s="265" t="s">
        <v>10655</v>
      </c>
      <c r="F1863" s="272" t="s">
        <v>9198</v>
      </c>
      <c r="G1863" s="272" t="s">
        <v>9197</v>
      </c>
      <c r="H1863" s="265" t="s">
        <v>11000</v>
      </c>
      <c r="I1863" s="290" t="s">
        <v>11001</v>
      </c>
      <c r="J1863" s="265" t="s">
        <v>10655</v>
      </c>
      <c r="K1863" s="265" t="s">
        <v>10655</v>
      </c>
    </row>
    <row r="1864" spans="1:11" s="75" customFormat="1" ht="14.55" customHeight="1" x14ac:dyDescent="0.25">
      <c r="A1864" s="272" t="s">
        <v>8816</v>
      </c>
      <c r="B1864" s="272" t="s">
        <v>10591</v>
      </c>
      <c r="C1864" s="272" t="s">
        <v>10368</v>
      </c>
      <c r="D1864" s="259" t="s">
        <v>10369</v>
      </c>
      <c r="E1864" s="265" t="s">
        <v>10655</v>
      </c>
      <c r="F1864" s="272" t="s">
        <v>9198</v>
      </c>
      <c r="G1864" s="272" t="s">
        <v>9198</v>
      </c>
      <c r="H1864" s="265" t="s">
        <v>10976</v>
      </c>
      <c r="I1864" s="290" t="s">
        <v>10977</v>
      </c>
      <c r="J1864" s="265" t="s">
        <v>10655</v>
      </c>
      <c r="K1864" s="265" t="s">
        <v>10655</v>
      </c>
    </row>
    <row r="1865" spans="1:11" s="75" customFormat="1" ht="14.55" customHeight="1" x14ac:dyDescent="0.25">
      <c r="A1865" s="272" t="s">
        <v>8816</v>
      </c>
      <c r="B1865" s="272" t="s">
        <v>10591</v>
      </c>
      <c r="C1865" s="272" t="s">
        <v>10368</v>
      </c>
      <c r="D1865" s="259" t="s">
        <v>10369</v>
      </c>
      <c r="E1865" s="265" t="s">
        <v>10655</v>
      </c>
      <c r="F1865" s="272" t="s">
        <v>9198</v>
      </c>
      <c r="G1865" s="272" t="s">
        <v>9198</v>
      </c>
      <c r="H1865" s="265" t="s">
        <v>10992</v>
      </c>
      <c r="I1865" s="290" t="s">
        <v>10993</v>
      </c>
      <c r="J1865" s="265" t="s">
        <v>10655</v>
      </c>
      <c r="K1865" s="265" t="s">
        <v>10655</v>
      </c>
    </row>
    <row r="1866" spans="1:11" s="75" customFormat="1" ht="14.55" customHeight="1" x14ac:dyDescent="0.25">
      <c r="A1866" s="272" t="s">
        <v>8816</v>
      </c>
      <c r="B1866" s="272" t="s">
        <v>10591</v>
      </c>
      <c r="C1866" s="272" t="s">
        <v>10368</v>
      </c>
      <c r="D1866" s="259" t="s">
        <v>10369</v>
      </c>
      <c r="E1866" s="265" t="s">
        <v>10655</v>
      </c>
      <c r="F1866" s="272" t="s">
        <v>9198</v>
      </c>
      <c r="G1866" s="272" t="s">
        <v>9198</v>
      </c>
      <c r="H1866" s="265" t="s">
        <v>10994</v>
      </c>
      <c r="I1866" s="290" t="s">
        <v>10995</v>
      </c>
      <c r="J1866" s="265" t="s">
        <v>10655</v>
      </c>
      <c r="K1866" s="265" t="s">
        <v>10655</v>
      </c>
    </row>
    <row r="1867" spans="1:11" s="75" customFormat="1" ht="14.55" customHeight="1" x14ac:dyDescent="0.25">
      <c r="A1867" s="272" t="s">
        <v>8816</v>
      </c>
      <c r="B1867" s="272" t="s">
        <v>10591</v>
      </c>
      <c r="C1867" s="272" t="s">
        <v>10368</v>
      </c>
      <c r="D1867" s="259" t="s">
        <v>10369</v>
      </c>
      <c r="E1867" s="265" t="s">
        <v>10655</v>
      </c>
      <c r="F1867" s="272" t="s">
        <v>9198</v>
      </c>
      <c r="G1867" s="272" t="s">
        <v>9198</v>
      </c>
      <c r="H1867" s="265" t="s">
        <v>10996</v>
      </c>
      <c r="I1867" s="290" t="s">
        <v>10997</v>
      </c>
      <c r="J1867" s="265" t="s">
        <v>10655</v>
      </c>
      <c r="K1867" s="265" t="s">
        <v>10655</v>
      </c>
    </row>
    <row r="1868" spans="1:11" s="75" customFormat="1" ht="14.55" customHeight="1" x14ac:dyDescent="0.25">
      <c r="A1868" s="272" t="s">
        <v>8816</v>
      </c>
      <c r="B1868" s="272" t="s">
        <v>10591</v>
      </c>
      <c r="C1868" s="272" t="s">
        <v>10368</v>
      </c>
      <c r="D1868" s="259" t="s">
        <v>10369</v>
      </c>
      <c r="E1868" s="265" t="s">
        <v>10655</v>
      </c>
      <c r="F1868" s="272" t="s">
        <v>9198</v>
      </c>
      <c r="G1868" s="272" t="s">
        <v>9198</v>
      </c>
      <c r="H1868" s="265" t="s">
        <v>10998</v>
      </c>
      <c r="I1868" s="290" t="s">
        <v>10999</v>
      </c>
      <c r="J1868" s="265" t="s">
        <v>10655</v>
      </c>
      <c r="K1868" s="265" t="s">
        <v>10655</v>
      </c>
    </row>
    <row r="1869" spans="1:11" s="75" customFormat="1" ht="14.55" customHeight="1" x14ac:dyDescent="0.25">
      <c r="A1869" s="272" t="s">
        <v>8816</v>
      </c>
      <c r="B1869" s="272" t="s">
        <v>10591</v>
      </c>
      <c r="C1869" s="272" t="s">
        <v>10368</v>
      </c>
      <c r="D1869" s="259" t="s">
        <v>10369</v>
      </c>
      <c r="E1869" s="265" t="s">
        <v>10655</v>
      </c>
      <c r="F1869" s="272" t="s">
        <v>9198</v>
      </c>
      <c r="G1869" s="272" t="s">
        <v>9198</v>
      </c>
      <c r="H1869" s="265" t="s">
        <v>11000</v>
      </c>
      <c r="I1869" s="290" t="s">
        <v>11001</v>
      </c>
      <c r="J1869" s="265" t="s">
        <v>10655</v>
      </c>
      <c r="K1869" s="265" t="s">
        <v>10655</v>
      </c>
    </row>
    <row r="1870" spans="1:11" s="75" customFormat="1" ht="14.55" customHeight="1" x14ac:dyDescent="0.25">
      <c r="A1870" s="272" t="s">
        <v>8816</v>
      </c>
      <c r="B1870" s="272" t="s">
        <v>10591</v>
      </c>
      <c r="C1870" s="272" t="s">
        <v>10370</v>
      </c>
      <c r="D1870" s="259" t="s">
        <v>10371</v>
      </c>
      <c r="E1870" s="265" t="s">
        <v>10655</v>
      </c>
      <c r="F1870" s="272" t="s">
        <v>9198</v>
      </c>
      <c r="G1870" s="272" t="s">
        <v>9197</v>
      </c>
      <c r="H1870" s="265" t="s">
        <v>10976</v>
      </c>
      <c r="I1870" s="290" t="s">
        <v>10977</v>
      </c>
      <c r="J1870" s="265" t="s">
        <v>10655</v>
      </c>
      <c r="K1870" s="265" t="s">
        <v>10655</v>
      </c>
    </row>
    <row r="1871" spans="1:11" s="75" customFormat="1" ht="14.55" customHeight="1" x14ac:dyDescent="0.25">
      <c r="A1871" s="272" t="s">
        <v>8816</v>
      </c>
      <c r="B1871" s="272" t="s">
        <v>10591</v>
      </c>
      <c r="C1871" s="272" t="s">
        <v>10370</v>
      </c>
      <c r="D1871" s="259" t="s">
        <v>10371</v>
      </c>
      <c r="E1871" s="265" t="s">
        <v>10655</v>
      </c>
      <c r="F1871" s="272" t="s">
        <v>9198</v>
      </c>
      <c r="G1871" s="272" t="s">
        <v>9197</v>
      </c>
      <c r="H1871" s="265" t="s">
        <v>10992</v>
      </c>
      <c r="I1871" s="290" t="s">
        <v>10993</v>
      </c>
      <c r="J1871" s="265" t="s">
        <v>10655</v>
      </c>
      <c r="K1871" s="265" t="s">
        <v>10655</v>
      </c>
    </row>
    <row r="1872" spans="1:11" s="75" customFormat="1" ht="14.55" customHeight="1" x14ac:dyDescent="0.25">
      <c r="A1872" s="272" t="s">
        <v>8816</v>
      </c>
      <c r="B1872" s="272" t="s">
        <v>10591</v>
      </c>
      <c r="C1872" s="272" t="s">
        <v>10370</v>
      </c>
      <c r="D1872" s="259" t="s">
        <v>10371</v>
      </c>
      <c r="E1872" s="265" t="s">
        <v>10655</v>
      </c>
      <c r="F1872" s="272" t="s">
        <v>9198</v>
      </c>
      <c r="G1872" s="272" t="s">
        <v>9197</v>
      </c>
      <c r="H1872" s="265" t="s">
        <v>10994</v>
      </c>
      <c r="I1872" s="290" t="s">
        <v>10995</v>
      </c>
      <c r="J1872" s="265" t="s">
        <v>10655</v>
      </c>
      <c r="K1872" s="265" t="s">
        <v>10655</v>
      </c>
    </row>
    <row r="1873" spans="1:11" s="75" customFormat="1" ht="14.55" customHeight="1" x14ac:dyDescent="0.25">
      <c r="A1873" s="272" t="s">
        <v>8816</v>
      </c>
      <c r="B1873" s="272" t="s">
        <v>10591</v>
      </c>
      <c r="C1873" s="272" t="s">
        <v>10370</v>
      </c>
      <c r="D1873" s="259" t="s">
        <v>10371</v>
      </c>
      <c r="E1873" s="265" t="s">
        <v>10655</v>
      </c>
      <c r="F1873" s="272" t="s">
        <v>9198</v>
      </c>
      <c r="G1873" s="272" t="s">
        <v>9197</v>
      </c>
      <c r="H1873" s="265" t="s">
        <v>10996</v>
      </c>
      <c r="I1873" s="290" t="s">
        <v>10997</v>
      </c>
      <c r="J1873" s="265" t="s">
        <v>10655</v>
      </c>
      <c r="K1873" s="265" t="s">
        <v>10655</v>
      </c>
    </row>
    <row r="1874" spans="1:11" s="75" customFormat="1" ht="14.55" customHeight="1" x14ac:dyDescent="0.25">
      <c r="A1874" s="272" t="s">
        <v>8816</v>
      </c>
      <c r="B1874" s="272" t="s">
        <v>10591</v>
      </c>
      <c r="C1874" s="272" t="s">
        <v>10370</v>
      </c>
      <c r="D1874" s="259" t="s">
        <v>10371</v>
      </c>
      <c r="E1874" s="265" t="s">
        <v>10655</v>
      </c>
      <c r="F1874" s="272" t="s">
        <v>9198</v>
      </c>
      <c r="G1874" s="272" t="s">
        <v>9197</v>
      </c>
      <c r="H1874" s="265" t="s">
        <v>10998</v>
      </c>
      <c r="I1874" s="290" t="s">
        <v>10999</v>
      </c>
      <c r="J1874" s="265" t="s">
        <v>10655</v>
      </c>
      <c r="K1874" s="265" t="s">
        <v>10655</v>
      </c>
    </row>
    <row r="1875" spans="1:11" s="75" customFormat="1" ht="14.55" customHeight="1" x14ac:dyDescent="0.25">
      <c r="A1875" s="272" t="s">
        <v>8816</v>
      </c>
      <c r="B1875" s="272" t="s">
        <v>10591</v>
      </c>
      <c r="C1875" s="272" t="s">
        <v>10370</v>
      </c>
      <c r="D1875" s="259" t="s">
        <v>10371</v>
      </c>
      <c r="E1875" s="265" t="s">
        <v>10655</v>
      </c>
      <c r="F1875" s="272" t="s">
        <v>9198</v>
      </c>
      <c r="G1875" s="272" t="s">
        <v>9197</v>
      </c>
      <c r="H1875" s="265" t="s">
        <v>11000</v>
      </c>
      <c r="I1875" s="290" t="s">
        <v>11001</v>
      </c>
      <c r="J1875" s="265" t="s">
        <v>10655</v>
      </c>
      <c r="K1875" s="265" t="s">
        <v>10655</v>
      </c>
    </row>
    <row r="1876" spans="1:11" s="75" customFormat="1" ht="14.55" customHeight="1" x14ac:dyDescent="0.25">
      <c r="A1876" s="272" t="s">
        <v>8816</v>
      </c>
      <c r="B1876" s="272" t="s">
        <v>10591</v>
      </c>
      <c r="C1876" s="272" t="s">
        <v>10372</v>
      </c>
      <c r="D1876" s="259" t="s">
        <v>10373</v>
      </c>
      <c r="E1876" s="265" t="s">
        <v>10655</v>
      </c>
      <c r="F1876" s="272" t="s">
        <v>9198</v>
      </c>
      <c r="G1876" s="272" t="s">
        <v>9197</v>
      </c>
      <c r="H1876" s="265" t="s">
        <v>10976</v>
      </c>
      <c r="I1876" s="290" t="s">
        <v>10977</v>
      </c>
      <c r="J1876" s="265" t="s">
        <v>10655</v>
      </c>
      <c r="K1876" s="265" t="s">
        <v>10655</v>
      </c>
    </row>
    <row r="1877" spans="1:11" s="75" customFormat="1" ht="14.55" customHeight="1" x14ac:dyDescent="0.25">
      <c r="A1877" s="272" t="s">
        <v>8816</v>
      </c>
      <c r="B1877" s="272" t="s">
        <v>10591</v>
      </c>
      <c r="C1877" s="272" t="s">
        <v>10372</v>
      </c>
      <c r="D1877" s="259" t="s">
        <v>10373</v>
      </c>
      <c r="E1877" s="265" t="s">
        <v>10655</v>
      </c>
      <c r="F1877" s="272" t="s">
        <v>9198</v>
      </c>
      <c r="G1877" s="272" t="s">
        <v>9197</v>
      </c>
      <c r="H1877" s="265" t="s">
        <v>10980</v>
      </c>
      <c r="I1877" s="290" t="s">
        <v>10981</v>
      </c>
      <c r="J1877" s="265" t="s">
        <v>10655</v>
      </c>
      <c r="K1877" s="265" t="s">
        <v>10655</v>
      </c>
    </row>
    <row r="1878" spans="1:11" s="75" customFormat="1" ht="14.55" customHeight="1" x14ac:dyDescent="0.25">
      <c r="A1878" s="272" t="s">
        <v>8816</v>
      </c>
      <c r="B1878" s="272" t="s">
        <v>10591</v>
      </c>
      <c r="C1878" s="272" t="s">
        <v>10372</v>
      </c>
      <c r="D1878" s="259" t="s">
        <v>10373</v>
      </c>
      <c r="E1878" s="265" t="s">
        <v>10655</v>
      </c>
      <c r="F1878" s="272" t="s">
        <v>9198</v>
      </c>
      <c r="G1878" s="272" t="s">
        <v>9197</v>
      </c>
      <c r="H1878" s="265" t="s">
        <v>10992</v>
      </c>
      <c r="I1878" s="290" t="s">
        <v>10993</v>
      </c>
      <c r="J1878" s="265" t="s">
        <v>10655</v>
      </c>
      <c r="K1878" s="265" t="s">
        <v>10655</v>
      </c>
    </row>
    <row r="1879" spans="1:11" s="75" customFormat="1" ht="14.55" customHeight="1" x14ac:dyDescent="0.25">
      <c r="A1879" s="272" t="s">
        <v>8816</v>
      </c>
      <c r="B1879" s="272" t="s">
        <v>10591</v>
      </c>
      <c r="C1879" s="272" t="s">
        <v>10372</v>
      </c>
      <c r="D1879" s="259" t="s">
        <v>10373</v>
      </c>
      <c r="E1879" s="265" t="s">
        <v>10655</v>
      </c>
      <c r="F1879" s="272" t="s">
        <v>9198</v>
      </c>
      <c r="G1879" s="272" t="s">
        <v>9197</v>
      </c>
      <c r="H1879" s="265" t="s">
        <v>10994</v>
      </c>
      <c r="I1879" s="290" t="s">
        <v>10995</v>
      </c>
      <c r="J1879" s="265" t="s">
        <v>10655</v>
      </c>
      <c r="K1879" s="265" t="s">
        <v>10655</v>
      </c>
    </row>
    <row r="1880" spans="1:11" s="75" customFormat="1" ht="14.55" customHeight="1" x14ac:dyDescent="0.25">
      <c r="A1880" s="272" t="s">
        <v>8816</v>
      </c>
      <c r="B1880" s="272" t="s">
        <v>10591</v>
      </c>
      <c r="C1880" s="272" t="s">
        <v>10372</v>
      </c>
      <c r="D1880" s="259" t="s">
        <v>10373</v>
      </c>
      <c r="E1880" s="265" t="s">
        <v>10655</v>
      </c>
      <c r="F1880" s="272" t="s">
        <v>9198</v>
      </c>
      <c r="G1880" s="272" t="s">
        <v>9197</v>
      </c>
      <c r="H1880" s="265" t="s">
        <v>10996</v>
      </c>
      <c r="I1880" s="290" t="s">
        <v>10997</v>
      </c>
      <c r="J1880" s="265" t="s">
        <v>10655</v>
      </c>
      <c r="K1880" s="265" t="s">
        <v>10655</v>
      </c>
    </row>
    <row r="1881" spans="1:11" s="75" customFormat="1" ht="14.55" customHeight="1" x14ac:dyDescent="0.25">
      <c r="A1881" s="272" t="s">
        <v>8816</v>
      </c>
      <c r="B1881" s="272" t="s">
        <v>10591</v>
      </c>
      <c r="C1881" s="272" t="s">
        <v>10372</v>
      </c>
      <c r="D1881" s="259" t="s">
        <v>10373</v>
      </c>
      <c r="E1881" s="265" t="s">
        <v>10655</v>
      </c>
      <c r="F1881" s="272" t="s">
        <v>9198</v>
      </c>
      <c r="G1881" s="272" t="s">
        <v>9197</v>
      </c>
      <c r="H1881" s="265" t="s">
        <v>10998</v>
      </c>
      <c r="I1881" s="290" t="s">
        <v>10999</v>
      </c>
      <c r="J1881" s="265" t="s">
        <v>10655</v>
      </c>
      <c r="K1881" s="265" t="s">
        <v>10655</v>
      </c>
    </row>
    <row r="1882" spans="1:11" s="75" customFormat="1" ht="14.55" customHeight="1" x14ac:dyDescent="0.25">
      <c r="A1882" s="272" t="s">
        <v>8816</v>
      </c>
      <c r="B1882" s="272" t="s">
        <v>10591</v>
      </c>
      <c r="C1882" s="272" t="s">
        <v>10372</v>
      </c>
      <c r="D1882" s="259" t="s">
        <v>10373</v>
      </c>
      <c r="E1882" s="265" t="s">
        <v>10655</v>
      </c>
      <c r="F1882" s="272" t="s">
        <v>9198</v>
      </c>
      <c r="G1882" s="272" t="s">
        <v>9197</v>
      </c>
      <c r="H1882" s="265" t="s">
        <v>11000</v>
      </c>
      <c r="I1882" s="290" t="s">
        <v>11001</v>
      </c>
      <c r="J1882" s="265" t="s">
        <v>10655</v>
      </c>
      <c r="K1882" s="265" t="s">
        <v>10655</v>
      </c>
    </row>
    <row r="1883" spans="1:11" s="75" customFormat="1" ht="14.55" customHeight="1" x14ac:dyDescent="0.25">
      <c r="A1883" s="272" t="s">
        <v>8816</v>
      </c>
      <c r="B1883" s="272" t="s">
        <v>10591</v>
      </c>
      <c r="C1883" s="272" t="s">
        <v>10374</v>
      </c>
      <c r="D1883" s="259" t="s">
        <v>10375</v>
      </c>
      <c r="E1883" s="265" t="s">
        <v>10655</v>
      </c>
      <c r="F1883" s="272" t="s">
        <v>9198</v>
      </c>
      <c r="G1883" s="272" t="s">
        <v>9197</v>
      </c>
      <c r="H1883" s="265" t="s">
        <v>10980</v>
      </c>
      <c r="I1883" s="290" t="s">
        <v>10981</v>
      </c>
      <c r="J1883" s="265" t="s">
        <v>10655</v>
      </c>
      <c r="K1883" s="265" t="s">
        <v>10655</v>
      </c>
    </row>
    <row r="1884" spans="1:11" s="75" customFormat="1" ht="14.55" customHeight="1" x14ac:dyDescent="0.25">
      <c r="A1884" s="272" t="s">
        <v>8816</v>
      </c>
      <c r="B1884" s="272" t="s">
        <v>10591</v>
      </c>
      <c r="C1884" s="272" t="s">
        <v>10374</v>
      </c>
      <c r="D1884" s="259" t="s">
        <v>10375</v>
      </c>
      <c r="E1884" s="265" t="s">
        <v>10655</v>
      </c>
      <c r="F1884" s="272" t="s">
        <v>9198</v>
      </c>
      <c r="G1884" s="272" t="s">
        <v>9197</v>
      </c>
      <c r="H1884" s="265" t="s">
        <v>10988</v>
      </c>
      <c r="I1884" s="290" t="s">
        <v>10989</v>
      </c>
      <c r="J1884" s="265" t="s">
        <v>10655</v>
      </c>
      <c r="K1884" s="265" t="s">
        <v>10655</v>
      </c>
    </row>
    <row r="1885" spans="1:11" s="75" customFormat="1" ht="14.55" customHeight="1" x14ac:dyDescent="0.25">
      <c r="A1885" s="272" t="s">
        <v>8816</v>
      </c>
      <c r="B1885" s="272" t="s">
        <v>10591</v>
      </c>
      <c r="C1885" s="272" t="s">
        <v>10374</v>
      </c>
      <c r="D1885" s="259" t="s">
        <v>10375</v>
      </c>
      <c r="E1885" s="265" t="s">
        <v>10655</v>
      </c>
      <c r="F1885" s="272" t="s">
        <v>9198</v>
      </c>
      <c r="G1885" s="272" t="s">
        <v>9197</v>
      </c>
      <c r="H1885" s="265" t="s">
        <v>10994</v>
      </c>
      <c r="I1885" s="290" t="s">
        <v>10995</v>
      </c>
      <c r="J1885" s="265" t="s">
        <v>10655</v>
      </c>
      <c r="K1885" s="265" t="s">
        <v>10655</v>
      </c>
    </row>
    <row r="1886" spans="1:11" s="75" customFormat="1" ht="14.55" customHeight="1" x14ac:dyDescent="0.25">
      <c r="A1886" s="272" t="s">
        <v>8816</v>
      </c>
      <c r="B1886" s="272" t="s">
        <v>10591</v>
      </c>
      <c r="C1886" s="272" t="s">
        <v>10374</v>
      </c>
      <c r="D1886" s="259" t="s">
        <v>10375</v>
      </c>
      <c r="E1886" s="265" t="s">
        <v>10655</v>
      </c>
      <c r="F1886" s="272" t="s">
        <v>9198</v>
      </c>
      <c r="G1886" s="272" t="s">
        <v>9197</v>
      </c>
      <c r="H1886" s="265" t="s">
        <v>10996</v>
      </c>
      <c r="I1886" s="290" t="s">
        <v>10997</v>
      </c>
      <c r="J1886" s="265" t="s">
        <v>10655</v>
      </c>
      <c r="K1886" s="265" t="s">
        <v>10655</v>
      </c>
    </row>
    <row r="1887" spans="1:11" s="75" customFormat="1" ht="14.55" customHeight="1" x14ac:dyDescent="0.25">
      <c r="A1887" s="272" t="s">
        <v>8816</v>
      </c>
      <c r="B1887" s="272" t="s">
        <v>10591</v>
      </c>
      <c r="C1887" s="272" t="s">
        <v>10374</v>
      </c>
      <c r="D1887" s="259" t="s">
        <v>10375</v>
      </c>
      <c r="E1887" s="265" t="s">
        <v>10655</v>
      </c>
      <c r="F1887" s="272" t="s">
        <v>9198</v>
      </c>
      <c r="G1887" s="272" t="s">
        <v>9197</v>
      </c>
      <c r="H1887" s="265" t="s">
        <v>10998</v>
      </c>
      <c r="I1887" s="290" t="s">
        <v>10999</v>
      </c>
      <c r="J1887" s="265" t="s">
        <v>10655</v>
      </c>
      <c r="K1887" s="265" t="s">
        <v>10655</v>
      </c>
    </row>
    <row r="1888" spans="1:11" s="75" customFormat="1" ht="14.55" customHeight="1" x14ac:dyDescent="0.25">
      <c r="A1888" s="272" t="s">
        <v>8816</v>
      </c>
      <c r="B1888" s="272" t="s">
        <v>10591</v>
      </c>
      <c r="C1888" s="272" t="s">
        <v>10374</v>
      </c>
      <c r="D1888" s="259" t="s">
        <v>10375</v>
      </c>
      <c r="E1888" s="265" t="s">
        <v>10655</v>
      </c>
      <c r="F1888" s="272" t="s">
        <v>9198</v>
      </c>
      <c r="G1888" s="272" t="s">
        <v>9197</v>
      </c>
      <c r="H1888" s="265" t="s">
        <v>11000</v>
      </c>
      <c r="I1888" s="290" t="s">
        <v>11001</v>
      </c>
      <c r="J1888" s="265" t="s">
        <v>10655</v>
      </c>
      <c r="K1888" s="265" t="s">
        <v>10655</v>
      </c>
    </row>
    <row r="1889" spans="1:11" s="75" customFormat="1" ht="14.55" customHeight="1" x14ac:dyDescent="0.25">
      <c r="A1889" s="272" t="s">
        <v>8816</v>
      </c>
      <c r="B1889" s="272" t="s">
        <v>10591</v>
      </c>
      <c r="C1889" s="272" t="s">
        <v>10376</v>
      </c>
      <c r="D1889" s="259" t="s">
        <v>10377</v>
      </c>
      <c r="E1889" s="265" t="s">
        <v>10655</v>
      </c>
      <c r="F1889" s="272" t="s">
        <v>9198</v>
      </c>
      <c r="G1889" s="272" t="s">
        <v>9197</v>
      </c>
      <c r="H1889" s="265" t="s">
        <v>10980</v>
      </c>
      <c r="I1889" s="290" t="s">
        <v>10981</v>
      </c>
      <c r="J1889" s="265" t="s">
        <v>10655</v>
      </c>
      <c r="K1889" s="265" t="s">
        <v>10655</v>
      </c>
    </row>
    <row r="1890" spans="1:11" s="75" customFormat="1" ht="14.55" customHeight="1" x14ac:dyDescent="0.25">
      <c r="A1890" s="272" t="s">
        <v>8816</v>
      </c>
      <c r="B1890" s="272" t="s">
        <v>10591</v>
      </c>
      <c r="C1890" s="272" t="s">
        <v>10376</v>
      </c>
      <c r="D1890" s="259" t="s">
        <v>10377</v>
      </c>
      <c r="E1890" s="265" t="s">
        <v>10655</v>
      </c>
      <c r="F1890" s="272" t="s">
        <v>9198</v>
      </c>
      <c r="G1890" s="272" t="s">
        <v>9197</v>
      </c>
      <c r="H1890" s="265" t="s">
        <v>10988</v>
      </c>
      <c r="I1890" s="290" t="s">
        <v>10989</v>
      </c>
      <c r="J1890" s="265" t="s">
        <v>10655</v>
      </c>
      <c r="K1890" s="265" t="s">
        <v>10655</v>
      </c>
    </row>
    <row r="1891" spans="1:11" s="75" customFormat="1" ht="14.55" customHeight="1" x14ac:dyDescent="0.25">
      <c r="A1891" s="272" t="s">
        <v>8816</v>
      </c>
      <c r="B1891" s="272" t="s">
        <v>10591</v>
      </c>
      <c r="C1891" s="272" t="s">
        <v>10376</v>
      </c>
      <c r="D1891" s="259" t="s">
        <v>10377</v>
      </c>
      <c r="E1891" s="265" t="s">
        <v>10655</v>
      </c>
      <c r="F1891" s="272" t="s">
        <v>9198</v>
      </c>
      <c r="G1891" s="272" t="s">
        <v>9197</v>
      </c>
      <c r="H1891" s="265" t="s">
        <v>10994</v>
      </c>
      <c r="I1891" s="290" t="s">
        <v>10995</v>
      </c>
      <c r="J1891" s="265" t="s">
        <v>10655</v>
      </c>
      <c r="K1891" s="265" t="s">
        <v>10655</v>
      </c>
    </row>
    <row r="1892" spans="1:11" s="75" customFormat="1" ht="14.55" customHeight="1" x14ac:dyDescent="0.25">
      <c r="A1892" s="272" t="s">
        <v>8816</v>
      </c>
      <c r="B1892" s="272" t="s">
        <v>10591</v>
      </c>
      <c r="C1892" s="272" t="s">
        <v>10376</v>
      </c>
      <c r="D1892" s="259" t="s">
        <v>10377</v>
      </c>
      <c r="E1892" s="265" t="s">
        <v>10655</v>
      </c>
      <c r="F1892" s="272" t="s">
        <v>9198</v>
      </c>
      <c r="G1892" s="272" t="s">
        <v>9197</v>
      </c>
      <c r="H1892" s="265" t="s">
        <v>10996</v>
      </c>
      <c r="I1892" s="290" t="s">
        <v>10997</v>
      </c>
      <c r="J1892" s="265" t="s">
        <v>10655</v>
      </c>
      <c r="K1892" s="265" t="s">
        <v>10655</v>
      </c>
    </row>
    <row r="1893" spans="1:11" s="75" customFormat="1" ht="14.55" customHeight="1" x14ac:dyDescent="0.25">
      <c r="A1893" s="272" t="s">
        <v>8816</v>
      </c>
      <c r="B1893" s="272" t="s">
        <v>10591</v>
      </c>
      <c r="C1893" s="272" t="s">
        <v>10376</v>
      </c>
      <c r="D1893" s="259" t="s">
        <v>10377</v>
      </c>
      <c r="E1893" s="265" t="s">
        <v>10655</v>
      </c>
      <c r="F1893" s="272" t="s">
        <v>9198</v>
      </c>
      <c r="G1893" s="272" t="s">
        <v>9197</v>
      </c>
      <c r="H1893" s="265" t="s">
        <v>10998</v>
      </c>
      <c r="I1893" s="290" t="s">
        <v>10999</v>
      </c>
      <c r="J1893" s="265" t="s">
        <v>10655</v>
      </c>
      <c r="K1893" s="265" t="s">
        <v>10655</v>
      </c>
    </row>
    <row r="1894" spans="1:11" s="75" customFormat="1" ht="14.55" customHeight="1" x14ac:dyDescent="0.25">
      <c r="A1894" s="272" t="s">
        <v>8816</v>
      </c>
      <c r="B1894" s="272" t="s">
        <v>10591</v>
      </c>
      <c r="C1894" s="272" t="s">
        <v>10376</v>
      </c>
      <c r="D1894" s="259" t="s">
        <v>10377</v>
      </c>
      <c r="E1894" s="265" t="s">
        <v>10655</v>
      </c>
      <c r="F1894" s="272" t="s">
        <v>9198</v>
      </c>
      <c r="G1894" s="272" t="s">
        <v>9197</v>
      </c>
      <c r="H1894" s="265" t="s">
        <v>11000</v>
      </c>
      <c r="I1894" s="290" t="s">
        <v>11001</v>
      </c>
      <c r="J1894" s="265" t="s">
        <v>10655</v>
      </c>
      <c r="K1894" s="265" t="s">
        <v>10655</v>
      </c>
    </row>
    <row r="1895" spans="1:11" s="75" customFormat="1" ht="14.55" customHeight="1" x14ac:dyDescent="0.25">
      <c r="A1895" s="272" t="s">
        <v>8816</v>
      </c>
      <c r="B1895" s="272" t="s">
        <v>10591</v>
      </c>
      <c r="C1895" s="272" t="s">
        <v>10378</v>
      </c>
      <c r="D1895" s="259" t="s">
        <v>10379</v>
      </c>
      <c r="E1895" s="265" t="s">
        <v>10655</v>
      </c>
      <c r="F1895" s="272" t="s">
        <v>9198</v>
      </c>
      <c r="G1895" s="272" t="s">
        <v>9197</v>
      </c>
      <c r="H1895" s="265" t="s">
        <v>10906</v>
      </c>
      <c r="I1895" s="290" t="s">
        <v>10907</v>
      </c>
      <c r="J1895" s="265" t="s">
        <v>10655</v>
      </c>
      <c r="K1895" s="265" t="s">
        <v>10655</v>
      </c>
    </row>
    <row r="1896" spans="1:11" s="75" customFormat="1" ht="14.55" customHeight="1" x14ac:dyDescent="0.25">
      <c r="A1896" s="272" t="s">
        <v>8816</v>
      </c>
      <c r="B1896" s="272" t="s">
        <v>10591</v>
      </c>
      <c r="C1896" s="272" t="s">
        <v>10378</v>
      </c>
      <c r="D1896" s="259" t="s">
        <v>10379</v>
      </c>
      <c r="E1896" s="265" t="s">
        <v>10655</v>
      </c>
      <c r="F1896" s="272" t="s">
        <v>9198</v>
      </c>
      <c r="G1896" s="272" t="s">
        <v>9197</v>
      </c>
      <c r="H1896" s="265" t="s">
        <v>10992</v>
      </c>
      <c r="I1896" s="290" t="s">
        <v>10993</v>
      </c>
      <c r="J1896" s="265" t="s">
        <v>10655</v>
      </c>
      <c r="K1896" s="265" t="s">
        <v>10655</v>
      </c>
    </row>
    <row r="1897" spans="1:11" s="75" customFormat="1" ht="14.55" customHeight="1" x14ac:dyDescent="0.25">
      <c r="A1897" s="272" t="s">
        <v>8816</v>
      </c>
      <c r="B1897" s="272" t="s">
        <v>10591</v>
      </c>
      <c r="C1897" s="272" t="s">
        <v>10378</v>
      </c>
      <c r="D1897" s="259" t="s">
        <v>10379</v>
      </c>
      <c r="E1897" s="265" t="s">
        <v>10655</v>
      </c>
      <c r="F1897" s="272" t="s">
        <v>9198</v>
      </c>
      <c r="G1897" s="272" t="s">
        <v>9197</v>
      </c>
      <c r="H1897" s="265" t="s">
        <v>10994</v>
      </c>
      <c r="I1897" s="290" t="s">
        <v>10995</v>
      </c>
      <c r="J1897" s="265" t="s">
        <v>10655</v>
      </c>
      <c r="K1897" s="265" t="s">
        <v>10655</v>
      </c>
    </row>
    <row r="1898" spans="1:11" s="75" customFormat="1" ht="14.55" customHeight="1" x14ac:dyDescent="0.25">
      <c r="A1898" s="272" t="s">
        <v>8816</v>
      </c>
      <c r="B1898" s="272" t="s">
        <v>10591</v>
      </c>
      <c r="C1898" s="272" t="s">
        <v>10378</v>
      </c>
      <c r="D1898" s="259" t="s">
        <v>10379</v>
      </c>
      <c r="E1898" s="265" t="s">
        <v>10655</v>
      </c>
      <c r="F1898" s="272" t="s">
        <v>9198</v>
      </c>
      <c r="G1898" s="272" t="s">
        <v>9197</v>
      </c>
      <c r="H1898" s="265" t="s">
        <v>10996</v>
      </c>
      <c r="I1898" s="290" t="s">
        <v>10997</v>
      </c>
      <c r="J1898" s="265" t="s">
        <v>10655</v>
      </c>
      <c r="K1898" s="265" t="s">
        <v>10655</v>
      </c>
    </row>
    <row r="1899" spans="1:11" s="75" customFormat="1" ht="14.55" customHeight="1" x14ac:dyDescent="0.25">
      <c r="A1899" s="272" t="s">
        <v>8816</v>
      </c>
      <c r="B1899" s="272" t="s">
        <v>10591</v>
      </c>
      <c r="C1899" s="272" t="s">
        <v>10378</v>
      </c>
      <c r="D1899" s="259" t="s">
        <v>10379</v>
      </c>
      <c r="E1899" s="265" t="s">
        <v>10655</v>
      </c>
      <c r="F1899" s="272" t="s">
        <v>9198</v>
      </c>
      <c r="G1899" s="272" t="s">
        <v>9197</v>
      </c>
      <c r="H1899" s="265" t="s">
        <v>10998</v>
      </c>
      <c r="I1899" s="290" t="s">
        <v>10999</v>
      </c>
      <c r="J1899" s="265" t="s">
        <v>10655</v>
      </c>
      <c r="K1899" s="265" t="s">
        <v>10655</v>
      </c>
    </row>
    <row r="1900" spans="1:11" s="75" customFormat="1" ht="14.55" customHeight="1" x14ac:dyDescent="0.25">
      <c r="A1900" s="272" t="s">
        <v>8816</v>
      </c>
      <c r="B1900" s="272" t="s">
        <v>10591</v>
      </c>
      <c r="C1900" s="272" t="s">
        <v>10378</v>
      </c>
      <c r="D1900" s="259" t="s">
        <v>10379</v>
      </c>
      <c r="E1900" s="265" t="s">
        <v>10655</v>
      </c>
      <c r="F1900" s="272" t="s">
        <v>9198</v>
      </c>
      <c r="G1900" s="272" t="s">
        <v>9197</v>
      </c>
      <c r="H1900" s="265" t="s">
        <v>10908</v>
      </c>
      <c r="I1900" s="290" t="s">
        <v>10909</v>
      </c>
      <c r="J1900" s="265" t="s">
        <v>10655</v>
      </c>
      <c r="K1900" s="265" t="s">
        <v>10655</v>
      </c>
    </row>
    <row r="1901" spans="1:11" s="75" customFormat="1" ht="14.55" customHeight="1" x14ac:dyDescent="0.25">
      <c r="A1901" s="272" t="s">
        <v>8816</v>
      </c>
      <c r="B1901" s="272" t="s">
        <v>10591</v>
      </c>
      <c r="C1901" s="272" t="s">
        <v>10378</v>
      </c>
      <c r="D1901" s="259" t="s">
        <v>10379</v>
      </c>
      <c r="E1901" s="265" t="s">
        <v>10655</v>
      </c>
      <c r="F1901" s="272" t="s">
        <v>9198</v>
      </c>
      <c r="G1901" s="272" t="s">
        <v>9197</v>
      </c>
      <c r="H1901" s="265" t="s">
        <v>11000</v>
      </c>
      <c r="I1901" s="290" t="s">
        <v>11001</v>
      </c>
      <c r="J1901" s="265" t="s">
        <v>10655</v>
      </c>
      <c r="K1901" s="265" t="s">
        <v>10655</v>
      </c>
    </row>
    <row r="1902" spans="1:11" s="75" customFormat="1" ht="14.55" customHeight="1" x14ac:dyDescent="0.25">
      <c r="A1902" s="272" t="s">
        <v>8816</v>
      </c>
      <c r="B1902" s="272" t="s">
        <v>10591</v>
      </c>
      <c r="C1902" s="272" t="s">
        <v>10380</v>
      </c>
      <c r="D1902" s="259" t="s">
        <v>10381</v>
      </c>
      <c r="E1902" s="265" t="s">
        <v>10655</v>
      </c>
      <c r="F1902" s="272" t="s">
        <v>9198</v>
      </c>
      <c r="G1902" s="272" t="s">
        <v>9197</v>
      </c>
      <c r="H1902" s="265" t="s">
        <v>10960</v>
      </c>
      <c r="I1902" s="290" t="s">
        <v>10961</v>
      </c>
      <c r="J1902" s="265" t="s">
        <v>10655</v>
      </c>
      <c r="K1902" s="265" t="s">
        <v>10655</v>
      </c>
    </row>
    <row r="1903" spans="1:11" s="75" customFormat="1" ht="14.55" customHeight="1" x14ac:dyDescent="0.25">
      <c r="A1903" s="272" t="s">
        <v>8816</v>
      </c>
      <c r="B1903" s="272" t="s">
        <v>10591</v>
      </c>
      <c r="C1903" s="272" t="s">
        <v>10382</v>
      </c>
      <c r="D1903" s="259" t="s">
        <v>10383</v>
      </c>
      <c r="E1903" s="265" t="s">
        <v>10655</v>
      </c>
      <c r="F1903" s="272" t="s">
        <v>9198</v>
      </c>
      <c r="G1903" s="272" t="s">
        <v>9197</v>
      </c>
      <c r="H1903" s="265" t="s">
        <v>10960</v>
      </c>
      <c r="I1903" s="290" t="s">
        <v>10961</v>
      </c>
      <c r="J1903" s="265" t="s">
        <v>10655</v>
      </c>
      <c r="K1903" s="265" t="s">
        <v>10655</v>
      </c>
    </row>
    <row r="1904" spans="1:11" s="75" customFormat="1" ht="14.55" customHeight="1" x14ac:dyDescent="0.25">
      <c r="A1904" s="272" t="s">
        <v>8816</v>
      </c>
      <c r="B1904" s="272" t="s">
        <v>10591</v>
      </c>
      <c r="C1904" s="272" t="s">
        <v>10384</v>
      </c>
      <c r="D1904" s="259" t="s">
        <v>10385</v>
      </c>
      <c r="E1904" s="265" t="s">
        <v>10655</v>
      </c>
      <c r="F1904" s="272" t="s">
        <v>9198</v>
      </c>
      <c r="G1904" s="272" t="s">
        <v>9197</v>
      </c>
      <c r="H1904" s="265" t="s">
        <v>10960</v>
      </c>
      <c r="I1904" s="290" t="s">
        <v>10961</v>
      </c>
      <c r="J1904" s="265" t="s">
        <v>10655</v>
      </c>
      <c r="K1904" s="265" t="s">
        <v>10655</v>
      </c>
    </row>
    <row r="1905" spans="1:11" s="75" customFormat="1" ht="14.55" customHeight="1" x14ac:dyDescent="0.25">
      <c r="A1905" s="272" t="s">
        <v>8816</v>
      </c>
      <c r="B1905" s="272" t="s">
        <v>10591</v>
      </c>
      <c r="C1905" s="272" t="s">
        <v>10386</v>
      </c>
      <c r="D1905" s="259" t="s">
        <v>10387</v>
      </c>
      <c r="E1905" s="265" t="s">
        <v>10655</v>
      </c>
      <c r="F1905" s="272" t="s">
        <v>9198</v>
      </c>
      <c r="G1905" s="272" t="s">
        <v>9197</v>
      </c>
      <c r="H1905" s="265" t="s">
        <v>11014</v>
      </c>
      <c r="I1905" s="290" t="s">
        <v>11015</v>
      </c>
      <c r="J1905" s="265" t="s">
        <v>10655</v>
      </c>
      <c r="K1905" s="265" t="s">
        <v>10655</v>
      </c>
    </row>
    <row r="1906" spans="1:11" s="75" customFormat="1" ht="14.55" customHeight="1" x14ac:dyDescent="0.25">
      <c r="A1906" s="272" t="s">
        <v>8816</v>
      </c>
      <c r="B1906" s="272" t="s">
        <v>10591</v>
      </c>
      <c r="C1906" s="272" t="s">
        <v>10388</v>
      </c>
      <c r="D1906" s="259" t="s">
        <v>10389</v>
      </c>
      <c r="E1906" s="265" t="s">
        <v>10655</v>
      </c>
      <c r="F1906" s="272" t="s">
        <v>9198</v>
      </c>
      <c r="G1906" s="272" t="s">
        <v>9197</v>
      </c>
      <c r="H1906" s="265" t="s">
        <v>11014</v>
      </c>
      <c r="I1906" s="290" t="s">
        <v>11015</v>
      </c>
      <c r="J1906" s="265" t="s">
        <v>10655</v>
      </c>
      <c r="K1906" s="265" t="s">
        <v>10655</v>
      </c>
    </row>
    <row r="1907" spans="1:11" s="75" customFormat="1" ht="14.55" customHeight="1" x14ac:dyDescent="0.25">
      <c r="A1907" s="272" t="s">
        <v>8816</v>
      </c>
      <c r="B1907" s="272" t="s">
        <v>10591</v>
      </c>
      <c r="C1907" s="272" t="s">
        <v>10390</v>
      </c>
      <c r="D1907" s="259" t="s">
        <v>10391</v>
      </c>
      <c r="E1907" s="265" t="s">
        <v>10655</v>
      </c>
      <c r="F1907" s="272" t="s">
        <v>9198</v>
      </c>
      <c r="G1907" s="272" t="s">
        <v>9198</v>
      </c>
      <c r="H1907" s="265" t="s">
        <v>11014</v>
      </c>
      <c r="I1907" s="290" t="s">
        <v>11015</v>
      </c>
      <c r="J1907" s="265" t="s">
        <v>10655</v>
      </c>
      <c r="K1907" s="265" t="s">
        <v>10655</v>
      </c>
    </row>
    <row r="1908" spans="1:11" s="75" customFormat="1" ht="14.55" customHeight="1" x14ac:dyDescent="0.25">
      <c r="A1908" s="272" t="s">
        <v>8816</v>
      </c>
      <c r="B1908" s="272" t="s">
        <v>10591</v>
      </c>
      <c r="C1908" s="272" t="s">
        <v>10392</v>
      </c>
      <c r="D1908" s="259" t="s">
        <v>10393</v>
      </c>
      <c r="E1908" s="265" t="s">
        <v>10655</v>
      </c>
      <c r="F1908" s="272" t="s">
        <v>9198</v>
      </c>
      <c r="G1908" s="272" t="s">
        <v>9197</v>
      </c>
      <c r="H1908" s="265" t="s">
        <v>10906</v>
      </c>
      <c r="I1908" s="290" t="s">
        <v>10907</v>
      </c>
      <c r="J1908" s="265" t="s">
        <v>10655</v>
      </c>
      <c r="K1908" s="265" t="s">
        <v>10655</v>
      </c>
    </row>
    <row r="1909" spans="1:11" s="75" customFormat="1" ht="14.55" customHeight="1" x14ac:dyDescent="0.25">
      <c r="A1909" s="272" t="s">
        <v>8816</v>
      </c>
      <c r="B1909" s="272" t="s">
        <v>10591</v>
      </c>
      <c r="C1909" s="272" t="s">
        <v>10392</v>
      </c>
      <c r="D1909" s="259" t="s">
        <v>10393</v>
      </c>
      <c r="E1909" s="265" t="s">
        <v>10655</v>
      </c>
      <c r="F1909" s="272" t="s">
        <v>9198</v>
      </c>
      <c r="G1909" s="272" t="s">
        <v>9197</v>
      </c>
      <c r="H1909" s="265" t="s">
        <v>11014</v>
      </c>
      <c r="I1909" s="290" t="s">
        <v>11015</v>
      </c>
      <c r="J1909" s="265" t="s">
        <v>10655</v>
      </c>
      <c r="K1909" s="265" t="s">
        <v>10655</v>
      </c>
    </row>
    <row r="1910" spans="1:11" s="75" customFormat="1" ht="14.55" customHeight="1" x14ac:dyDescent="0.25">
      <c r="A1910" s="272" t="s">
        <v>8816</v>
      </c>
      <c r="B1910" s="272" t="s">
        <v>10591</v>
      </c>
      <c r="C1910" s="272" t="s">
        <v>10392</v>
      </c>
      <c r="D1910" s="259" t="s">
        <v>10393</v>
      </c>
      <c r="E1910" s="265" t="s">
        <v>10655</v>
      </c>
      <c r="F1910" s="272" t="s">
        <v>9198</v>
      </c>
      <c r="G1910" s="272" t="s">
        <v>9197</v>
      </c>
      <c r="H1910" s="265" t="s">
        <v>10908</v>
      </c>
      <c r="I1910" s="290" t="s">
        <v>10909</v>
      </c>
      <c r="J1910" s="265" t="s">
        <v>10655</v>
      </c>
      <c r="K1910" s="265" t="s">
        <v>10655</v>
      </c>
    </row>
    <row r="1911" spans="1:11" s="75" customFormat="1" ht="14.55" customHeight="1" x14ac:dyDescent="0.25">
      <c r="A1911" s="272" t="s">
        <v>8816</v>
      </c>
      <c r="B1911" s="272" t="s">
        <v>10591</v>
      </c>
      <c r="C1911" s="272" t="s">
        <v>10394</v>
      </c>
      <c r="D1911" s="259" t="s">
        <v>10395</v>
      </c>
      <c r="E1911" s="265" t="s">
        <v>10655</v>
      </c>
      <c r="F1911" s="272" t="s">
        <v>9198</v>
      </c>
      <c r="G1911" s="272" t="s">
        <v>9197</v>
      </c>
      <c r="H1911" s="265" t="s">
        <v>10960</v>
      </c>
      <c r="I1911" s="290" t="s">
        <v>10961</v>
      </c>
      <c r="J1911" s="265" t="s">
        <v>10655</v>
      </c>
      <c r="K1911" s="265" t="s">
        <v>10655</v>
      </c>
    </row>
    <row r="1912" spans="1:11" s="75" customFormat="1" ht="14.55" customHeight="1" x14ac:dyDescent="0.25">
      <c r="A1912" s="272" t="s">
        <v>8816</v>
      </c>
      <c r="B1912" s="272" t="s">
        <v>10591</v>
      </c>
      <c r="C1912" s="272" t="s">
        <v>10396</v>
      </c>
      <c r="D1912" s="259" t="s">
        <v>10397</v>
      </c>
      <c r="E1912" s="265" t="s">
        <v>10655</v>
      </c>
      <c r="F1912" s="272" t="s">
        <v>9198</v>
      </c>
      <c r="G1912" s="272" t="s">
        <v>9198</v>
      </c>
      <c r="H1912" s="265" t="s">
        <v>10960</v>
      </c>
      <c r="I1912" s="290" t="s">
        <v>10961</v>
      </c>
      <c r="J1912" s="265" t="s">
        <v>10655</v>
      </c>
      <c r="K1912" s="265" t="s">
        <v>10655</v>
      </c>
    </row>
    <row r="1913" spans="1:11" s="75" customFormat="1" ht="14.55" customHeight="1" x14ac:dyDescent="0.25">
      <c r="A1913" s="272" t="s">
        <v>8816</v>
      </c>
      <c r="B1913" s="272" t="s">
        <v>10591</v>
      </c>
      <c r="C1913" s="272" t="s">
        <v>10398</v>
      </c>
      <c r="D1913" s="259" t="s">
        <v>10399</v>
      </c>
      <c r="E1913" s="265" t="s">
        <v>10655</v>
      </c>
      <c r="F1913" s="272" t="s">
        <v>9198</v>
      </c>
      <c r="G1913" s="272" t="s">
        <v>9197</v>
      </c>
      <c r="H1913" s="265" t="s">
        <v>11016</v>
      </c>
      <c r="I1913" s="290" t="s">
        <v>11017</v>
      </c>
      <c r="J1913" s="265" t="s">
        <v>10655</v>
      </c>
      <c r="K1913" s="265" t="s">
        <v>10655</v>
      </c>
    </row>
    <row r="1914" spans="1:11" s="75" customFormat="1" ht="14.55" customHeight="1" x14ac:dyDescent="0.25">
      <c r="A1914" s="272" t="s">
        <v>8816</v>
      </c>
      <c r="B1914" s="272" t="s">
        <v>10591</v>
      </c>
      <c r="C1914" s="272" t="s">
        <v>10398</v>
      </c>
      <c r="D1914" s="259" t="s">
        <v>10399</v>
      </c>
      <c r="E1914" s="265" t="s">
        <v>10655</v>
      </c>
      <c r="F1914" s="272" t="s">
        <v>9198</v>
      </c>
      <c r="G1914" s="272" t="s">
        <v>9197</v>
      </c>
      <c r="H1914" s="265" t="s">
        <v>11018</v>
      </c>
      <c r="I1914" s="290" t="s">
        <v>11019</v>
      </c>
      <c r="J1914" s="265" t="s">
        <v>10655</v>
      </c>
      <c r="K1914" s="265" t="s">
        <v>10655</v>
      </c>
    </row>
    <row r="1915" spans="1:11" s="75" customFormat="1" ht="14.55" customHeight="1" x14ac:dyDescent="0.25">
      <c r="A1915" s="272" t="s">
        <v>8816</v>
      </c>
      <c r="B1915" s="272" t="s">
        <v>10591</v>
      </c>
      <c r="C1915" s="272" t="s">
        <v>10398</v>
      </c>
      <c r="D1915" s="259" t="s">
        <v>10399</v>
      </c>
      <c r="E1915" s="265" t="s">
        <v>10655</v>
      </c>
      <c r="F1915" s="272" t="s">
        <v>9198</v>
      </c>
      <c r="G1915" s="272" t="s">
        <v>9197</v>
      </c>
      <c r="H1915" s="265" t="s">
        <v>10960</v>
      </c>
      <c r="I1915" s="290" t="s">
        <v>10961</v>
      </c>
      <c r="J1915" s="265" t="s">
        <v>10655</v>
      </c>
      <c r="K1915" s="265" t="s">
        <v>10655</v>
      </c>
    </row>
    <row r="1916" spans="1:11" s="75" customFormat="1" ht="14.55" customHeight="1" x14ac:dyDescent="0.25">
      <c r="A1916" s="272" t="s">
        <v>8816</v>
      </c>
      <c r="B1916" s="272" t="s">
        <v>10591</v>
      </c>
      <c r="C1916" s="272" t="s">
        <v>10400</v>
      </c>
      <c r="D1916" s="259" t="s">
        <v>10401</v>
      </c>
      <c r="E1916" s="265" t="s">
        <v>10655</v>
      </c>
      <c r="F1916" s="272" t="s">
        <v>9198</v>
      </c>
      <c r="G1916" s="272" t="s">
        <v>9198</v>
      </c>
      <c r="H1916" s="265" t="s">
        <v>11016</v>
      </c>
      <c r="I1916" s="290" t="s">
        <v>11017</v>
      </c>
      <c r="J1916" s="265" t="s">
        <v>10655</v>
      </c>
      <c r="K1916" s="265" t="s">
        <v>10655</v>
      </c>
    </row>
    <row r="1917" spans="1:11" s="75" customFormat="1" ht="14.55" customHeight="1" x14ac:dyDescent="0.25">
      <c r="A1917" s="272" t="s">
        <v>8816</v>
      </c>
      <c r="B1917" s="272" t="s">
        <v>10591</v>
      </c>
      <c r="C1917" s="272" t="s">
        <v>10400</v>
      </c>
      <c r="D1917" s="259" t="s">
        <v>10401</v>
      </c>
      <c r="E1917" s="265" t="s">
        <v>10655</v>
      </c>
      <c r="F1917" s="272" t="s">
        <v>9198</v>
      </c>
      <c r="G1917" s="272" t="s">
        <v>9198</v>
      </c>
      <c r="H1917" s="265" t="s">
        <v>11018</v>
      </c>
      <c r="I1917" s="290" t="s">
        <v>11019</v>
      </c>
      <c r="J1917" s="265" t="s">
        <v>10655</v>
      </c>
      <c r="K1917" s="265" t="s">
        <v>10655</v>
      </c>
    </row>
    <row r="1918" spans="1:11" s="75" customFormat="1" ht="14.55" customHeight="1" x14ac:dyDescent="0.25">
      <c r="A1918" s="272" t="s">
        <v>8816</v>
      </c>
      <c r="B1918" s="272" t="s">
        <v>10591</v>
      </c>
      <c r="C1918" s="272" t="s">
        <v>10400</v>
      </c>
      <c r="D1918" s="259" t="s">
        <v>10401</v>
      </c>
      <c r="E1918" s="265" t="s">
        <v>10655</v>
      </c>
      <c r="F1918" s="272" t="s">
        <v>9198</v>
      </c>
      <c r="G1918" s="272" t="s">
        <v>9198</v>
      </c>
      <c r="H1918" s="265" t="s">
        <v>10960</v>
      </c>
      <c r="I1918" s="290" t="s">
        <v>10961</v>
      </c>
      <c r="J1918" s="265" t="s">
        <v>10655</v>
      </c>
      <c r="K1918" s="265" t="s">
        <v>10655</v>
      </c>
    </row>
    <row r="1919" spans="1:11" s="75" customFormat="1" ht="14.55" customHeight="1" x14ac:dyDescent="0.25">
      <c r="A1919" s="272" t="s">
        <v>8816</v>
      </c>
      <c r="B1919" s="272" t="s">
        <v>10591</v>
      </c>
      <c r="C1919" s="272" t="s">
        <v>10402</v>
      </c>
      <c r="D1919" s="259" t="s">
        <v>10403</v>
      </c>
      <c r="E1919" s="265" t="s">
        <v>10655</v>
      </c>
      <c r="F1919" s="272" t="s">
        <v>9198</v>
      </c>
      <c r="G1919" s="272" t="s">
        <v>9197</v>
      </c>
      <c r="H1919" s="265" t="s">
        <v>11016</v>
      </c>
      <c r="I1919" s="290" t="s">
        <v>11017</v>
      </c>
      <c r="J1919" s="265" t="s">
        <v>10655</v>
      </c>
      <c r="K1919" s="265" t="s">
        <v>10655</v>
      </c>
    </row>
    <row r="1920" spans="1:11" s="75" customFormat="1" ht="14.55" customHeight="1" x14ac:dyDescent="0.25">
      <c r="A1920" s="272" t="s">
        <v>8816</v>
      </c>
      <c r="B1920" s="272" t="s">
        <v>10591</v>
      </c>
      <c r="C1920" s="272" t="s">
        <v>10402</v>
      </c>
      <c r="D1920" s="259" t="s">
        <v>10403</v>
      </c>
      <c r="E1920" s="265" t="s">
        <v>10655</v>
      </c>
      <c r="F1920" s="272" t="s">
        <v>9198</v>
      </c>
      <c r="G1920" s="272" t="s">
        <v>9197</v>
      </c>
      <c r="H1920" s="265" t="s">
        <v>11018</v>
      </c>
      <c r="I1920" s="290" t="s">
        <v>11019</v>
      </c>
      <c r="J1920" s="265" t="s">
        <v>10655</v>
      </c>
      <c r="K1920" s="265" t="s">
        <v>10655</v>
      </c>
    </row>
    <row r="1921" spans="1:11" s="75" customFormat="1" ht="14.55" customHeight="1" x14ac:dyDescent="0.25">
      <c r="A1921" s="272" t="s">
        <v>8816</v>
      </c>
      <c r="B1921" s="272" t="s">
        <v>10591</v>
      </c>
      <c r="C1921" s="272" t="s">
        <v>10402</v>
      </c>
      <c r="D1921" s="259" t="s">
        <v>10403</v>
      </c>
      <c r="E1921" s="265" t="s">
        <v>10655</v>
      </c>
      <c r="F1921" s="272" t="s">
        <v>9198</v>
      </c>
      <c r="G1921" s="272" t="s">
        <v>9197</v>
      </c>
      <c r="H1921" s="265" t="s">
        <v>10960</v>
      </c>
      <c r="I1921" s="290" t="s">
        <v>10961</v>
      </c>
      <c r="J1921" s="265" t="s">
        <v>10655</v>
      </c>
      <c r="K1921" s="265" t="s">
        <v>10655</v>
      </c>
    </row>
    <row r="1922" spans="1:11" s="75" customFormat="1" ht="14.55" customHeight="1" x14ac:dyDescent="0.25">
      <c r="A1922" s="272" t="s">
        <v>8816</v>
      </c>
      <c r="B1922" s="272" t="s">
        <v>10591</v>
      </c>
      <c r="C1922" s="272" t="s">
        <v>10404</v>
      </c>
      <c r="D1922" s="259" t="s">
        <v>10405</v>
      </c>
      <c r="E1922" s="265" t="s">
        <v>10655</v>
      </c>
      <c r="F1922" s="272" t="s">
        <v>9198</v>
      </c>
      <c r="G1922" s="272" t="s">
        <v>9197</v>
      </c>
      <c r="H1922" s="265" t="s">
        <v>10906</v>
      </c>
      <c r="I1922" s="290" t="s">
        <v>10907</v>
      </c>
      <c r="J1922" s="265" t="s">
        <v>10655</v>
      </c>
      <c r="K1922" s="265" t="s">
        <v>10655</v>
      </c>
    </row>
    <row r="1923" spans="1:11" s="75" customFormat="1" ht="14.55" customHeight="1" x14ac:dyDescent="0.25">
      <c r="A1923" s="272" t="s">
        <v>8816</v>
      </c>
      <c r="B1923" s="272" t="s">
        <v>10591</v>
      </c>
      <c r="C1923" s="272" t="s">
        <v>10404</v>
      </c>
      <c r="D1923" s="259" t="s">
        <v>10405</v>
      </c>
      <c r="E1923" s="265" t="s">
        <v>10655</v>
      </c>
      <c r="F1923" s="272" t="s">
        <v>9198</v>
      </c>
      <c r="G1923" s="272" t="s">
        <v>9197</v>
      </c>
      <c r="H1923" s="265" t="s">
        <v>11016</v>
      </c>
      <c r="I1923" s="290" t="s">
        <v>11017</v>
      </c>
      <c r="J1923" s="265" t="s">
        <v>10655</v>
      </c>
      <c r="K1923" s="265" t="s">
        <v>10655</v>
      </c>
    </row>
    <row r="1924" spans="1:11" s="75" customFormat="1" ht="14.55" customHeight="1" x14ac:dyDescent="0.25">
      <c r="A1924" s="272" t="s">
        <v>8816</v>
      </c>
      <c r="B1924" s="272" t="s">
        <v>10591</v>
      </c>
      <c r="C1924" s="272" t="s">
        <v>10404</v>
      </c>
      <c r="D1924" s="259" t="s">
        <v>10405</v>
      </c>
      <c r="E1924" s="265" t="s">
        <v>10655</v>
      </c>
      <c r="F1924" s="272" t="s">
        <v>9198</v>
      </c>
      <c r="G1924" s="272" t="s">
        <v>9197</v>
      </c>
      <c r="H1924" s="265" t="s">
        <v>11018</v>
      </c>
      <c r="I1924" s="290" t="s">
        <v>11019</v>
      </c>
      <c r="J1924" s="265" t="s">
        <v>10655</v>
      </c>
      <c r="K1924" s="265" t="s">
        <v>10655</v>
      </c>
    </row>
    <row r="1925" spans="1:11" s="75" customFormat="1" ht="14.55" customHeight="1" x14ac:dyDescent="0.25">
      <c r="A1925" s="272" t="s">
        <v>8816</v>
      </c>
      <c r="B1925" s="272" t="s">
        <v>10591</v>
      </c>
      <c r="C1925" s="272" t="s">
        <v>10404</v>
      </c>
      <c r="D1925" s="259" t="s">
        <v>10405</v>
      </c>
      <c r="E1925" s="265" t="s">
        <v>10655</v>
      </c>
      <c r="F1925" s="272" t="s">
        <v>9198</v>
      </c>
      <c r="G1925" s="272" t="s">
        <v>9197</v>
      </c>
      <c r="H1925" s="265" t="s">
        <v>10908</v>
      </c>
      <c r="I1925" s="290" t="s">
        <v>10909</v>
      </c>
      <c r="J1925" s="265" t="s">
        <v>10655</v>
      </c>
      <c r="K1925" s="265" t="s">
        <v>10655</v>
      </c>
    </row>
    <row r="1926" spans="1:11" s="75" customFormat="1" ht="14.55" customHeight="1" x14ac:dyDescent="0.25">
      <c r="A1926" s="272" t="s">
        <v>8816</v>
      </c>
      <c r="B1926" s="272" t="s">
        <v>10591</v>
      </c>
      <c r="C1926" s="272" t="s">
        <v>10404</v>
      </c>
      <c r="D1926" s="259" t="s">
        <v>10405</v>
      </c>
      <c r="E1926" s="265" t="s">
        <v>10655</v>
      </c>
      <c r="F1926" s="272" t="s">
        <v>9198</v>
      </c>
      <c r="G1926" s="272" t="s">
        <v>9197</v>
      </c>
      <c r="H1926" s="265" t="s">
        <v>10960</v>
      </c>
      <c r="I1926" s="290" t="s">
        <v>10961</v>
      </c>
      <c r="J1926" s="265" t="s">
        <v>10655</v>
      </c>
      <c r="K1926" s="265" t="s">
        <v>10655</v>
      </c>
    </row>
    <row r="1927" spans="1:11" s="75" customFormat="1" ht="14.55" customHeight="1" x14ac:dyDescent="0.25">
      <c r="A1927" s="272" t="s">
        <v>8816</v>
      </c>
      <c r="B1927" s="272" t="s">
        <v>10591</v>
      </c>
      <c r="C1927" s="272" t="s">
        <v>10406</v>
      </c>
      <c r="D1927" s="259" t="s">
        <v>10407</v>
      </c>
      <c r="E1927" s="265" t="s">
        <v>10655</v>
      </c>
      <c r="F1927" s="272" t="s">
        <v>9198</v>
      </c>
      <c r="G1927" s="272" t="s">
        <v>9197</v>
      </c>
      <c r="H1927" s="265" t="s">
        <v>10906</v>
      </c>
      <c r="I1927" s="290" t="s">
        <v>10907</v>
      </c>
      <c r="J1927" s="265" t="s">
        <v>10655</v>
      </c>
      <c r="K1927" s="265" t="s">
        <v>10655</v>
      </c>
    </row>
    <row r="1928" spans="1:11" s="75" customFormat="1" ht="14.55" customHeight="1" x14ac:dyDescent="0.25">
      <c r="A1928" s="272" t="s">
        <v>8816</v>
      </c>
      <c r="B1928" s="272" t="s">
        <v>10591</v>
      </c>
      <c r="C1928" s="272" t="s">
        <v>10406</v>
      </c>
      <c r="D1928" s="259" t="s">
        <v>10407</v>
      </c>
      <c r="E1928" s="265" t="s">
        <v>10655</v>
      </c>
      <c r="F1928" s="272" t="s">
        <v>9198</v>
      </c>
      <c r="G1928" s="272" t="s">
        <v>9197</v>
      </c>
      <c r="H1928" s="265" t="s">
        <v>10908</v>
      </c>
      <c r="I1928" s="290" t="s">
        <v>10909</v>
      </c>
      <c r="J1928" s="265" t="s">
        <v>10655</v>
      </c>
      <c r="K1928" s="265" t="s">
        <v>10655</v>
      </c>
    </row>
    <row r="1929" spans="1:11" s="75" customFormat="1" ht="14.55" customHeight="1" x14ac:dyDescent="0.25">
      <c r="A1929" s="272" t="s">
        <v>8816</v>
      </c>
      <c r="B1929" s="272" t="s">
        <v>10591</v>
      </c>
      <c r="C1929" s="272" t="s">
        <v>10406</v>
      </c>
      <c r="D1929" s="259" t="s">
        <v>10407</v>
      </c>
      <c r="E1929" s="265" t="s">
        <v>10655</v>
      </c>
      <c r="F1929" s="272" t="s">
        <v>9198</v>
      </c>
      <c r="G1929" s="272" t="s">
        <v>9197</v>
      </c>
      <c r="H1929" s="265" t="s">
        <v>10960</v>
      </c>
      <c r="I1929" s="290" t="s">
        <v>10961</v>
      </c>
      <c r="J1929" s="265" t="s">
        <v>10655</v>
      </c>
      <c r="K1929" s="265" t="s">
        <v>10655</v>
      </c>
    </row>
    <row r="1930" spans="1:11" s="75" customFormat="1" ht="14.55" customHeight="1" x14ac:dyDescent="0.25">
      <c r="A1930" s="272" t="s">
        <v>8816</v>
      </c>
      <c r="B1930" s="272" t="s">
        <v>10591</v>
      </c>
      <c r="C1930" s="272" t="s">
        <v>10408</v>
      </c>
      <c r="D1930" s="259" t="s">
        <v>10409</v>
      </c>
      <c r="E1930" s="265" t="s">
        <v>10655</v>
      </c>
      <c r="F1930" s="272" t="s">
        <v>9198</v>
      </c>
      <c r="G1930" s="272" t="s">
        <v>9198</v>
      </c>
      <c r="H1930" s="265" t="s">
        <v>11020</v>
      </c>
      <c r="I1930" s="290" t="s">
        <v>11021</v>
      </c>
      <c r="J1930" s="265" t="s">
        <v>10655</v>
      </c>
      <c r="K1930" s="265" t="s">
        <v>10655</v>
      </c>
    </row>
    <row r="1931" spans="1:11" s="75" customFormat="1" ht="14.55" customHeight="1" x14ac:dyDescent="0.25">
      <c r="A1931" s="272" t="s">
        <v>8816</v>
      </c>
      <c r="B1931" s="272" t="s">
        <v>10591</v>
      </c>
      <c r="C1931" s="272" t="s">
        <v>10408</v>
      </c>
      <c r="D1931" s="259" t="s">
        <v>10409</v>
      </c>
      <c r="E1931" s="265" t="s">
        <v>10655</v>
      </c>
      <c r="F1931" s="272" t="s">
        <v>9198</v>
      </c>
      <c r="G1931" s="272" t="s">
        <v>9198</v>
      </c>
      <c r="H1931" s="265" t="s">
        <v>11022</v>
      </c>
      <c r="I1931" s="290" t="s">
        <v>11023</v>
      </c>
      <c r="J1931" s="265" t="s">
        <v>10655</v>
      </c>
      <c r="K1931" s="265" t="s">
        <v>10655</v>
      </c>
    </row>
    <row r="1932" spans="1:11" s="75" customFormat="1" ht="14.55" customHeight="1" x14ac:dyDescent="0.25">
      <c r="A1932" s="272" t="s">
        <v>8816</v>
      </c>
      <c r="B1932" s="272" t="s">
        <v>10591</v>
      </c>
      <c r="C1932" s="272" t="s">
        <v>10408</v>
      </c>
      <c r="D1932" s="259" t="s">
        <v>10409</v>
      </c>
      <c r="E1932" s="265" t="s">
        <v>10655</v>
      </c>
      <c r="F1932" s="272" t="s">
        <v>9198</v>
      </c>
      <c r="G1932" s="272" t="s">
        <v>9198</v>
      </c>
      <c r="H1932" s="265" t="s">
        <v>10960</v>
      </c>
      <c r="I1932" s="290" t="s">
        <v>10961</v>
      </c>
      <c r="J1932" s="265" t="s">
        <v>10655</v>
      </c>
      <c r="K1932" s="265" t="s">
        <v>10655</v>
      </c>
    </row>
    <row r="1933" spans="1:11" s="75" customFormat="1" ht="14.55" customHeight="1" x14ac:dyDescent="0.25">
      <c r="A1933" s="272" t="s">
        <v>8816</v>
      </c>
      <c r="B1933" s="272" t="s">
        <v>10591</v>
      </c>
      <c r="C1933" s="272" t="s">
        <v>10410</v>
      </c>
      <c r="D1933" s="259" t="s">
        <v>10411</v>
      </c>
      <c r="E1933" s="265" t="s">
        <v>10655</v>
      </c>
      <c r="F1933" s="272" t="s">
        <v>9198</v>
      </c>
      <c r="G1933" s="272" t="s">
        <v>9197</v>
      </c>
      <c r="H1933" s="265" t="s">
        <v>11020</v>
      </c>
      <c r="I1933" s="290" t="s">
        <v>11021</v>
      </c>
      <c r="J1933" s="265" t="s">
        <v>10655</v>
      </c>
      <c r="K1933" s="265" t="s">
        <v>10655</v>
      </c>
    </row>
    <row r="1934" spans="1:11" s="75" customFormat="1" ht="14.55" customHeight="1" x14ac:dyDescent="0.25">
      <c r="A1934" s="272" t="s">
        <v>8816</v>
      </c>
      <c r="B1934" s="272" t="s">
        <v>10591</v>
      </c>
      <c r="C1934" s="272" t="s">
        <v>10410</v>
      </c>
      <c r="D1934" s="259" t="s">
        <v>10411</v>
      </c>
      <c r="E1934" s="265" t="s">
        <v>10655</v>
      </c>
      <c r="F1934" s="272" t="s">
        <v>9198</v>
      </c>
      <c r="G1934" s="272" t="s">
        <v>9197</v>
      </c>
      <c r="H1934" s="265" t="s">
        <v>11022</v>
      </c>
      <c r="I1934" s="290" t="s">
        <v>11023</v>
      </c>
      <c r="J1934" s="265" t="s">
        <v>10655</v>
      </c>
      <c r="K1934" s="265" t="s">
        <v>10655</v>
      </c>
    </row>
    <row r="1935" spans="1:11" s="75" customFormat="1" ht="14.55" customHeight="1" x14ac:dyDescent="0.25">
      <c r="A1935" s="272" t="s">
        <v>8816</v>
      </c>
      <c r="B1935" s="272" t="s">
        <v>10591</v>
      </c>
      <c r="C1935" s="272" t="s">
        <v>10410</v>
      </c>
      <c r="D1935" s="259" t="s">
        <v>10411</v>
      </c>
      <c r="E1935" s="265" t="s">
        <v>10655</v>
      </c>
      <c r="F1935" s="272" t="s">
        <v>9198</v>
      </c>
      <c r="G1935" s="272" t="s">
        <v>9197</v>
      </c>
      <c r="H1935" s="265" t="s">
        <v>10960</v>
      </c>
      <c r="I1935" s="290" t="s">
        <v>10961</v>
      </c>
      <c r="J1935" s="265" t="s">
        <v>10655</v>
      </c>
      <c r="K1935" s="265" t="s">
        <v>10655</v>
      </c>
    </row>
    <row r="1936" spans="1:11" s="75" customFormat="1" ht="14.55" customHeight="1" x14ac:dyDescent="0.25">
      <c r="A1936" s="272" t="s">
        <v>8816</v>
      </c>
      <c r="B1936" s="272" t="s">
        <v>10591</v>
      </c>
      <c r="C1936" s="272" t="s">
        <v>10412</v>
      </c>
      <c r="D1936" s="259" t="s">
        <v>10413</v>
      </c>
      <c r="E1936" s="265" t="s">
        <v>10655</v>
      </c>
      <c r="F1936" s="272" t="s">
        <v>9198</v>
      </c>
      <c r="G1936" s="272" t="s">
        <v>9197</v>
      </c>
      <c r="H1936" s="265" t="s">
        <v>11020</v>
      </c>
      <c r="I1936" s="290" t="s">
        <v>11021</v>
      </c>
      <c r="J1936" s="265" t="s">
        <v>10655</v>
      </c>
      <c r="K1936" s="265" t="s">
        <v>10655</v>
      </c>
    </row>
    <row r="1937" spans="1:11" s="75" customFormat="1" ht="14.55" customHeight="1" x14ac:dyDescent="0.25">
      <c r="A1937" s="272" t="s">
        <v>8816</v>
      </c>
      <c r="B1937" s="272" t="s">
        <v>10591</v>
      </c>
      <c r="C1937" s="272" t="s">
        <v>10412</v>
      </c>
      <c r="D1937" s="259" t="s">
        <v>10413</v>
      </c>
      <c r="E1937" s="265" t="s">
        <v>10655</v>
      </c>
      <c r="F1937" s="272" t="s">
        <v>9198</v>
      </c>
      <c r="G1937" s="272" t="s">
        <v>9197</v>
      </c>
      <c r="H1937" s="265" t="s">
        <v>11022</v>
      </c>
      <c r="I1937" s="290" t="s">
        <v>11023</v>
      </c>
      <c r="J1937" s="265" t="s">
        <v>10655</v>
      </c>
      <c r="K1937" s="265" t="s">
        <v>10655</v>
      </c>
    </row>
    <row r="1938" spans="1:11" s="75" customFormat="1" ht="14.55" customHeight="1" x14ac:dyDescent="0.25">
      <c r="A1938" s="272" t="s">
        <v>8816</v>
      </c>
      <c r="B1938" s="272" t="s">
        <v>10591</v>
      </c>
      <c r="C1938" s="272" t="s">
        <v>10412</v>
      </c>
      <c r="D1938" s="259" t="s">
        <v>10413</v>
      </c>
      <c r="E1938" s="265" t="s">
        <v>10655</v>
      </c>
      <c r="F1938" s="272" t="s">
        <v>9198</v>
      </c>
      <c r="G1938" s="272" t="s">
        <v>9197</v>
      </c>
      <c r="H1938" s="265" t="s">
        <v>10960</v>
      </c>
      <c r="I1938" s="290" t="s">
        <v>10961</v>
      </c>
      <c r="J1938" s="265" t="s">
        <v>10655</v>
      </c>
      <c r="K1938" s="265" t="s">
        <v>10655</v>
      </c>
    </row>
    <row r="1939" spans="1:11" s="75" customFormat="1" ht="14.55" customHeight="1" x14ac:dyDescent="0.25">
      <c r="A1939" s="272" t="s">
        <v>8816</v>
      </c>
      <c r="B1939" s="272" t="s">
        <v>10591</v>
      </c>
      <c r="C1939" s="272" t="s">
        <v>10414</v>
      </c>
      <c r="D1939" s="259" t="s">
        <v>10415</v>
      </c>
      <c r="E1939" s="265" t="s">
        <v>10655</v>
      </c>
      <c r="F1939" s="272" t="s">
        <v>9198</v>
      </c>
      <c r="G1939" s="272" t="s">
        <v>9197</v>
      </c>
      <c r="H1939" s="265" t="s">
        <v>11020</v>
      </c>
      <c r="I1939" s="290" t="s">
        <v>11021</v>
      </c>
      <c r="J1939" s="265" t="s">
        <v>10655</v>
      </c>
      <c r="K1939" s="265" t="s">
        <v>10655</v>
      </c>
    </row>
    <row r="1940" spans="1:11" s="75" customFormat="1" ht="14.55" customHeight="1" x14ac:dyDescent="0.25">
      <c r="A1940" s="272" t="s">
        <v>8816</v>
      </c>
      <c r="B1940" s="272" t="s">
        <v>10591</v>
      </c>
      <c r="C1940" s="272" t="s">
        <v>10414</v>
      </c>
      <c r="D1940" s="259" t="s">
        <v>10415</v>
      </c>
      <c r="E1940" s="265" t="s">
        <v>10655</v>
      </c>
      <c r="F1940" s="272" t="s">
        <v>9198</v>
      </c>
      <c r="G1940" s="272" t="s">
        <v>9197</v>
      </c>
      <c r="H1940" s="265" t="s">
        <v>11022</v>
      </c>
      <c r="I1940" s="290" t="s">
        <v>11023</v>
      </c>
      <c r="J1940" s="265" t="s">
        <v>10655</v>
      </c>
      <c r="K1940" s="265" t="s">
        <v>10655</v>
      </c>
    </row>
    <row r="1941" spans="1:11" s="75" customFormat="1" ht="14.55" customHeight="1" x14ac:dyDescent="0.25">
      <c r="A1941" s="272" t="s">
        <v>8816</v>
      </c>
      <c r="B1941" s="272" t="s">
        <v>10591</v>
      </c>
      <c r="C1941" s="272" t="s">
        <v>10414</v>
      </c>
      <c r="D1941" s="259" t="s">
        <v>10415</v>
      </c>
      <c r="E1941" s="265" t="s">
        <v>10655</v>
      </c>
      <c r="F1941" s="272" t="s">
        <v>9198</v>
      </c>
      <c r="G1941" s="272" t="s">
        <v>9197</v>
      </c>
      <c r="H1941" s="265" t="s">
        <v>10960</v>
      </c>
      <c r="I1941" s="290" t="s">
        <v>10961</v>
      </c>
      <c r="J1941" s="265" t="s">
        <v>10655</v>
      </c>
      <c r="K1941" s="265" t="s">
        <v>10655</v>
      </c>
    </row>
    <row r="1942" spans="1:11" s="75" customFormat="1" ht="14.55" customHeight="1" x14ac:dyDescent="0.25">
      <c r="A1942" s="272" t="s">
        <v>8816</v>
      </c>
      <c r="B1942" s="272" t="s">
        <v>10591</v>
      </c>
      <c r="C1942" s="272" t="s">
        <v>10416</v>
      </c>
      <c r="D1942" s="259" t="s">
        <v>10417</v>
      </c>
      <c r="E1942" s="265" t="s">
        <v>10655</v>
      </c>
      <c r="F1942" s="272" t="s">
        <v>9198</v>
      </c>
      <c r="G1942" s="272" t="s">
        <v>9197</v>
      </c>
      <c r="H1942" s="265" t="s">
        <v>11020</v>
      </c>
      <c r="I1942" s="290" t="s">
        <v>11021</v>
      </c>
      <c r="J1942" s="265" t="s">
        <v>10655</v>
      </c>
      <c r="K1942" s="265" t="s">
        <v>10655</v>
      </c>
    </row>
    <row r="1943" spans="1:11" s="75" customFormat="1" ht="14.55" customHeight="1" x14ac:dyDescent="0.25">
      <c r="A1943" s="272" t="s">
        <v>8816</v>
      </c>
      <c r="B1943" s="272" t="s">
        <v>10591</v>
      </c>
      <c r="C1943" s="272" t="s">
        <v>10416</v>
      </c>
      <c r="D1943" s="259" t="s">
        <v>10417</v>
      </c>
      <c r="E1943" s="265" t="s">
        <v>10655</v>
      </c>
      <c r="F1943" s="272" t="s">
        <v>9198</v>
      </c>
      <c r="G1943" s="272" t="s">
        <v>9197</v>
      </c>
      <c r="H1943" s="265" t="s">
        <v>11022</v>
      </c>
      <c r="I1943" s="290" t="s">
        <v>11023</v>
      </c>
      <c r="J1943" s="265" t="s">
        <v>10655</v>
      </c>
      <c r="K1943" s="265" t="s">
        <v>10655</v>
      </c>
    </row>
    <row r="1944" spans="1:11" s="75" customFormat="1" ht="14.55" customHeight="1" x14ac:dyDescent="0.25">
      <c r="A1944" s="272" t="s">
        <v>8816</v>
      </c>
      <c r="B1944" s="272" t="s">
        <v>10591</v>
      </c>
      <c r="C1944" s="272" t="s">
        <v>10416</v>
      </c>
      <c r="D1944" s="259" t="s">
        <v>10417</v>
      </c>
      <c r="E1944" s="265" t="s">
        <v>10655</v>
      </c>
      <c r="F1944" s="272" t="s">
        <v>9198</v>
      </c>
      <c r="G1944" s="272" t="s">
        <v>9197</v>
      </c>
      <c r="H1944" s="265" t="s">
        <v>10960</v>
      </c>
      <c r="I1944" s="290" t="s">
        <v>10961</v>
      </c>
      <c r="J1944" s="265" t="s">
        <v>10655</v>
      </c>
      <c r="K1944" s="265" t="s">
        <v>10655</v>
      </c>
    </row>
    <row r="1945" spans="1:11" s="75" customFormat="1" ht="14.55" customHeight="1" x14ac:dyDescent="0.25">
      <c r="A1945" s="272" t="s">
        <v>8816</v>
      </c>
      <c r="B1945" s="272" t="s">
        <v>10591</v>
      </c>
      <c r="C1945" s="272" t="s">
        <v>10418</v>
      </c>
      <c r="D1945" s="259" t="s">
        <v>10419</v>
      </c>
      <c r="E1945" s="265" t="s">
        <v>10655</v>
      </c>
      <c r="F1945" s="272" t="s">
        <v>9198</v>
      </c>
      <c r="G1945" s="272" t="s">
        <v>9197</v>
      </c>
      <c r="H1945" s="265" t="s">
        <v>10960</v>
      </c>
      <c r="I1945" s="290" t="s">
        <v>10961</v>
      </c>
      <c r="J1945" s="265" t="s">
        <v>10655</v>
      </c>
      <c r="K1945" s="265" t="s">
        <v>10655</v>
      </c>
    </row>
    <row r="1946" spans="1:11" s="75" customFormat="1" ht="14.55" customHeight="1" x14ac:dyDescent="0.25">
      <c r="A1946" s="272" t="s">
        <v>8816</v>
      </c>
      <c r="B1946" s="272" t="s">
        <v>10591</v>
      </c>
      <c r="C1946" s="272" t="s">
        <v>10420</v>
      </c>
      <c r="D1946" s="259" t="s">
        <v>10421</v>
      </c>
      <c r="E1946" s="265" t="s">
        <v>10655</v>
      </c>
      <c r="F1946" s="272" t="s">
        <v>9198</v>
      </c>
      <c r="G1946" s="272" t="s">
        <v>9197</v>
      </c>
      <c r="H1946" s="265" t="s">
        <v>10906</v>
      </c>
      <c r="I1946" s="290" t="s">
        <v>10907</v>
      </c>
      <c r="J1946" s="265" t="s">
        <v>10655</v>
      </c>
      <c r="K1946" s="265" t="s">
        <v>10655</v>
      </c>
    </row>
    <row r="1947" spans="1:11" s="75" customFormat="1" ht="14.55" customHeight="1" x14ac:dyDescent="0.25">
      <c r="A1947" s="272" t="s">
        <v>8816</v>
      </c>
      <c r="B1947" s="272" t="s">
        <v>10591</v>
      </c>
      <c r="C1947" s="272" t="s">
        <v>10420</v>
      </c>
      <c r="D1947" s="259" t="s">
        <v>10421</v>
      </c>
      <c r="E1947" s="265" t="s">
        <v>10655</v>
      </c>
      <c r="F1947" s="272" t="s">
        <v>9198</v>
      </c>
      <c r="G1947" s="272" t="s">
        <v>9197</v>
      </c>
      <c r="H1947" s="265" t="s">
        <v>11020</v>
      </c>
      <c r="I1947" s="290" t="s">
        <v>11021</v>
      </c>
      <c r="J1947" s="265" t="s">
        <v>10655</v>
      </c>
      <c r="K1947" s="265" t="s">
        <v>10655</v>
      </c>
    </row>
    <row r="1948" spans="1:11" s="75" customFormat="1" ht="14.55" customHeight="1" x14ac:dyDescent="0.25">
      <c r="A1948" s="272" t="s">
        <v>8816</v>
      </c>
      <c r="B1948" s="272" t="s">
        <v>10591</v>
      </c>
      <c r="C1948" s="272" t="s">
        <v>10420</v>
      </c>
      <c r="D1948" s="259" t="s">
        <v>10421</v>
      </c>
      <c r="E1948" s="265" t="s">
        <v>10655</v>
      </c>
      <c r="F1948" s="272" t="s">
        <v>9198</v>
      </c>
      <c r="G1948" s="272" t="s">
        <v>9197</v>
      </c>
      <c r="H1948" s="265" t="s">
        <v>11022</v>
      </c>
      <c r="I1948" s="290" t="s">
        <v>11023</v>
      </c>
      <c r="J1948" s="265" t="s">
        <v>10655</v>
      </c>
      <c r="K1948" s="265" t="s">
        <v>10655</v>
      </c>
    </row>
    <row r="1949" spans="1:11" s="75" customFormat="1" ht="14.55" customHeight="1" x14ac:dyDescent="0.25">
      <c r="A1949" s="272" t="s">
        <v>8816</v>
      </c>
      <c r="B1949" s="272" t="s">
        <v>10591</v>
      </c>
      <c r="C1949" s="272" t="s">
        <v>10420</v>
      </c>
      <c r="D1949" s="259" t="s">
        <v>10421</v>
      </c>
      <c r="E1949" s="265" t="s">
        <v>10655</v>
      </c>
      <c r="F1949" s="272" t="s">
        <v>9198</v>
      </c>
      <c r="G1949" s="272" t="s">
        <v>9197</v>
      </c>
      <c r="H1949" s="265" t="s">
        <v>10908</v>
      </c>
      <c r="I1949" s="290" t="s">
        <v>10909</v>
      </c>
      <c r="J1949" s="265" t="s">
        <v>10655</v>
      </c>
      <c r="K1949" s="265" t="s">
        <v>10655</v>
      </c>
    </row>
    <row r="1950" spans="1:11" s="75" customFormat="1" ht="14.55" customHeight="1" x14ac:dyDescent="0.25">
      <c r="A1950" s="272" t="s">
        <v>8816</v>
      </c>
      <c r="B1950" s="272" t="s">
        <v>10591</v>
      </c>
      <c r="C1950" s="272" t="s">
        <v>10420</v>
      </c>
      <c r="D1950" s="259" t="s">
        <v>10421</v>
      </c>
      <c r="E1950" s="265" t="s">
        <v>10655</v>
      </c>
      <c r="F1950" s="272" t="s">
        <v>9198</v>
      </c>
      <c r="G1950" s="272" t="s">
        <v>9197</v>
      </c>
      <c r="H1950" s="265" t="s">
        <v>10960</v>
      </c>
      <c r="I1950" s="290" t="s">
        <v>10961</v>
      </c>
      <c r="J1950" s="265" t="s">
        <v>10655</v>
      </c>
      <c r="K1950" s="265" t="s">
        <v>10655</v>
      </c>
    </row>
    <row r="1951" spans="1:11" s="75" customFormat="1" ht="14.55" customHeight="1" x14ac:dyDescent="0.25">
      <c r="A1951" s="272" t="s">
        <v>8816</v>
      </c>
      <c r="B1951" s="272" t="s">
        <v>10591</v>
      </c>
      <c r="C1951" s="272" t="s">
        <v>10422</v>
      </c>
      <c r="D1951" s="259" t="s">
        <v>10423</v>
      </c>
      <c r="E1951" s="265" t="s">
        <v>10655</v>
      </c>
      <c r="F1951" s="272" t="s">
        <v>9198</v>
      </c>
      <c r="G1951" s="272" t="s">
        <v>9197</v>
      </c>
      <c r="H1951" s="265" t="s">
        <v>10911</v>
      </c>
      <c r="I1951" s="290" t="s">
        <v>10912</v>
      </c>
      <c r="J1951" s="265" t="s">
        <v>10655</v>
      </c>
      <c r="K1951" s="265" t="s">
        <v>10655</v>
      </c>
    </row>
    <row r="1952" spans="1:11" s="75" customFormat="1" ht="14.55" customHeight="1" x14ac:dyDescent="0.25">
      <c r="A1952" s="272" t="s">
        <v>8816</v>
      </c>
      <c r="B1952" s="272" t="s">
        <v>10591</v>
      </c>
      <c r="C1952" s="272" t="s">
        <v>10424</v>
      </c>
      <c r="D1952" s="259" t="s">
        <v>10425</v>
      </c>
      <c r="E1952" s="265" t="s">
        <v>10655</v>
      </c>
      <c r="F1952" s="272" t="s">
        <v>9198</v>
      </c>
      <c r="G1952" s="272" t="s">
        <v>9197</v>
      </c>
      <c r="H1952" s="265" t="s">
        <v>10911</v>
      </c>
      <c r="I1952" s="290" t="s">
        <v>10912</v>
      </c>
      <c r="J1952" s="265" t="s">
        <v>10655</v>
      </c>
      <c r="K1952" s="265" t="s">
        <v>10655</v>
      </c>
    </row>
    <row r="1953" spans="1:11" s="75" customFormat="1" ht="14.55" customHeight="1" x14ac:dyDescent="0.25">
      <c r="A1953" s="272" t="s">
        <v>8816</v>
      </c>
      <c r="B1953" s="272" t="s">
        <v>10591</v>
      </c>
      <c r="C1953" s="272" t="s">
        <v>10426</v>
      </c>
      <c r="D1953" s="259" t="s">
        <v>10427</v>
      </c>
      <c r="E1953" s="265" t="s">
        <v>10655</v>
      </c>
      <c r="F1953" s="272" t="s">
        <v>9198</v>
      </c>
      <c r="G1953" s="272" t="s">
        <v>9197</v>
      </c>
      <c r="H1953" s="265" t="s">
        <v>11024</v>
      </c>
      <c r="I1953" s="290" t="s">
        <v>11025</v>
      </c>
      <c r="J1953" s="265" t="s">
        <v>10655</v>
      </c>
      <c r="K1953" s="265" t="s">
        <v>10655</v>
      </c>
    </row>
    <row r="1954" spans="1:11" s="75" customFormat="1" ht="14.55" customHeight="1" x14ac:dyDescent="0.25">
      <c r="A1954" s="272" t="s">
        <v>8816</v>
      </c>
      <c r="B1954" s="272" t="s">
        <v>10591</v>
      </c>
      <c r="C1954" s="272" t="s">
        <v>10428</v>
      </c>
      <c r="D1954" s="259" t="s">
        <v>10429</v>
      </c>
      <c r="E1954" s="265" t="s">
        <v>10655</v>
      </c>
      <c r="F1954" s="272" t="s">
        <v>9198</v>
      </c>
      <c r="G1954" s="272" t="s">
        <v>9197</v>
      </c>
      <c r="H1954" s="265" t="s">
        <v>11024</v>
      </c>
      <c r="I1954" s="290" t="s">
        <v>11025</v>
      </c>
      <c r="J1954" s="265" t="s">
        <v>10655</v>
      </c>
      <c r="K1954" s="265" t="s">
        <v>10655</v>
      </c>
    </row>
    <row r="1955" spans="1:11" s="75" customFormat="1" ht="14.55" customHeight="1" x14ac:dyDescent="0.25">
      <c r="A1955" s="272" t="s">
        <v>8816</v>
      </c>
      <c r="B1955" s="272" t="s">
        <v>10591</v>
      </c>
      <c r="C1955" s="272" t="s">
        <v>10430</v>
      </c>
      <c r="D1955" s="259" t="s">
        <v>10431</v>
      </c>
      <c r="E1955" s="265" t="s">
        <v>10655</v>
      </c>
      <c r="F1955" s="272" t="s">
        <v>9198</v>
      </c>
      <c r="G1955" s="272" t="s">
        <v>9198</v>
      </c>
      <c r="H1955" s="265" t="s">
        <v>11024</v>
      </c>
      <c r="I1955" s="290" t="s">
        <v>11025</v>
      </c>
      <c r="J1955" s="265" t="s">
        <v>10655</v>
      </c>
      <c r="K1955" s="265" t="s">
        <v>10655</v>
      </c>
    </row>
    <row r="1956" spans="1:11" s="75" customFormat="1" ht="14.55" customHeight="1" x14ac:dyDescent="0.25">
      <c r="A1956" s="272" t="s">
        <v>8816</v>
      </c>
      <c r="B1956" s="272" t="s">
        <v>10591</v>
      </c>
      <c r="C1956" s="272">
        <v>201033</v>
      </c>
      <c r="D1956" s="259" t="s">
        <v>10433</v>
      </c>
      <c r="E1956" s="265" t="s">
        <v>10655</v>
      </c>
      <c r="F1956" s="272" t="s">
        <v>9198</v>
      </c>
      <c r="G1956" s="272" t="s">
        <v>9197</v>
      </c>
      <c r="H1956" s="265" t="s">
        <v>11026</v>
      </c>
      <c r="I1956" s="290" t="s">
        <v>11027</v>
      </c>
      <c r="J1956" s="265" t="s">
        <v>10655</v>
      </c>
      <c r="K1956" s="265" t="s">
        <v>10655</v>
      </c>
    </row>
    <row r="1957" spans="1:11" s="75" customFormat="1" ht="14.55" customHeight="1" x14ac:dyDescent="0.25">
      <c r="A1957" s="272" t="s">
        <v>8816</v>
      </c>
      <c r="B1957" s="272" t="s">
        <v>10591</v>
      </c>
      <c r="C1957" s="272">
        <v>201033</v>
      </c>
      <c r="D1957" s="259" t="s">
        <v>10433</v>
      </c>
      <c r="E1957" s="265" t="s">
        <v>10655</v>
      </c>
      <c r="F1957" s="272" t="s">
        <v>9198</v>
      </c>
      <c r="G1957" s="272" t="s">
        <v>9197</v>
      </c>
      <c r="H1957" s="265" t="s">
        <v>11024</v>
      </c>
      <c r="I1957" s="290" t="s">
        <v>11025</v>
      </c>
      <c r="J1957" s="265" t="s">
        <v>10655</v>
      </c>
      <c r="K1957" s="265" t="s">
        <v>10655</v>
      </c>
    </row>
    <row r="1958" spans="1:11" s="75" customFormat="1" ht="14.55" customHeight="1" x14ac:dyDescent="0.25">
      <c r="A1958" s="272" t="s">
        <v>8816</v>
      </c>
      <c r="B1958" s="272" t="s">
        <v>10591</v>
      </c>
      <c r="C1958" s="272">
        <v>201033</v>
      </c>
      <c r="D1958" s="259" t="s">
        <v>10433</v>
      </c>
      <c r="E1958" s="265" t="s">
        <v>10655</v>
      </c>
      <c r="F1958" s="272" t="s">
        <v>9198</v>
      </c>
      <c r="G1958" s="272" t="s">
        <v>9197</v>
      </c>
      <c r="H1958" s="265" t="s">
        <v>11028</v>
      </c>
      <c r="I1958" s="290" t="s">
        <v>11029</v>
      </c>
      <c r="J1958" s="265" t="s">
        <v>10655</v>
      </c>
      <c r="K1958" s="265" t="s">
        <v>10655</v>
      </c>
    </row>
    <row r="1959" spans="1:11" s="75" customFormat="1" ht="14.55" customHeight="1" x14ac:dyDescent="0.25">
      <c r="A1959" s="272" t="s">
        <v>8816</v>
      </c>
      <c r="B1959" s="272" t="s">
        <v>10591</v>
      </c>
      <c r="C1959" s="272">
        <v>201033</v>
      </c>
      <c r="D1959" s="259" t="s">
        <v>10433</v>
      </c>
      <c r="E1959" s="265" t="s">
        <v>10655</v>
      </c>
      <c r="F1959" s="272" t="s">
        <v>9198</v>
      </c>
      <c r="G1959" s="272" t="s">
        <v>9197</v>
      </c>
      <c r="H1959" s="265" t="s">
        <v>11012</v>
      </c>
      <c r="I1959" s="290" t="s">
        <v>11013</v>
      </c>
      <c r="J1959" s="265" t="s">
        <v>10655</v>
      </c>
      <c r="K1959" s="265" t="s">
        <v>10655</v>
      </c>
    </row>
    <row r="1960" spans="1:11" s="75" customFormat="1" ht="14.55" customHeight="1" x14ac:dyDescent="0.25">
      <c r="A1960" s="272" t="s">
        <v>8816</v>
      </c>
      <c r="B1960" s="272" t="s">
        <v>10591</v>
      </c>
      <c r="C1960" s="272" t="s">
        <v>10434</v>
      </c>
      <c r="D1960" s="259" t="s">
        <v>10435</v>
      </c>
      <c r="E1960" s="265" t="s">
        <v>10655</v>
      </c>
      <c r="F1960" s="272" t="s">
        <v>9198</v>
      </c>
      <c r="G1960" s="272" t="s">
        <v>9197</v>
      </c>
      <c r="H1960" s="265" t="s">
        <v>11028</v>
      </c>
      <c r="I1960" s="290" t="s">
        <v>11029</v>
      </c>
      <c r="J1960" s="265" t="s">
        <v>10655</v>
      </c>
      <c r="K1960" s="265" t="s">
        <v>10655</v>
      </c>
    </row>
    <row r="1961" spans="1:11" s="75" customFormat="1" ht="14.55" customHeight="1" x14ac:dyDescent="0.25">
      <c r="A1961" s="272" t="s">
        <v>8816</v>
      </c>
      <c r="B1961" s="272" t="s">
        <v>10591</v>
      </c>
      <c r="C1961" s="272" t="s">
        <v>10436</v>
      </c>
      <c r="D1961" s="259" t="s">
        <v>10437</v>
      </c>
      <c r="E1961" s="265" t="s">
        <v>10655</v>
      </c>
      <c r="F1961" s="272" t="s">
        <v>9198</v>
      </c>
      <c r="G1961" s="272" t="s">
        <v>9197</v>
      </c>
      <c r="H1961" s="265" t="s">
        <v>11028</v>
      </c>
      <c r="I1961" s="290" t="s">
        <v>11029</v>
      </c>
      <c r="J1961" s="265" t="s">
        <v>10655</v>
      </c>
      <c r="K1961" s="265" t="s">
        <v>10655</v>
      </c>
    </row>
    <row r="1962" spans="1:11" s="75" customFormat="1" ht="14.55" customHeight="1" x14ac:dyDescent="0.25">
      <c r="A1962" s="272" t="s">
        <v>8816</v>
      </c>
      <c r="B1962" s="272" t="s">
        <v>10591</v>
      </c>
      <c r="C1962" s="272" t="s">
        <v>10438</v>
      </c>
      <c r="D1962" s="259" t="s">
        <v>10439</v>
      </c>
      <c r="E1962" s="265" t="s">
        <v>10655</v>
      </c>
      <c r="F1962" s="272" t="s">
        <v>9198</v>
      </c>
      <c r="G1962" s="272" t="s">
        <v>9198</v>
      </c>
      <c r="H1962" s="265" t="s">
        <v>11028</v>
      </c>
      <c r="I1962" s="290" t="s">
        <v>11029</v>
      </c>
      <c r="J1962" s="265" t="s">
        <v>10655</v>
      </c>
      <c r="K1962" s="265" t="s">
        <v>10655</v>
      </c>
    </row>
    <row r="1963" spans="1:11" s="75" customFormat="1" ht="14.55" customHeight="1" x14ac:dyDescent="0.25">
      <c r="A1963" s="272" t="s">
        <v>8816</v>
      </c>
      <c r="B1963" s="272" t="s">
        <v>10591</v>
      </c>
      <c r="C1963" s="272" t="s">
        <v>10440</v>
      </c>
      <c r="D1963" s="259" t="s">
        <v>10441</v>
      </c>
      <c r="E1963" s="265" t="s">
        <v>10655</v>
      </c>
      <c r="F1963" s="272" t="s">
        <v>9198</v>
      </c>
      <c r="G1963" s="272" t="s">
        <v>9197</v>
      </c>
      <c r="H1963" s="265" t="s">
        <v>11012</v>
      </c>
      <c r="I1963" s="290" t="s">
        <v>11013</v>
      </c>
      <c r="J1963" s="265" t="s">
        <v>10655</v>
      </c>
      <c r="K1963" s="265" t="s">
        <v>10655</v>
      </c>
    </row>
    <row r="1964" spans="1:11" s="75" customFormat="1" ht="14.55" customHeight="1" x14ac:dyDescent="0.25">
      <c r="A1964" s="272" t="s">
        <v>8816</v>
      </c>
      <c r="B1964" s="272" t="s">
        <v>10591</v>
      </c>
      <c r="C1964" s="272" t="s">
        <v>10442</v>
      </c>
      <c r="D1964" s="259" t="s">
        <v>10443</v>
      </c>
      <c r="E1964" s="265" t="s">
        <v>10655</v>
      </c>
      <c r="F1964" s="272" t="s">
        <v>9198</v>
      </c>
      <c r="G1964" s="272" t="s">
        <v>9197</v>
      </c>
      <c r="H1964" s="265" t="s">
        <v>11012</v>
      </c>
      <c r="I1964" s="290" t="s">
        <v>11013</v>
      </c>
      <c r="J1964" s="265" t="s">
        <v>10655</v>
      </c>
      <c r="K1964" s="265" t="s">
        <v>10655</v>
      </c>
    </row>
    <row r="1965" spans="1:11" s="75" customFormat="1" ht="14.55" customHeight="1" x14ac:dyDescent="0.25">
      <c r="A1965" s="272" t="s">
        <v>8816</v>
      </c>
      <c r="B1965" s="272" t="s">
        <v>10591</v>
      </c>
      <c r="C1965" s="272" t="s">
        <v>10444</v>
      </c>
      <c r="D1965" s="259" t="s">
        <v>10445</v>
      </c>
      <c r="E1965" s="265" t="s">
        <v>10655</v>
      </c>
      <c r="F1965" s="272" t="s">
        <v>9198</v>
      </c>
      <c r="G1965" s="272" t="s">
        <v>9198</v>
      </c>
      <c r="H1965" s="265" t="s">
        <v>11012</v>
      </c>
      <c r="I1965" s="290" t="s">
        <v>11013</v>
      </c>
      <c r="J1965" s="265" t="s">
        <v>10655</v>
      </c>
      <c r="K1965" s="265" t="s">
        <v>10655</v>
      </c>
    </row>
    <row r="1966" spans="1:11" s="75" customFormat="1" ht="14.55" customHeight="1" x14ac:dyDescent="0.25">
      <c r="A1966" s="272" t="s">
        <v>8816</v>
      </c>
      <c r="B1966" s="272" t="s">
        <v>10591</v>
      </c>
      <c r="C1966" s="272" t="s">
        <v>10446</v>
      </c>
      <c r="D1966" s="259" t="s">
        <v>10447</v>
      </c>
      <c r="E1966" s="265" t="s">
        <v>10655</v>
      </c>
      <c r="F1966" s="272" t="s">
        <v>9198</v>
      </c>
      <c r="G1966" s="272" t="s">
        <v>9197</v>
      </c>
      <c r="H1966" s="265" t="s">
        <v>11026</v>
      </c>
      <c r="I1966" s="290" t="s">
        <v>11027</v>
      </c>
      <c r="J1966" s="265" t="s">
        <v>10655</v>
      </c>
      <c r="K1966" s="265" t="s">
        <v>10655</v>
      </c>
    </row>
    <row r="1967" spans="1:11" s="75" customFormat="1" ht="14.55" customHeight="1" x14ac:dyDescent="0.25">
      <c r="A1967" s="272" t="s">
        <v>8816</v>
      </c>
      <c r="B1967" s="272" t="s">
        <v>10591</v>
      </c>
      <c r="C1967" s="272" t="s">
        <v>10448</v>
      </c>
      <c r="D1967" s="259" t="s">
        <v>10449</v>
      </c>
      <c r="E1967" s="265" t="s">
        <v>10655</v>
      </c>
      <c r="F1967" s="272" t="s">
        <v>9198</v>
      </c>
      <c r="G1967" s="272" t="s">
        <v>9197</v>
      </c>
      <c r="H1967" s="265" t="s">
        <v>11026</v>
      </c>
      <c r="I1967" s="290" t="s">
        <v>11027</v>
      </c>
      <c r="J1967" s="265" t="s">
        <v>10655</v>
      </c>
      <c r="K1967" s="265" t="s">
        <v>10655</v>
      </c>
    </row>
    <row r="1968" spans="1:11" s="75" customFormat="1" ht="14.55" customHeight="1" x14ac:dyDescent="0.25">
      <c r="A1968" s="272" t="s">
        <v>8816</v>
      </c>
      <c r="B1968" s="272" t="s">
        <v>10591</v>
      </c>
      <c r="C1968" s="272" t="s">
        <v>10450</v>
      </c>
      <c r="D1968" s="259" t="s">
        <v>10451</v>
      </c>
      <c r="E1968" s="265" t="s">
        <v>10655</v>
      </c>
      <c r="F1968" s="272" t="s">
        <v>9198</v>
      </c>
      <c r="G1968" s="272" t="s">
        <v>9198</v>
      </c>
      <c r="H1968" s="265" t="s">
        <v>11026</v>
      </c>
      <c r="I1968" s="290" t="s">
        <v>11027</v>
      </c>
      <c r="J1968" s="265" t="s">
        <v>10655</v>
      </c>
      <c r="K1968" s="265" t="s">
        <v>10655</v>
      </c>
    </row>
    <row r="1969" spans="1:11" s="75" customFormat="1" ht="14.55" customHeight="1" x14ac:dyDescent="0.25">
      <c r="A1969" s="272" t="s">
        <v>8816</v>
      </c>
      <c r="B1969" s="272" t="s">
        <v>10591</v>
      </c>
      <c r="C1969" s="272" t="s">
        <v>10452</v>
      </c>
      <c r="D1969" s="259" t="s">
        <v>10453</v>
      </c>
      <c r="E1969" s="265" t="s">
        <v>10655</v>
      </c>
      <c r="F1969" s="272" t="s">
        <v>9198</v>
      </c>
      <c r="G1969" s="272" t="s">
        <v>9197</v>
      </c>
      <c r="H1969" s="265" t="s">
        <v>10906</v>
      </c>
      <c r="I1969" s="290" t="s">
        <v>10907</v>
      </c>
      <c r="J1969" s="265" t="s">
        <v>10655</v>
      </c>
      <c r="K1969" s="265" t="s">
        <v>10655</v>
      </c>
    </row>
    <row r="1970" spans="1:11" s="75" customFormat="1" ht="14.55" customHeight="1" x14ac:dyDescent="0.25">
      <c r="A1970" s="272" t="s">
        <v>8816</v>
      </c>
      <c r="B1970" s="272" t="s">
        <v>10591</v>
      </c>
      <c r="C1970" s="272" t="s">
        <v>10452</v>
      </c>
      <c r="D1970" s="259" t="s">
        <v>10453</v>
      </c>
      <c r="E1970" s="265" t="s">
        <v>10655</v>
      </c>
      <c r="F1970" s="272" t="s">
        <v>9198</v>
      </c>
      <c r="G1970" s="272" t="s">
        <v>9197</v>
      </c>
      <c r="H1970" s="265" t="s">
        <v>11012</v>
      </c>
      <c r="I1970" s="290" t="s">
        <v>11013</v>
      </c>
      <c r="J1970" s="265" t="s">
        <v>10655</v>
      </c>
      <c r="K1970" s="265" t="s">
        <v>10655</v>
      </c>
    </row>
    <row r="1971" spans="1:11" s="75" customFormat="1" ht="14.55" customHeight="1" x14ac:dyDescent="0.25">
      <c r="A1971" s="272" t="s">
        <v>8816</v>
      </c>
      <c r="B1971" s="272" t="s">
        <v>10591</v>
      </c>
      <c r="C1971" s="272" t="s">
        <v>10452</v>
      </c>
      <c r="D1971" s="259" t="s">
        <v>10453</v>
      </c>
      <c r="E1971" s="265" t="s">
        <v>10655</v>
      </c>
      <c r="F1971" s="272" t="s">
        <v>9198</v>
      </c>
      <c r="G1971" s="272" t="s">
        <v>9197</v>
      </c>
      <c r="H1971" s="265" t="s">
        <v>10908</v>
      </c>
      <c r="I1971" s="290" t="s">
        <v>10909</v>
      </c>
      <c r="J1971" s="265" t="s">
        <v>10655</v>
      </c>
      <c r="K1971" s="265" t="s">
        <v>10655</v>
      </c>
    </row>
    <row r="1972" spans="1:11" s="75" customFormat="1" ht="14.55" customHeight="1" x14ac:dyDescent="0.25">
      <c r="A1972" s="272" t="s">
        <v>8816</v>
      </c>
      <c r="B1972" s="272" t="s">
        <v>10591</v>
      </c>
      <c r="C1972" s="272" t="s">
        <v>10454</v>
      </c>
      <c r="D1972" s="259" t="s">
        <v>10455</v>
      </c>
      <c r="E1972" s="265" t="s">
        <v>10655</v>
      </c>
      <c r="F1972" s="272" t="s">
        <v>9198</v>
      </c>
      <c r="G1972" s="272" t="s">
        <v>9197</v>
      </c>
      <c r="H1972" s="265" t="s">
        <v>10906</v>
      </c>
      <c r="I1972" s="290" t="s">
        <v>10907</v>
      </c>
      <c r="J1972" s="265" t="s">
        <v>10655</v>
      </c>
      <c r="K1972" s="265" t="s">
        <v>10655</v>
      </c>
    </row>
    <row r="1973" spans="1:11" s="75" customFormat="1" ht="14.55" customHeight="1" x14ac:dyDescent="0.25">
      <c r="A1973" s="272" t="s">
        <v>8816</v>
      </c>
      <c r="B1973" s="272" t="s">
        <v>10591</v>
      </c>
      <c r="C1973" s="272" t="s">
        <v>10454</v>
      </c>
      <c r="D1973" s="259" t="s">
        <v>10455</v>
      </c>
      <c r="E1973" s="265" t="s">
        <v>10655</v>
      </c>
      <c r="F1973" s="272" t="s">
        <v>9198</v>
      </c>
      <c r="G1973" s="272" t="s">
        <v>9197</v>
      </c>
      <c r="H1973" s="265" t="s">
        <v>11026</v>
      </c>
      <c r="I1973" s="290" t="s">
        <v>11027</v>
      </c>
      <c r="J1973" s="265" t="s">
        <v>10655</v>
      </c>
      <c r="K1973" s="265" t="s">
        <v>10655</v>
      </c>
    </row>
    <row r="1974" spans="1:11" s="75" customFormat="1" ht="14.55" customHeight="1" x14ac:dyDescent="0.25">
      <c r="A1974" s="272" t="s">
        <v>8816</v>
      </c>
      <c r="B1974" s="272" t="s">
        <v>10591</v>
      </c>
      <c r="C1974" s="272" t="s">
        <v>10454</v>
      </c>
      <c r="D1974" s="259" t="s">
        <v>10455</v>
      </c>
      <c r="E1974" s="265" t="s">
        <v>10655</v>
      </c>
      <c r="F1974" s="272" t="s">
        <v>9198</v>
      </c>
      <c r="G1974" s="272" t="s">
        <v>9197</v>
      </c>
      <c r="H1974" s="265" t="s">
        <v>10908</v>
      </c>
      <c r="I1974" s="290" t="s">
        <v>10909</v>
      </c>
      <c r="J1974" s="265" t="s">
        <v>10655</v>
      </c>
      <c r="K1974" s="265" t="s">
        <v>10655</v>
      </c>
    </row>
    <row r="1975" spans="1:11" s="75" customFormat="1" ht="14.55" customHeight="1" x14ac:dyDescent="0.25">
      <c r="A1975" s="272" t="s">
        <v>8816</v>
      </c>
      <c r="B1975" s="272" t="s">
        <v>10591</v>
      </c>
      <c r="C1975" s="272" t="s">
        <v>10456</v>
      </c>
      <c r="D1975" s="259" t="s">
        <v>10457</v>
      </c>
      <c r="E1975" s="265" t="s">
        <v>10655</v>
      </c>
      <c r="F1975" s="272" t="s">
        <v>9198</v>
      </c>
      <c r="G1975" s="272" t="s">
        <v>9197</v>
      </c>
      <c r="H1975" s="265" t="s">
        <v>10906</v>
      </c>
      <c r="I1975" s="290" t="s">
        <v>10907</v>
      </c>
      <c r="J1975" s="265" t="s">
        <v>10655</v>
      </c>
      <c r="K1975" s="265" t="s">
        <v>10655</v>
      </c>
    </row>
    <row r="1976" spans="1:11" s="75" customFormat="1" ht="14.55" customHeight="1" x14ac:dyDescent="0.25">
      <c r="A1976" s="272" t="s">
        <v>8816</v>
      </c>
      <c r="B1976" s="272" t="s">
        <v>10591</v>
      </c>
      <c r="C1976" s="272" t="s">
        <v>10456</v>
      </c>
      <c r="D1976" s="259" t="s">
        <v>10457</v>
      </c>
      <c r="E1976" s="265" t="s">
        <v>10655</v>
      </c>
      <c r="F1976" s="272" t="s">
        <v>9198</v>
      </c>
      <c r="G1976" s="272" t="s">
        <v>9197</v>
      </c>
      <c r="H1976" s="265" t="s">
        <v>11024</v>
      </c>
      <c r="I1976" s="290" t="s">
        <v>11025</v>
      </c>
      <c r="J1976" s="265" t="s">
        <v>10655</v>
      </c>
      <c r="K1976" s="265" t="s">
        <v>10655</v>
      </c>
    </row>
    <row r="1977" spans="1:11" s="75" customFormat="1" ht="14.55" customHeight="1" x14ac:dyDescent="0.25">
      <c r="A1977" s="272" t="s">
        <v>8816</v>
      </c>
      <c r="B1977" s="272" t="s">
        <v>10591</v>
      </c>
      <c r="C1977" s="272" t="s">
        <v>10456</v>
      </c>
      <c r="D1977" s="259" t="s">
        <v>10457</v>
      </c>
      <c r="E1977" s="265" t="s">
        <v>10655</v>
      </c>
      <c r="F1977" s="272" t="s">
        <v>9198</v>
      </c>
      <c r="G1977" s="272" t="s">
        <v>9197</v>
      </c>
      <c r="H1977" s="265" t="s">
        <v>10908</v>
      </c>
      <c r="I1977" s="290" t="s">
        <v>10909</v>
      </c>
      <c r="J1977" s="265" t="s">
        <v>10655</v>
      </c>
      <c r="K1977" s="265" t="s">
        <v>10655</v>
      </c>
    </row>
    <row r="1978" spans="1:11" s="75" customFormat="1" ht="14.55" customHeight="1" x14ac:dyDescent="0.25">
      <c r="A1978" s="272" t="s">
        <v>8816</v>
      </c>
      <c r="B1978" s="272" t="s">
        <v>10591</v>
      </c>
      <c r="C1978" s="272" t="s">
        <v>10458</v>
      </c>
      <c r="D1978" s="259" t="s">
        <v>10459</v>
      </c>
      <c r="E1978" s="265" t="s">
        <v>10655</v>
      </c>
      <c r="F1978" s="272" t="s">
        <v>9198</v>
      </c>
      <c r="G1978" s="272" t="s">
        <v>9197</v>
      </c>
      <c r="H1978" s="265" t="s">
        <v>10906</v>
      </c>
      <c r="I1978" s="290" t="s">
        <v>10907</v>
      </c>
      <c r="J1978" s="265" t="s">
        <v>10655</v>
      </c>
      <c r="K1978" s="265" t="s">
        <v>10655</v>
      </c>
    </row>
    <row r="1979" spans="1:11" s="75" customFormat="1" ht="14.55" customHeight="1" x14ac:dyDescent="0.25">
      <c r="A1979" s="272" t="s">
        <v>8816</v>
      </c>
      <c r="B1979" s="272" t="s">
        <v>10591</v>
      </c>
      <c r="C1979" s="272" t="s">
        <v>10458</v>
      </c>
      <c r="D1979" s="259" t="s">
        <v>10459</v>
      </c>
      <c r="E1979" s="265" t="s">
        <v>10655</v>
      </c>
      <c r="F1979" s="272" t="s">
        <v>9198</v>
      </c>
      <c r="G1979" s="272" t="s">
        <v>9197</v>
      </c>
      <c r="H1979" s="265" t="s">
        <v>11028</v>
      </c>
      <c r="I1979" s="290" t="s">
        <v>11029</v>
      </c>
      <c r="J1979" s="265" t="s">
        <v>10655</v>
      </c>
      <c r="K1979" s="265" t="s">
        <v>10655</v>
      </c>
    </row>
    <row r="1980" spans="1:11" s="75" customFormat="1" ht="14.55" customHeight="1" x14ac:dyDescent="0.25">
      <c r="A1980" s="272" t="s">
        <v>8816</v>
      </c>
      <c r="B1980" s="272" t="s">
        <v>10591</v>
      </c>
      <c r="C1980" s="272" t="s">
        <v>10458</v>
      </c>
      <c r="D1980" s="259" t="s">
        <v>10459</v>
      </c>
      <c r="E1980" s="265" t="s">
        <v>10655</v>
      </c>
      <c r="F1980" s="272" t="s">
        <v>9198</v>
      </c>
      <c r="G1980" s="272" t="s">
        <v>9197</v>
      </c>
      <c r="H1980" s="265" t="s">
        <v>10908</v>
      </c>
      <c r="I1980" s="290" t="s">
        <v>10909</v>
      </c>
      <c r="J1980" s="265" t="s">
        <v>10655</v>
      </c>
      <c r="K1980" s="265" t="s">
        <v>10655</v>
      </c>
    </row>
    <row r="1981" spans="1:11" s="75" customFormat="1" ht="14.55" customHeight="1" x14ac:dyDescent="0.25">
      <c r="A1981" s="272" t="s">
        <v>8816</v>
      </c>
      <c r="B1981" s="272" t="s">
        <v>10591</v>
      </c>
      <c r="C1981" s="272" t="s">
        <v>10460</v>
      </c>
      <c r="D1981" s="259" t="s">
        <v>10461</v>
      </c>
      <c r="E1981" s="265" t="s">
        <v>10655</v>
      </c>
      <c r="F1981" s="272" t="s">
        <v>9198</v>
      </c>
      <c r="G1981" s="272" t="s">
        <v>9197</v>
      </c>
      <c r="H1981" s="265" t="s">
        <v>11030</v>
      </c>
      <c r="I1981" s="290" t="s">
        <v>11031</v>
      </c>
      <c r="J1981" s="265" t="s">
        <v>10655</v>
      </c>
      <c r="K1981" s="265" t="s">
        <v>10655</v>
      </c>
    </row>
    <row r="1982" spans="1:11" s="75" customFormat="1" ht="14.55" customHeight="1" x14ac:dyDescent="0.25">
      <c r="A1982" s="272" t="s">
        <v>8816</v>
      </c>
      <c r="B1982" s="272" t="s">
        <v>10591</v>
      </c>
      <c r="C1982" s="272" t="s">
        <v>10460</v>
      </c>
      <c r="D1982" s="259" t="s">
        <v>10461</v>
      </c>
      <c r="E1982" s="265" t="s">
        <v>10655</v>
      </c>
      <c r="F1982" s="272" t="s">
        <v>9198</v>
      </c>
      <c r="G1982" s="272" t="s">
        <v>9197</v>
      </c>
      <c r="H1982" s="265" t="s">
        <v>11032</v>
      </c>
      <c r="I1982" s="290" t="s">
        <v>11033</v>
      </c>
      <c r="J1982" s="265" t="s">
        <v>10655</v>
      </c>
      <c r="K1982" s="265" t="s">
        <v>10655</v>
      </c>
    </row>
    <row r="1983" spans="1:11" s="75" customFormat="1" ht="14.55" customHeight="1" x14ac:dyDescent="0.25">
      <c r="A1983" s="272" t="s">
        <v>8816</v>
      </c>
      <c r="B1983" s="272" t="s">
        <v>10591</v>
      </c>
      <c r="C1983" s="272" t="s">
        <v>10460</v>
      </c>
      <c r="D1983" s="259" t="s">
        <v>10461</v>
      </c>
      <c r="E1983" s="265" t="s">
        <v>10655</v>
      </c>
      <c r="F1983" s="272" t="s">
        <v>9198</v>
      </c>
      <c r="G1983" s="272" t="s">
        <v>9197</v>
      </c>
      <c r="H1983" s="265" t="s">
        <v>10911</v>
      </c>
      <c r="I1983" s="290" t="s">
        <v>10912</v>
      </c>
      <c r="J1983" s="265" t="s">
        <v>10655</v>
      </c>
      <c r="K1983" s="265" t="s">
        <v>10655</v>
      </c>
    </row>
    <row r="1984" spans="1:11" s="75" customFormat="1" ht="14.55" customHeight="1" x14ac:dyDescent="0.25">
      <c r="A1984" s="272" t="s">
        <v>8816</v>
      </c>
      <c r="B1984" s="272" t="s">
        <v>10591</v>
      </c>
      <c r="C1984" s="272" t="s">
        <v>10462</v>
      </c>
      <c r="D1984" s="259" t="s">
        <v>10463</v>
      </c>
      <c r="E1984" s="265" t="s">
        <v>10655</v>
      </c>
      <c r="F1984" s="272" t="s">
        <v>9198</v>
      </c>
      <c r="G1984" s="272" t="s">
        <v>9197</v>
      </c>
      <c r="H1984" s="265" t="s">
        <v>11030</v>
      </c>
      <c r="I1984" s="290" t="s">
        <v>11031</v>
      </c>
      <c r="J1984" s="265" t="s">
        <v>10655</v>
      </c>
      <c r="K1984" s="265" t="s">
        <v>10655</v>
      </c>
    </row>
    <row r="1985" spans="1:11" s="75" customFormat="1" ht="14.55" customHeight="1" x14ac:dyDescent="0.25">
      <c r="A1985" s="272" t="s">
        <v>8816</v>
      </c>
      <c r="B1985" s="272" t="s">
        <v>10591</v>
      </c>
      <c r="C1985" s="272" t="s">
        <v>10462</v>
      </c>
      <c r="D1985" s="259" t="s">
        <v>10463</v>
      </c>
      <c r="E1985" s="265" t="s">
        <v>10655</v>
      </c>
      <c r="F1985" s="272" t="s">
        <v>9198</v>
      </c>
      <c r="G1985" s="272" t="s">
        <v>9197</v>
      </c>
      <c r="H1985" s="265" t="s">
        <v>11032</v>
      </c>
      <c r="I1985" s="290" t="s">
        <v>11033</v>
      </c>
      <c r="J1985" s="265" t="s">
        <v>10655</v>
      </c>
      <c r="K1985" s="265" t="s">
        <v>10655</v>
      </c>
    </row>
    <row r="1986" spans="1:11" s="75" customFormat="1" ht="14.55" customHeight="1" x14ac:dyDescent="0.25">
      <c r="A1986" s="272" t="s">
        <v>8816</v>
      </c>
      <c r="B1986" s="272" t="s">
        <v>10591</v>
      </c>
      <c r="C1986" s="272" t="s">
        <v>10462</v>
      </c>
      <c r="D1986" s="259" t="s">
        <v>10463</v>
      </c>
      <c r="E1986" s="265" t="s">
        <v>10655</v>
      </c>
      <c r="F1986" s="272" t="s">
        <v>9198</v>
      </c>
      <c r="G1986" s="272" t="s">
        <v>9197</v>
      </c>
      <c r="H1986" s="265" t="s">
        <v>10911</v>
      </c>
      <c r="I1986" s="290" t="s">
        <v>10912</v>
      </c>
      <c r="J1986" s="265" t="s">
        <v>10655</v>
      </c>
      <c r="K1986" s="265" t="s">
        <v>10655</v>
      </c>
    </row>
    <row r="1987" spans="1:11" s="75" customFormat="1" ht="14.55" customHeight="1" x14ac:dyDescent="0.25">
      <c r="A1987" s="272" t="s">
        <v>8816</v>
      </c>
      <c r="B1987" s="272" t="s">
        <v>10591</v>
      </c>
      <c r="C1987" s="272" t="s">
        <v>10464</v>
      </c>
      <c r="D1987" s="259" t="s">
        <v>10465</v>
      </c>
      <c r="E1987" s="265" t="s">
        <v>10655</v>
      </c>
      <c r="F1987" s="272" t="s">
        <v>9198</v>
      </c>
      <c r="G1987" s="272" t="s">
        <v>9197</v>
      </c>
      <c r="H1987" s="265" t="s">
        <v>11030</v>
      </c>
      <c r="I1987" s="290" t="s">
        <v>11031</v>
      </c>
      <c r="J1987" s="265" t="s">
        <v>10655</v>
      </c>
      <c r="K1987" s="265" t="s">
        <v>10655</v>
      </c>
    </row>
    <row r="1988" spans="1:11" s="75" customFormat="1" ht="14.55" customHeight="1" x14ac:dyDescent="0.25">
      <c r="A1988" s="272" t="s">
        <v>8816</v>
      </c>
      <c r="B1988" s="272" t="s">
        <v>10591</v>
      </c>
      <c r="C1988" s="272" t="s">
        <v>10464</v>
      </c>
      <c r="D1988" s="259" t="s">
        <v>10465</v>
      </c>
      <c r="E1988" s="265" t="s">
        <v>10655</v>
      </c>
      <c r="F1988" s="272" t="s">
        <v>9198</v>
      </c>
      <c r="G1988" s="272" t="s">
        <v>9197</v>
      </c>
      <c r="H1988" s="265" t="s">
        <v>11032</v>
      </c>
      <c r="I1988" s="290" t="s">
        <v>11033</v>
      </c>
      <c r="J1988" s="265" t="s">
        <v>10655</v>
      </c>
      <c r="K1988" s="265" t="s">
        <v>10655</v>
      </c>
    </row>
    <row r="1989" spans="1:11" s="75" customFormat="1" ht="14.55" customHeight="1" x14ac:dyDescent="0.25">
      <c r="A1989" s="272" t="s">
        <v>8816</v>
      </c>
      <c r="B1989" s="272" t="s">
        <v>10591</v>
      </c>
      <c r="C1989" s="272" t="s">
        <v>10464</v>
      </c>
      <c r="D1989" s="259" t="s">
        <v>10465</v>
      </c>
      <c r="E1989" s="265" t="s">
        <v>10655</v>
      </c>
      <c r="F1989" s="272" t="s">
        <v>9198</v>
      </c>
      <c r="G1989" s="272" t="s">
        <v>9197</v>
      </c>
      <c r="H1989" s="265" t="s">
        <v>10911</v>
      </c>
      <c r="I1989" s="290" t="s">
        <v>10912</v>
      </c>
      <c r="J1989" s="265" t="s">
        <v>10655</v>
      </c>
      <c r="K1989" s="265" t="s">
        <v>10655</v>
      </c>
    </row>
    <row r="1990" spans="1:11" s="75" customFormat="1" ht="14.55" customHeight="1" x14ac:dyDescent="0.25">
      <c r="A1990" s="272" t="s">
        <v>8816</v>
      </c>
      <c r="B1990" s="272" t="s">
        <v>10591</v>
      </c>
      <c r="C1990" s="272" t="s">
        <v>10466</v>
      </c>
      <c r="D1990" s="259" t="s">
        <v>10467</v>
      </c>
      <c r="E1990" s="265" t="s">
        <v>10655</v>
      </c>
      <c r="F1990" s="272" t="s">
        <v>9198</v>
      </c>
      <c r="G1990" s="272" t="s">
        <v>9197</v>
      </c>
      <c r="H1990" s="265" t="s">
        <v>11030</v>
      </c>
      <c r="I1990" s="290" t="s">
        <v>11031</v>
      </c>
      <c r="J1990" s="265" t="s">
        <v>10655</v>
      </c>
      <c r="K1990" s="265" t="s">
        <v>10655</v>
      </c>
    </row>
    <row r="1991" spans="1:11" s="75" customFormat="1" ht="14.55" customHeight="1" x14ac:dyDescent="0.25">
      <c r="A1991" s="272" t="s">
        <v>8816</v>
      </c>
      <c r="B1991" s="272" t="s">
        <v>10591</v>
      </c>
      <c r="C1991" s="272" t="s">
        <v>10466</v>
      </c>
      <c r="D1991" s="259" t="s">
        <v>10467</v>
      </c>
      <c r="E1991" s="265" t="s">
        <v>10655</v>
      </c>
      <c r="F1991" s="272" t="s">
        <v>9198</v>
      </c>
      <c r="G1991" s="272" t="s">
        <v>9197</v>
      </c>
      <c r="H1991" s="265" t="s">
        <v>11032</v>
      </c>
      <c r="I1991" s="290" t="s">
        <v>11033</v>
      </c>
      <c r="J1991" s="265" t="s">
        <v>10655</v>
      </c>
      <c r="K1991" s="265" t="s">
        <v>10655</v>
      </c>
    </row>
    <row r="1992" spans="1:11" s="75" customFormat="1" ht="14.55" customHeight="1" x14ac:dyDescent="0.25">
      <c r="A1992" s="272" t="s">
        <v>8816</v>
      </c>
      <c r="B1992" s="272" t="s">
        <v>10591</v>
      </c>
      <c r="C1992" s="272" t="s">
        <v>10466</v>
      </c>
      <c r="D1992" s="259" t="s">
        <v>10467</v>
      </c>
      <c r="E1992" s="265" t="s">
        <v>10655</v>
      </c>
      <c r="F1992" s="272" t="s">
        <v>9198</v>
      </c>
      <c r="G1992" s="272" t="s">
        <v>9197</v>
      </c>
      <c r="H1992" s="265" t="s">
        <v>10911</v>
      </c>
      <c r="I1992" s="290" t="s">
        <v>10912</v>
      </c>
      <c r="J1992" s="265" t="s">
        <v>10655</v>
      </c>
      <c r="K1992" s="265" t="s">
        <v>10655</v>
      </c>
    </row>
    <row r="1993" spans="1:11" s="75" customFormat="1" ht="14.55" customHeight="1" x14ac:dyDescent="0.25">
      <c r="A1993" s="272" t="s">
        <v>8816</v>
      </c>
      <c r="B1993" s="272" t="s">
        <v>10591</v>
      </c>
      <c r="C1993" s="272" t="s">
        <v>10468</v>
      </c>
      <c r="D1993" s="259" t="s">
        <v>10469</v>
      </c>
      <c r="E1993" s="265" t="s">
        <v>10655</v>
      </c>
      <c r="F1993" s="272" t="s">
        <v>9198</v>
      </c>
      <c r="G1993" s="272" t="s">
        <v>9197</v>
      </c>
      <c r="H1993" s="265" t="s">
        <v>11030</v>
      </c>
      <c r="I1993" s="290" t="s">
        <v>11031</v>
      </c>
      <c r="J1993" s="265" t="s">
        <v>10655</v>
      </c>
      <c r="K1993" s="265" t="s">
        <v>10655</v>
      </c>
    </row>
    <row r="1994" spans="1:11" s="75" customFormat="1" ht="14.55" customHeight="1" x14ac:dyDescent="0.25">
      <c r="A1994" s="272" t="s">
        <v>8816</v>
      </c>
      <c r="B1994" s="272" t="s">
        <v>10591</v>
      </c>
      <c r="C1994" s="272" t="s">
        <v>10468</v>
      </c>
      <c r="D1994" s="259" t="s">
        <v>10469</v>
      </c>
      <c r="E1994" s="265" t="s">
        <v>10655</v>
      </c>
      <c r="F1994" s="272" t="s">
        <v>9198</v>
      </c>
      <c r="G1994" s="272" t="s">
        <v>9197</v>
      </c>
      <c r="H1994" s="265" t="s">
        <v>11032</v>
      </c>
      <c r="I1994" s="290" t="s">
        <v>11033</v>
      </c>
      <c r="J1994" s="265" t="s">
        <v>10655</v>
      </c>
      <c r="K1994" s="265" t="s">
        <v>10655</v>
      </c>
    </row>
    <row r="1995" spans="1:11" s="75" customFormat="1" ht="14.55" customHeight="1" x14ac:dyDescent="0.25">
      <c r="A1995" s="272" t="s">
        <v>8816</v>
      </c>
      <c r="B1995" s="272" t="s">
        <v>10591</v>
      </c>
      <c r="C1995" s="272" t="s">
        <v>10468</v>
      </c>
      <c r="D1995" s="259" t="s">
        <v>10469</v>
      </c>
      <c r="E1995" s="265" t="s">
        <v>10655</v>
      </c>
      <c r="F1995" s="272" t="s">
        <v>9198</v>
      </c>
      <c r="G1995" s="272" t="s">
        <v>9197</v>
      </c>
      <c r="H1995" s="265" t="s">
        <v>10911</v>
      </c>
      <c r="I1995" s="290" t="s">
        <v>10912</v>
      </c>
      <c r="J1995" s="265" t="s">
        <v>10655</v>
      </c>
      <c r="K1995" s="265" t="s">
        <v>10655</v>
      </c>
    </row>
    <row r="1996" spans="1:11" s="75" customFormat="1" ht="14.55" customHeight="1" x14ac:dyDescent="0.25">
      <c r="A1996" s="272" t="s">
        <v>8816</v>
      </c>
      <c r="B1996" s="272" t="s">
        <v>10591</v>
      </c>
      <c r="C1996" s="272" t="s">
        <v>10470</v>
      </c>
      <c r="D1996" s="259" t="s">
        <v>10471</v>
      </c>
      <c r="E1996" s="265" t="s">
        <v>10655</v>
      </c>
      <c r="F1996" s="272" t="s">
        <v>9198</v>
      </c>
      <c r="G1996" s="272" t="s">
        <v>9198</v>
      </c>
      <c r="H1996" s="265" t="s">
        <v>11030</v>
      </c>
      <c r="I1996" s="290" t="s">
        <v>11031</v>
      </c>
      <c r="J1996" s="265" t="s">
        <v>10655</v>
      </c>
      <c r="K1996" s="265" t="s">
        <v>10655</v>
      </c>
    </row>
    <row r="1997" spans="1:11" s="75" customFormat="1" ht="14.55" customHeight="1" x14ac:dyDescent="0.25">
      <c r="A1997" s="272" t="s">
        <v>8816</v>
      </c>
      <c r="B1997" s="272" t="s">
        <v>10591</v>
      </c>
      <c r="C1997" s="272" t="s">
        <v>10470</v>
      </c>
      <c r="D1997" s="259" t="s">
        <v>10471</v>
      </c>
      <c r="E1997" s="265" t="s">
        <v>10655</v>
      </c>
      <c r="F1997" s="272" t="s">
        <v>9198</v>
      </c>
      <c r="G1997" s="272" t="s">
        <v>9198</v>
      </c>
      <c r="H1997" s="265" t="s">
        <v>11032</v>
      </c>
      <c r="I1997" s="290" t="s">
        <v>11033</v>
      </c>
      <c r="J1997" s="265" t="s">
        <v>10655</v>
      </c>
      <c r="K1997" s="265" t="s">
        <v>10655</v>
      </c>
    </row>
    <row r="1998" spans="1:11" s="75" customFormat="1" ht="14.55" customHeight="1" x14ac:dyDescent="0.25">
      <c r="A1998" s="272" t="s">
        <v>8816</v>
      </c>
      <c r="B1998" s="272" t="s">
        <v>10591</v>
      </c>
      <c r="C1998" s="272" t="s">
        <v>10470</v>
      </c>
      <c r="D1998" s="259" t="s">
        <v>10471</v>
      </c>
      <c r="E1998" s="265" t="s">
        <v>10655</v>
      </c>
      <c r="F1998" s="272" t="s">
        <v>9198</v>
      </c>
      <c r="G1998" s="272" t="s">
        <v>9198</v>
      </c>
      <c r="H1998" s="265" t="s">
        <v>10911</v>
      </c>
      <c r="I1998" s="290" t="s">
        <v>10912</v>
      </c>
      <c r="J1998" s="265" t="s">
        <v>10655</v>
      </c>
      <c r="K1998" s="265" t="s">
        <v>10655</v>
      </c>
    </row>
    <row r="1999" spans="1:11" s="75" customFormat="1" ht="14.55" customHeight="1" x14ac:dyDescent="0.25">
      <c r="A1999" s="272" t="s">
        <v>8816</v>
      </c>
      <c r="B1999" s="272" t="s">
        <v>10591</v>
      </c>
      <c r="C1999" s="272" t="s">
        <v>10472</v>
      </c>
      <c r="D1999" s="259" t="s">
        <v>10473</v>
      </c>
      <c r="E1999" s="265" t="s">
        <v>10655</v>
      </c>
      <c r="F1999" s="272" t="s">
        <v>9198</v>
      </c>
      <c r="G1999" s="272" t="s">
        <v>9198</v>
      </c>
      <c r="H1999" s="265" t="s">
        <v>11030</v>
      </c>
      <c r="I1999" s="290" t="s">
        <v>11031</v>
      </c>
      <c r="J1999" s="265" t="s">
        <v>10655</v>
      </c>
      <c r="K1999" s="265" t="s">
        <v>10655</v>
      </c>
    </row>
    <row r="2000" spans="1:11" s="75" customFormat="1" ht="14.55" customHeight="1" x14ac:dyDescent="0.25">
      <c r="A2000" s="272" t="s">
        <v>8816</v>
      </c>
      <c r="B2000" s="272" t="s">
        <v>10591</v>
      </c>
      <c r="C2000" s="272" t="s">
        <v>10472</v>
      </c>
      <c r="D2000" s="259" t="s">
        <v>10473</v>
      </c>
      <c r="E2000" s="265" t="s">
        <v>10655</v>
      </c>
      <c r="F2000" s="272" t="s">
        <v>9198</v>
      </c>
      <c r="G2000" s="272" t="s">
        <v>9198</v>
      </c>
      <c r="H2000" s="265" t="s">
        <v>11032</v>
      </c>
      <c r="I2000" s="290" t="s">
        <v>11033</v>
      </c>
      <c r="J2000" s="265" t="s">
        <v>10655</v>
      </c>
      <c r="K2000" s="265" t="s">
        <v>10655</v>
      </c>
    </row>
    <row r="2001" spans="1:11" s="75" customFormat="1" ht="14.55" customHeight="1" x14ac:dyDescent="0.25">
      <c r="A2001" s="272" t="s">
        <v>8816</v>
      </c>
      <c r="B2001" s="272" t="s">
        <v>10591</v>
      </c>
      <c r="C2001" s="272" t="s">
        <v>10472</v>
      </c>
      <c r="D2001" s="259" t="s">
        <v>10473</v>
      </c>
      <c r="E2001" s="265" t="s">
        <v>10655</v>
      </c>
      <c r="F2001" s="272" t="s">
        <v>9198</v>
      </c>
      <c r="G2001" s="272" t="s">
        <v>9198</v>
      </c>
      <c r="H2001" s="265" t="s">
        <v>10911</v>
      </c>
      <c r="I2001" s="290" t="s">
        <v>10912</v>
      </c>
      <c r="J2001" s="265" t="s">
        <v>10655</v>
      </c>
      <c r="K2001" s="265" t="s">
        <v>10655</v>
      </c>
    </row>
    <row r="2002" spans="1:11" s="75" customFormat="1" ht="14.55" customHeight="1" x14ac:dyDescent="0.25">
      <c r="A2002" s="272" t="s">
        <v>8816</v>
      </c>
      <c r="B2002" s="272" t="s">
        <v>10591</v>
      </c>
      <c r="C2002" s="272" t="s">
        <v>10474</v>
      </c>
      <c r="D2002" s="259" t="s">
        <v>10475</v>
      </c>
      <c r="E2002" s="265" t="s">
        <v>10655</v>
      </c>
      <c r="F2002" s="272" t="s">
        <v>9198</v>
      </c>
      <c r="G2002" s="272" t="s">
        <v>9197</v>
      </c>
      <c r="H2002" s="265" t="s">
        <v>11030</v>
      </c>
      <c r="I2002" s="290" t="s">
        <v>11031</v>
      </c>
      <c r="J2002" s="265" t="s">
        <v>10655</v>
      </c>
      <c r="K2002" s="265" t="s">
        <v>10655</v>
      </c>
    </row>
    <row r="2003" spans="1:11" s="75" customFormat="1" ht="14.55" customHeight="1" x14ac:dyDescent="0.25">
      <c r="A2003" s="272" t="s">
        <v>8816</v>
      </c>
      <c r="B2003" s="272" t="s">
        <v>10591</v>
      </c>
      <c r="C2003" s="272" t="s">
        <v>10474</v>
      </c>
      <c r="D2003" s="259" t="s">
        <v>10475</v>
      </c>
      <c r="E2003" s="265" t="s">
        <v>10655</v>
      </c>
      <c r="F2003" s="272" t="s">
        <v>9198</v>
      </c>
      <c r="G2003" s="272" t="s">
        <v>9197</v>
      </c>
      <c r="H2003" s="265" t="s">
        <v>11032</v>
      </c>
      <c r="I2003" s="290" t="s">
        <v>11033</v>
      </c>
      <c r="J2003" s="265" t="s">
        <v>10655</v>
      </c>
      <c r="K2003" s="265" t="s">
        <v>10655</v>
      </c>
    </row>
    <row r="2004" spans="1:11" s="75" customFormat="1" ht="14.55" customHeight="1" x14ac:dyDescent="0.25">
      <c r="A2004" s="272" t="s">
        <v>8816</v>
      </c>
      <c r="B2004" s="272" t="s">
        <v>10591</v>
      </c>
      <c r="C2004" s="272" t="s">
        <v>10474</v>
      </c>
      <c r="D2004" s="259" t="s">
        <v>10475</v>
      </c>
      <c r="E2004" s="265" t="s">
        <v>10655</v>
      </c>
      <c r="F2004" s="272" t="s">
        <v>9198</v>
      </c>
      <c r="G2004" s="272" t="s">
        <v>9197</v>
      </c>
      <c r="H2004" s="265" t="s">
        <v>10911</v>
      </c>
      <c r="I2004" s="290" t="s">
        <v>10912</v>
      </c>
      <c r="J2004" s="265" t="s">
        <v>10655</v>
      </c>
      <c r="K2004" s="265" t="s">
        <v>10655</v>
      </c>
    </row>
    <row r="2005" spans="1:11" s="75" customFormat="1" ht="14.55" customHeight="1" x14ac:dyDescent="0.25">
      <c r="A2005" s="272" t="s">
        <v>8816</v>
      </c>
      <c r="B2005" s="272" t="s">
        <v>10591</v>
      </c>
      <c r="C2005" s="272" t="s">
        <v>10476</v>
      </c>
      <c r="D2005" s="259" t="s">
        <v>10477</v>
      </c>
      <c r="E2005" s="265" t="s">
        <v>10655</v>
      </c>
      <c r="F2005" s="272" t="s">
        <v>9198</v>
      </c>
      <c r="G2005" s="272" t="s">
        <v>9197</v>
      </c>
      <c r="H2005" s="265" t="s">
        <v>10911</v>
      </c>
      <c r="I2005" s="290" t="s">
        <v>10912</v>
      </c>
      <c r="J2005" s="265" t="s">
        <v>10655</v>
      </c>
      <c r="K2005" s="265" t="s">
        <v>10655</v>
      </c>
    </row>
    <row r="2006" spans="1:11" s="75" customFormat="1" ht="14.55" customHeight="1" x14ac:dyDescent="0.25">
      <c r="A2006" s="272" t="s">
        <v>8816</v>
      </c>
      <c r="B2006" s="272" t="s">
        <v>10591</v>
      </c>
      <c r="C2006" s="272" t="s">
        <v>10478</v>
      </c>
      <c r="D2006" s="259" t="s">
        <v>10479</v>
      </c>
      <c r="E2006" s="265" t="s">
        <v>10655</v>
      </c>
      <c r="F2006" s="272" t="s">
        <v>9198</v>
      </c>
      <c r="G2006" s="272" t="s">
        <v>9197</v>
      </c>
      <c r="H2006" s="265" t="s">
        <v>11032</v>
      </c>
      <c r="I2006" s="290" t="s">
        <v>11033</v>
      </c>
      <c r="J2006" s="265" t="s">
        <v>10655</v>
      </c>
      <c r="K2006" s="265" t="s">
        <v>10655</v>
      </c>
    </row>
    <row r="2007" spans="1:11" s="75" customFormat="1" ht="14.55" customHeight="1" x14ac:dyDescent="0.25">
      <c r="A2007" s="272" t="s">
        <v>8816</v>
      </c>
      <c r="B2007" s="272" t="s">
        <v>10591</v>
      </c>
      <c r="C2007" s="272" t="s">
        <v>10478</v>
      </c>
      <c r="D2007" s="259" t="s">
        <v>10479</v>
      </c>
      <c r="E2007" s="265" t="s">
        <v>10655</v>
      </c>
      <c r="F2007" s="272" t="s">
        <v>9198</v>
      </c>
      <c r="G2007" s="272" t="s">
        <v>9197</v>
      </c>
      <c r="H2007" s="265" t="s">
        <v>10911</v>
      </c>
      <c r="I2007" s="290" t="s">
        <v>10912</v>
      </c>
      <c r="J2007" s="265" t="s">
        <v>10655</v>
      </c>
      <c r="K2007" s="265" t="s">
        <v>10655</v>
      </c>
    </row>
    <row r="2008" spans="1:11" s="75" customFormat="1" ht="14.55" customHeight="1" x14ac:dyDescent="0.25">
      <c r="A2008" s="272" t="s">
        <v>8816</v>
      </c>
      <c r="B2008" s="272" t="s">
        <v>10591</v>
      </c>
      <c r="C2008" s="272" t="s">
        <v>10480</v>
      </c>
      <c r="D2008" s="259" t="s">
        <v>10481</v>
      </c>
      <c r="E2008" s="265" t="s">
        <v>10655</v>
      </c>
      <c r="F2008" s="272" t="s">
        <v>9198</v>
      </c>
      <c r="G2008" s="272" t="s">
        <v>9197</v>
      </c>
      <c r="H2008" s="265" t="s">
        <v>11030</v>
      </c>
      <c r="I2008" s="290" t="s">
        <v>11031</v>
      </c>
      <c r="J2008" s="265" t="s">
        <v>10655</v>
      </c>
      <c r="K2008" s="265" t="s">
        <v>10655</v>
      </c>
    </row>
    <row r="2009" spans="1:11" s="75" customFormat="1" ht="14.55" customHeight="1" x14ac:dyDescent="0.25">
      <c r="A2009" s="272" t="s">
        <v>8816</v>
      </c>
      <c r="B2009" s="272" t="s">
        <v>10591</v>
      </c>
      <c r="C2009" s="272" t="s">
        <v>10480</v>
      </c>
      <c r="D2009" s="259" t="s">
        <v>10481</v>
      </c>
      <c r="E2009" s="265" t="s">
        <v>10655</v>
      </c>
      <c r="F2009" s="272" t="s">
        <v>9198</v>
      </c>
      <c r="G2009" s="272" t="s">
        <v>9197</v>
      </c>
      <c r="H2009" s="265" t="s">
        <v>11032</v>
      </c>
      <c r="I2009" s="290" t="s">
        <v>11033</v>
      </c>
      <c r="J2009" s="265" t="s">
        <v>10655</v>
      </c>
      <c r="K2009" s="265" t="s">
        <v>10655</v>
      </c>
    </row>
    <row r="2010" spans="1:11" s="75" customFormat="1" ht="14.55" customHeight="1" x14ac:dyDescent="0.25">
      <c r="A2010" s="272" t="s">
        <v>8816</v>
      </c>
      <c r="B2010" s="272" t="s">
        <v>10591</v>
      </c>
      <c r="C2010" s="272" t="s">
        <v>10480</v>
      </c>
      <c r="D2010" s="259" t="s">
        <v>10481</v>
      </c>
      <c r="E2010" s="265" t="s">
        <v>10655</v>
      </c>
      <c r="F2010" s="272" t="s">
        <v>9198</v>
      </c>
      <c r="G2010" s="272" t="s">
        <v>9197</v>
      </c>
      <c r="H2010" s="265" t="s">
        <v>10911</v>
      </c>
      <c r="I2010" s="290" t="s">
        <v>10912</v>
      </c>
      <c r="J2010" s="265" t="s">
        <v>10655</v>
      </c>
      <c r="K2010" s="265" t="s">
        <v>10655</v>
      </c>
    </row>
    <row r="2011" spans="1:11" s="75" customFormat="1" ht="14.55" customHeight="1" x14ac:dyDescent="0.25">
      <c r="A2011" s="272" t="s">
        <v>8816</v>
      </c>
      <c r="B2011" s="272" t="s">
        <v>10591</v>
      </c>
      <c r="C2011" s="272" t="s">
        <v>10482</v>
      </c>
      <c r="D2011" s="259" t="s">
        <v>10483</v>
      </c>
      <c r="E2011" s="265" t="s">
        <v>10655</v>
      </c>
      <c r="F2011" s="272" t="s">
        <v>9198</v>
      </c>
      <c r="G2011" s="272" t="s">
        <v>9197</v>
      </c>
      <c r="H2011" s="265" t="s">
        <v>11030</v>
      </c>
      <c r="I2011" s="290" t="s">
        <v>11031</v>
      </c>
      <c r="J2011" s="265" t="s">
        <v>10655</v>
      </c>
      <c r="K2011" s="265" t="s">
        <v>10655</v>
      </c>
    </row>
    <row r="2012" spans="1:11" s="75" customFormat="1" ht="14.55" customHeight="1" x14ac:dyDescent="0.25">
      <c r="A2012" s="272" t="s">
        <v>8816</v>
      </c>
      <c r="B2012" s="272" t="s">
        <v>10591</v>
      </c>
      <c r="C2012" s="272" t="s">
        <v>10482</v>
      </c>
      <c r="D2012" s="259" t="s">
        <v>10483</v>
      </c>
      <c r="E2012" s="265" t="s">
        <v>10655</v>
      </c>
      <c r="F2012" s="272" t="s">
        <v>9198</v>
      </c>
      <c r="G2012" s="272" t="s">
        <v>9197</v>
      </c>
      <c r="H2012" s="265" t="s">
        <v>11032</v>
      </c>
      <c r="I2012" s="290" t="s">
        <v>11033</v>
      </c>
      <c r="J2012" s="265" t="s">
        <v>10655</v>
      </c>
      <c r="K2012" s="265" t="s">
        <v>10655</v>
      </c>
    </row>
    <row r="2013" spans="1:11" s="75" customFormat="1" ht="14.55" customHeight="1" x14ac:dyDescent="0.25">
      <c r="A2013" s="272" t="s">
        <v>8816</v>
      </c>
      <c r="B2013" s="272" t="s">
        <v>10591</v>
      </c>
      <c r="C2013" s="272" t="s">
        <v>10482</v>
      </c>
      <c r="D2013" s="259" t="s">
        <v>10483</v>
      </c>
      <c r="E2013" s="265" t="s">
        <v>10655</v>
      </c>
      <c r="F2013" s="272" t="s">
        <v>9198</v>
      </c>
      <c r="G2013" s="272" t="s">
        <v>9197</v>
      </c>
      <c r="H2013" s="265" t="s">
        <v>10911</v>
      </c>
      <c r="I2013" s="290" t="s">
        <v>10912</v>
      </c>
      <c r="J2013" s="265" t="s">
        <v>10655</v>
      </c>
      <c r="K2013" s="265" t="s">
        <v>10655</v>
      </c>
    </row>
    <row r="2014" spans="1:11" s="75" customFormat="1" ht="14.55" customHeight="1" x14ac:dyDescent="0.25">
      <c r="A2014" s="272" t="s">
        <v>8816</v>
      </c>
      <c r="B2014" s="272" t="s">
        <v>10591</v>
      </c>
      <c r="C2014" s="272" t="s">
        <v>10484</v>
      </c>
      <c r="D2014" s="259" t="s">
        <v>10485</v>
      </c>
      <c r="E2014" s="265" t="s">
        <v>10655</v>
      </c>
      <c r="F2014" s="272" t="s">
        <v>9198</v>
      </c>
      <c r="G2014" s="272" t="s">
        <v>9197</v>
      </c>
      <c r="H2014" s="265" t="s">
        <v>11030</v>
      </c>
      <c r="I2014" s="290" t="s">
        <v>11031</v>
      </c>
      <c r="J2014" s="265" t="s">
        <v>10655</v>
      </c>
      <c r="K2014" s="265" t="s">
        <v>10655</v>
      </c>
    </row>
    <row r="2015" spans="1:11" s="75" customFormat="1" ht="14.55" customHeight="1" x14ac:dyDescent="0.25">
      <c r="A2015" s="272" t="s">
        <v>8816</v>
      </c>
      <c r="B2015" s="272" t="s">
        <v>10591</v>
      </c>
      <c r="C2015" s="272" t="s">
        <v>10484</v>
      </c>
      <c r="D2015" s="259" t="s">
        <v>10485</v>
      </c>
      <c r="E2015" s="265" t="s">
        <v>10655</v>
      </c>
      <c r="F2015" s="272" t="s">
        <v>9198</v>
      </c>
      <c r="G2015" s="272" t="s">
        <v>9197</v>
      </c>
      <c r="H2015" s="265" t="s">
        <v>11032</v>
      </c>
      <c r="I2015" s="290" t="s">
        <v>11033</v>
      </c>
      <c r="J2015" s="265" t="s">
        <v>10655</v>
      </c>
      <c r="K2015" s="265" t="s">
        <v>10655</v>
      </c>
    </row>
    <row r="2016" spans="1:11" s="75" customFormat="1" ht="14.55" customHeight="1" x14ac:dyDescent="0.25">
      <c r="A2016" s="272" t="s">
        <v>8816</v>
      </c>
      <c r="B2016" s="272" t="s">
        <v>10591</v>
      </c>
      <c r="C2016" s="272" t="s">
        <v>10484</v>
      </c>
      <c r="D2016" s="259" t="s">
        <v>10485</v>
      </c>
      <c r="E2016" s="265" t="s">
        <v>10655</v>
      </c>
      <c r="F2016" s="272" t="s">
        <v>9198</v>
      </c>
      <c r="G2016" s="272" t="s">
        <v>9197</v>
      </c>
      <c r="H2016" s="265" t="s">
        <v>10911</v>
      </c>
      <c r="I2016" s="290" t="s">
        <v>10912</v>
      </c>
      <c r="J2016" s="265" t="s">
        <v>10655</v>
      </c>
      <c r="K2016" s="265" t="s">
        <v>10655</v>
      </c>
    </row>
    <row r="2017" spans="1:11" s="75" customFormat="1" ht="14.55" customHeight="1" x14ac:dyDescent="0.25">
      <c r="A2017" s="272" t="s">
        <v>8816</v>
      </c>
      <c r="B2017" s="272" t="s">
        <v>10591</v>
      </c>
      <c r="C2017" s="272" t="s">
        <v>10486</v>
      </c>
      <c r="D2017" s="259" t="s">
        <v>10487</v>
      </c>
      <c r="E2017" s="265" t="s">
        <v>10655</v>
      </c>
      <c r="F2017" s="272" t="s">
        <v>9198</v>
      </c>
      <c r="G2017" s="272" t="s">
        <v>9197</v>
      </c>
      <c r="H2017" s="265" t="s">
        <v>11030</v>
      </c>
      <c r="I2017" s="290" t="s">
        <v>11031</v>
      </c>
      <c r="J2017" s="265" t="s">
        <v>10655</v>
      </c>
      <c r="K2017" s="265" t="s">
        <v>10655</v>
      </c>
    </row>
    <row r="2018" spans="1:11" s="75" customFormat="1" ht="14.55" customHeight="1" x14ac:dyDescent="0.25">
      <c r="A2018" s="272" t="s">
        <v>8816</v>
      </c>
      <c r="B2018" s="272" t="s">
        <v>10591</v>
      </c>
      <c r="C2018" s="272" t="s">
        <v>10486</v>
      </c>
      <c r="D2018" s="259" t="s">
        <v>10487</v>
      </c>
      <c r="E2018" s="265" t="s">
        <v>10655</v>
      </c>
      <c r="F2018" s="272" t="s">
        <v>9198</v>
      </c>
      <c r="G2018" s="272" t="s">
        <v>9197</v>
      </c>
      <c r="H2018" s="265" t="s">
        <v>11032</v>
      </c>
      <c r="I2018" s="290" t="s">
        <v>11033</v>
      </c>
      <c r="J2018" s="265" t="s">
        <v>10655</v>
      </c>
      <c r="K2018" s="265" t="s">
        <v>10655</v>
      </c>
    </row>
    <row r="2019" spans="1:11" s="75" customFormat="1" ht="14.55" customHeight="1" x14ac:dyDescent="0.25">
      <c r="A2019" s="272" t="s">
        <v>8816</v>
      </c>
      <c r="B2019" s="272" t="s">
        <v>10591</v>
      </c>
      <c r="C2019" s="272" t="s">
        <v>10486</v>
      </c>
      <c r="D2019" s="259" t="s">
        <v>10487</v>
      </c>
      <c r="E2019" s="265" t="s">
        <v>10655</v>
      </c>
      <c r="F2019" s="272" t="s">
        <v>9198</v>
      </c>
      <c r="G2019" s="272" t="s">
        <v>9197</v>
      </c>
      <c r="H2019" s="265" t="s">
        <v>10911</v>
      </c>
      <c r="I2019" s="290" t="s">
        <v>10912</v>
      </c>
      <c r="J2019" s="265" t="s">
        <v>10655</v>
      </c>
      <c r="K2019" s="265" t="s">
        <v>10655</v>
      </c>
    </row>
    <row r="2020" spans="1:11" s="75" customFormat="1" ht="14.55" customHeight="1" x14ac:dyDescent="0.25">
      <c r="A2020" s="272" t="s">
        <v>8816</v>
      </c>
      <c r="B2020" s="272" t="s">
        <v>10591</v>
      </c>
      <c r="C2020" s="272" t="s">
        <v>10488</v>
      </c>
      <c r="D2020" s="259" t="s">
        <v>10489</v>
      </c>
      <c r="E2020" s="265" t="s">
        <v>10655</v>
      </c>
      <c r="F2020" s="272" t="s">
        <v>9198</v>
      </c>
      <c r="G2020" s="272" t="s">
        <v>9197</v>
      </c>
      <c r="H2020" s="265" t="s">
        <v>11030</v>
      </c>
      <c r="I2020" s="290" t="s">
        <v>11031</v>
      </c>
      <c r="J2020" s="265" t="s">
        <v>10655</v>
      </c>
      <c r="K2020" s="265" t="s">
        <v>10655</v>
      </c>
    </row>
    <row r="2021" spans="1:11" s="75" customFormat="1" ht="14.55" customHeight="1" x14ac:dyDescent="0.25">
      <c r="A2021" s="272" t="s">
        <v>8816</v>
      </c>
      <c r="B2021" s="272" t="s">
        <v>10591</v>
      </c>
      <c r="C2021" s="272" t="s">
        <v>10488</v>
      </c>
      <c r="D2021" s="259" t="s">
        <v>10489</v>
      </c>
      <c r="E2021" s="265" t="s">
        <v>10655</v>
      </c>
      <c r="F2021" s="272" t="s">
        <v>9198</v>
      </c>
      <c r="G2021" s="272" t="s">
        <v>9197</v>
      </c>
      <c r="H2021" s="265" t="s">
        <v>11032</v>
      </c>
      <c r="I2021" s="290" t="s">
        <v>11033</v>
      </c>
      <c r="J2021" s="265" t="s">
        <v>10655</v>
      </c>
      <c r="K2021" s="265" t="s">
        <v>10655</v>
      </c>
    </row>
    <row r="2022" spans="1:11" s="75" customFormat="1" ht="14.55" customHeight="1" x14ac:dyDescent="0.25">
      <c r="A2022" s="272" t="s">
        <v>8816</v>
      </c>
      <c r="B2022" s="272" t="s">
        <v>10591</v>
      </c>
      <c r="C2022" s="272" t="s">
        <v>10488</v>
      </c>
      <c r="D2022" s="259" t="s">
        <v>10489</v>
      </c>
      <c r="E2022" s="265" t="s">
        <v>10655</v>
      </c>
      <c r="F2022" s="272" t="s">
        <v>9198</v>
      </c>
      <c r="G2022" s="272" t="s">
        <v>9197</v>
      </c>
      <c r="H2022" s="265" t="s">
        <v>10911</v>
      </c>
      <c r="I2022" s="290" t="s">
        <v>10912</v>
      </c>
      <c r="J2022" s="265" t="s">
        <v>10655</v>
      </c>
      <c r="K2022" s="265" t="s">
        <v>10655</v>
      </c>
    </row>
    <row r="2023" spans="1:11" s="75" customFormat="1" ht="14.55" customHeight="1" x14ac:dyDescent="0.25">
      <c r="A2023" s="272" t="s">
        <v>8816</v>
      </c>
      <c r="B2023" s="272" t="s">
        <v>10591</v>
      </c>
      <c r="C2023" s="272" t="s">
        <v>10490</v>
      </c>
      <c r="D2023" s="259" t="s">
        <v>10491</v>
      </c>
      <c r="E2023" s="265" t="s">
        <v>10655</v>
      </c>
      <c r="F2023" s="272" t="s">
        <v>9198</v>
      </c>
      <c r="G2023" s="272" t="s">
        <v>9197</v>
      </c>
      <c r="H2023" s="265" t="s">
        <v>10906</v>
      </c>
      <c r="I2023" s="290" t="s">
        <v>10907</v>
      </c>
      <c r="J2023" s="265" t="s">
        <v>10655</v>
      </c>
      <c r="K2023" s="265" t="s">
        <v>10655</v>
      </c>
    </row>
    <row r="2024" spans="1:11" s="75" customFormat="1" ht="14.55" customHeight="1" x14ac:dyDescent="0.25">
      <c r="A2024" s="272" t="s">
        <v>8816</v>
      </c>
      <c r="B2024" s="272" t="s">
        <v>10591</v>
      </c>
      <c r="C2024" s="272" t="s">
        <v>10490</v>
      </c>
      <c r="D2024" s="259" t="s">
        <v>10491</v>
      </c>
      <c r="E2024" s="265" t="s">
        <v>10655</v>
      </c>
      <c r="F2024" s="272" t="s">
        <v>9198</v>
      </c>
      <c r="G2024" s="272" t="s">
        <v>9197</v>
      </c>
      <c r="H2024" s="265" t="s">
        <v>11030</v>
      </c>
      <c r="I2024" s="290" t="s">
        <v>11031</v>
      </c>
      <c r="J2024" s="265" t="s">
        <v>10655</v>
      </c>
      <c r="K2024" s="265" t="s">
        <v>10655</v>
      </c>
    </row>
    <row r="2025" spans="1:11" s="75" customFormat="1" ht="14.55" customHeight="1" x14ac:dyDescent="0.25">
      <c r="A2025" s="272" t="s">
        <v>8816</v>
      </c>
      <c r="B2025" s="272" t="s">
        <v>10591</v>
      </c>
      <c r="C2025" s="272" t="s">
        <v>10490</v>
      </c>
      <c r="D2025" s="259" t="s">
        <v>10491</v>
      </c>
      <c r="E2025" s="265" t="s">
        <v>10655</v>
      </c>
      <c r="F2025" s="272" t="s">
        <v>9198</v>
      </c>
      <c r="G2025" s="272" t="s">
        <v>9197</v>
      </c>
      <c r="H2025" s="265" t="s">
        <v>10908</v>
      </c>
      <c r="I2025" s="290" t="s">
        <v>10909</v>
      </c>
      <c r="J2025" s="265" t="s">
        <v>10655</v>
      </c>
      <c r="K2025" s="265" t="s">
        <v>10655</v>
      </c>
    </row>
    <row r="2026" spans="1:11" s="75" customFormat="1" ht="14.55" customHeight="1" x14ac:dyDescent="0.25">
      <c r="A2026" s="272" t="s">
        <v>8816</v>
      </c>
      <c r="B2026" s="272" t="s">
        <v>10591</v>
      </c>
      <c r="C2026" s="272" t="s">
        <v>10490</v>
      </c>
      <c r="D2026" s="259" t="s">
        <v>10491</v>
      </c>
      <c r="E2026" s="265" t="s">
        <v>10655</v>
      </c>
      <c r="F2026" s="272" t="s">
        <v>9198</v>
      </c>
      <c r="G2026" s="272" t="s">
        <v>9197</v>
      </c>
      <c r="H2026" s="265" t="s">
        <v>11032</v>
      </c>
      <c r="I2026" s="290" t="s">
        <v>11033</v>
      </c>
      <c r="J2026" s="265" t="s">
        <v>10655</v>
      </c>
      <c r="K2026" s="265" t="s">
        <v>10655</v>
      </c>
    </row>
    <row r="2027" spans="1:11" s="75" customFormat="1" ht="14.55" customHeight="1" x14ac:dyDescent="0.25">
      <c r="A2027" s="272" t="s">
        <v>8816</v>
      </c>
      <c r="B2027" s="272" t="s">
        <v>10591</v>
      </c>
      <c r="C2027" s="272" t="s">
        <v>10490</v>
      </c>
      <c r="D2027" s="259" t="s">
        <v>10491</v>
      </c>
      <c r="E2027" s="265" t="s">
        <v>10655</v>
      </c>
      <c r="F2027" s="272" t="s">
        <v>9198</v>
      </c>
      <c r="G2027" s="272" t="s">
        <v>9197</v>
      </c>
      <c r="H2027" s="265" t="s">
        <v>10911</v>
      </c>
      <c r="I2027" s="290" t="s">
        <v>10912</v>
      </c>
      <c r="J2027" s="265" t="s">
        <v>10655</v>
      </c>
      <c r="K2027" s="265" t="s">
        <v>10655</v>
      </c>
    </row>
    <row r="2028" spans="1:11" s="75" customFormat="1" ht="14.55" customHeight="1" x14ac:dyDescent="0.25">
      <c r="A2028" s="272" t="s">
        <v>8816</v>
      </c>
      <c r="B2028" s="272" t="s">
        <v>10591</v>
      </c>
      <c r="C2028" s="272" t="s">
        <v>10492</v>
      </c>
      <c r="D2028" s="259" t="s">
        <v>10493</v>
      </c>
      <c r="E2028" s="265" t="s">
        <v>10655</v>
      </c>
      <c r="F2028" s="272" t="s">
        <v>9198</v>
      </c>
      <c r="G2028" s="272" t="s">
        <v>9197</v>
      </c>
      <c r="H2028" s="265" t="s">
        <v>11030</v>
      </c>
      <c r="I2028" s="290" t="s">
        <v>11031</v>
      </c>
      <c r="J2028" s="265" t="s">
        <v>10655</v>
      </c>
      <c r="K2028" s="265" t="s">
        <v>10655</v>
      </c>
    </row>
    <row r="2029" spans="1:11" s="75" customFormat="1" ht="14.55" customHeight="1" x14ac:dyDescent="0.25">
      <c r="A2029" s="272" t="s">
        <v>8816</v>
      </c>
      <c r="B2029" s="272" t="s">
        <v>10591</v>
      </c>
      <c r="C2029" s="272" t="s">
        <v>10492</v>
      </c>
      <c r="D2029" s="259" t="s">
        <v>10493</v>
      </c>
      <c r="E2029" s="265" t="s">
        <v>10655</v>
      </c>
      <c r="F2029" s="272" t="s">
        <v>9198</v>
      </c>
      <c r="G2029" s="272" t="s">
        <v>9197</v>
      </c>
      <c r="H2029" s="265" t="s">
        <v>11032</v>
      </c>
      <c r="I2029" s="290" t="s">
        <v>11033</v>
      </c>
      <c r="J2029" s="265" t="s">
        <v>10655</v>
      </c>
      <c r="K2029" s="265" t="s">
        <v>10655</v>
      </c>
    </row>
    <row r="2030" spans="1:11" s="75" customFormat="1" ht="14.55" customHeight="1" x14ac:dyDescent="0.25">
      <c r="A2030" s="272" t="s">
        <v>8816</v>
      </c>
      <c r="B2030" s="272" t="s">
        <v>10591</v>
      </c>
      <c r="C2030" s="272" t="s">
        <v>10492</v>
      </c>
      <c r="D2030" s="259" t="s">
        <v>10493</v>
      </c>
      <c r="E2030" s="265" t="s">
        <v>10655</v>
      </c>
      <c r="F2030" s="272" t="s">
        <v>9198</v>
      </c>
      <c r="G2030" s="272" t="s">
        <v>9197</v>
      </c>
      <c r="H2030" s="265" t="s">
        <v>10911</v>
      </c>
      <c r="I2030" s="290" t="s">
        <v>10912</v>
      </c>
      <c r="J2030" s="265" t="s">
        <v>10655</v>
      </c>
      <c r="K2030" s="265" t="s">
        <v>10655</v>
      </c>
    </row>
    <row r="2031" spans="1:11" s="75" customFormat="1" ht="14.55" customHeight="1" x14ac:dyDescent="0.25">
      <c r="A2031" s="272" t="s">
        <v>8816</v>
      </c>
      <c r="B2031" s="272" t="s">
        <v>10591</v>
      </c>
      <c r="C2031" s="272" t="s">
        <v>10494</v>
      </c>
      <c r="D2031" s="259" t="s">
        <v>10495</v>
      </c>
      <c r="E2031" s="265" t="s">
        <v>10655</v>
      </c>
      <c r="F2031" s="272" t="s">
        <v>9198</v>
      </c>
      <c r="G2031" s="272" t="s">
        <v>9197</v>
      </c>
      <c r="H2031" s="265" t="s">
        <v>11034</v>
      </c>
      <c r="I2031" s="290" t="s">
        <v>11035</v>
      </c>
      <c r="J2031" s="265" t="s">
        <v>10655</v>
      </c>
      <c r="K2031" s="265" t="s">
        <v>10655</v>
      </c>
    </row>
    <row r="2032" spans="1:11" s="75" customFormat="1" ht="14.55" customHeight="1" x14ac:dyDescent="0.25">
      <c r="A2032" s="272" t="s">
        <v>8816</v>
      </c>
      <c r="B2032" s="272" t="s">
        <v>10591</v>
      </c>
      <c r="C2032" s="272" t="s">
        <v>10494</v>
      </c>
      <c r="D2032" s="259" t="s">
        <v>10495</v>
      </c>
      <c r="E2032" s="265" t="s">
        <v>10655</v>
      </c>
      <c r="F2032" s="272" t="s">
        <v>9198</v>
      </c>
      <c r="G2032" s="272" t="s">
        <v>9197</v>
      </c>
      <c r="H2032" s="265" t="s">
        <v>10911</v>
      </c>
      <c r="I2032" s="290" t="s">
        <v>10912</v>
      </c>
      <c r="J2032" s="265" t="s">
        <v>10655</v>
      </c>
      <c r="K2032" s="265" t="s">
        <v>10655</v>
      </c>
    </row>
    <row r="2033" spans="1:11" s="75" customFormat="1" ht="14.55" customHeight="1" x14ac:dyDescent="0.25">
      <c r="A2033" s="272" t="s">
        <v>8816</v>
      </c>
      <c r="B2033" s="272" t="s">
        <v>10591</v>
      </c>
      <c r="C2033" s="272" t="s">
        <v>10496</v>
      </c>
      <c r="D2033" s="259" t="s">
        <v>10497</v>
      </c>
      <c r="E2033" s="265" t="s">
        <v>10655</v>
      </c>
      <c r="F2033" s="272" t="s">
        <v>9198</v>
      </c>
      <c r="G2033" s="272" t="s">
        <v>9197</v>
      </c>
      <c r="H2033" s="265" t="s">
        <v>11036</v>
      </c>
      <c r="I2033" s="290" t="s">
        <v>11037</v>
      </c>
      <c r="J2033" s="265" t="s">
        <v>10655</v>
      </c>
      <c r="K2033" s="265" t="s">
        <v>10655</v>
      </c>
    </row>
    <row r="2034" spans="1:11" s="75" customFormat="1" ht="14.55" customHeight="1" x14ac:dyDescent="0.25">
      <c r="A2034" s="272" t="s">
        <v>8816</v>
      </c>
      <c r="B2034" s="272" t="s">
        <v>10591</v>
      </c>
      <c r="C2034" s="272" t="s">
        <v>10496</v>
      </c>
      <c r="D2034" s="259" t="s">
        <v>10497</v>
      </c>
      <c r="E2034" s="265" t="s">
        <v>10655</v>
      </c>
      <c r="F2034" s="272" t="s">
        <v>9198</v>
      </c>
      <c r="G2034" s="272" t="s">
        <v>9197</v>
      </c>
      <c r="H2034" s="265" t="s">
        <v>11038</v>
      </c>
      <c r="I2034" s="290" t="s">
        <v>11039</v>
      </c>
      <c r="J2034" s="265" t="s">
        <v>10655</v>
      </c>
      <c r="K2034" s="265" t="s">
        <v>10655</v>
      </c>
    </row>
    <row r="2035" spans="1:11" s="75" customFormat="1" ht="14.55" customHeight="1" x14ac:dyDescent="0.25">
      <c r="A2035" s="272" t="s">
        <v>8816</v>
      </c>
      <c r="B2035" s="272" t="s">
        <v>10591</v>
      </c>
      <c r="C2035" s="272" t="s">
        <v>10496</v>
      </c>
      <c r="D2035" s="259" t="s">
        <v>10497</v>
      </c>
      <c r="E2035" s="265" t="s">
        <v>10655</v>
      </c>
      <c r="F2035" s="272" t="s">
        <v>9198</v>
      </c>
      <c r="G2035" s="272" t="s">
        <v>9197</v>
      </c>
      <c r="H2035" s="265" t="s">
        <v>11034</v>
      </c>
      <c r="I2035" s="290" t="s">
        <v>11035</v>
      </c>
      <c r="J2035" s="265" t="s">
        <v>10655</v>
      </c>
      <c r="K2035" s="265" t="s">
        <v>10655</v>
      </c>
    </row>
    <row r="2036" spans="1:11" s="75" customFormat="1" ht="14.55" customHeight="1" x14ac:dyDescent="0.25">
      <c r="A2036" s="272" t="s">
        <v>8816</v>
      </c>
      <c r="B2036" s="272" t="s">
        <v>10591</v>
      </c>
      <c r="C2036" s="272" t="s">
        <v>10498</v>
      </c>
      <c r="D2036" s="259" t="s">
        <v>10499</v>
      </c>
      <c r="E2036" s="265" t="s">
        <v>10655</v>
      </c>
      <c r="F2036" s="272" t="s">
        <v>9198</v>
      </c>
      <c r="G2036" s="272" t="s">
        <v>9197</v>
      </c>
      <c r="H2036" s="265" t="s">
        <v>11036</v>
      </c>
      <c r="I2036" s="290" t="s">
        <v>11037</v>
      </c>
      <c r="J2036" s="265" t="s">
        <v>10655</v>
      </c>
      <c r="K2036" s="265" t="s">
        <v>10655</v>
      </c>
    </row>
    <row r="2037" spans="1:11" s="75" customFormat="1" ht="14.55" customHeight="1" x14ac:dyDescent="0.25">
      <c r="A2037" s="272" t="s">
        <v>8816</v>
      </c>
      <c r="B2037" s="272" t="s">
        <v>10591</v>
      </c>
      <c r="C2037" s="272" t="s">
        <v>10498</v>
      </c>
      <c r="D2037" s="259" t="s">
        <v>10499</v>
      </c>
      <c r="E2037" s="265" t="s">
        <v>10655</v>
      </c>
      <c r="F2037" s="272" t="s">
        <v>9198</v>
      </c>
      <c r="G2037" s="272" t="s">
        <v>9197</v>
      </c>
      <c r="H2037" s="265" t="s">
        <v>11038</v>
      </c>
      <c r="I2037" s="290" t="s">
        <v>11039</v>
      </c>
      <c r="J2037" s="265" t="s">
        <v>10655</v>
      </c>
      <c r="K2037" s="265" t="s">
        <v>10655</v>
      </c>
    </row>
    <row r="2038" spans="1:11" s="75" customFormat="1" ht="14.55" customHeight="1" x14ac:dyDescent="0.25">
      <c r="A2038" s="272" t="s">
        <v>8816</v>
      </c>
      <c r="B2038" s="272" t="s">
        <v>10591</v>
      </c>
      <c r="C2038" s="272" t="s">
        <v>10498</v>
      </c>
      <c r="D2038" s="259" t="s">
        <v>10499</v>
      </c>
      <c r="E2038" s="265" t="s">
        <v>10655</v>
      </c>
      <c r="F2038" s="272" t="s">
        <v>9198</v>
      </c>
      <c r="G2038" s="272" t="s">
        <v>9197</v>
      </c>
      <c r="H2038" s="265" t="s">
        <v>11034</v>
      </c>
      <c r="I2038" s="290" t="s">
        <v>11035</v>
      </c>
      <c r="J2038" s="265" t="s">
        <v>10655</v>
      </c>
      <c r="K2038" s="265" t="s">
        <v>10655</v>
      </c>
    </row>
    <row r="2039" spans="1:11" s="75" customFormat="1" ht="14.55" customHeight="1" x14ac:dyDescent="0.25">
      <c r="A2039" s="272" t="s">
        <v>8816</v>
      </c>
      <c r="B2039" s="272" t="s">
        <v>10591</v>
      </c>
      <c r="C2039" s="272" t="s">
        <v>10500</v>
      </c>
      <c r="D2039" s="259" t="s">
        <v>10501</v>
      </c>
      <c r="E2039" s="265" t="s">
        <v>10655</v>
      </c>
      <c r="F2039" s="272" t="s">
        <v>9198</v>
      </c>
      <c r="G2039" s="272" t="s">
        <v>9198</v>
      </c>
      <c r="H2039" s="265" t="s">
        <v>11034</v>
      </c>
      <c r="I2039" s="290" t="s">
        <v>11035</v>
      </c>
      <c r="J2039" s="265" t="s">
        <v>10655</v>
      </c>
      <c r="K2039" s="265" t="s">
        <v>10655</v>
      </c>
    </row>
    <row r="2040" spans="1:11" s="75" customFormat="1" ht="14.55" customHeight="1" x14ac:dyDescent="0.25">
      <c r="A2040" s="272" t="s">
        <v>8816</v>
      </c>
      <c r="B2040" s="272" t="s">
        <v>10591</v>
      </c>
      <c r="C2040" s="272" t="s">
        <v>10500</v>
      </c>
      <c r="D2040" s="259" t="s">
        <v>10501</v>
      </c>
      <c r="E2040" s="265" t="s">
        <v>10655</v>
      </c>
      <c r="F2040" s="272" t="s">
        <v>9198</v>
      </c>
      <c r="G2040" s="272" t="s">
        <v>9198</v>
      </c>
      <c r="H2040" s="265" t="s">
        <v>11036</v>
      </c>
      <c r="I2040" s="290" t="s">
        <v>11037</v>
      </c>
      <c r="J2040" s="265" t="s">
        <v>10655</v>
      </c>
      <c r="K2040" s="265" t="s">
        <v>10655</v>
      </c>
    </row>
    <row r="2041" spans="1:11" s="75" customFormat="1" ht="14.55" customHeight="1" x14ac:dyDescent="0.25">
      <c r="A2041" s="272" t="s">
        <v>8816</v>
      </c>
      <c r="B2041" s="272" t="s">
        <v>10591</v>
      </c>
      <c r="C2041" s="272" t="s">
        <v>10500</v>
      </c>
      <c r="D2041" s="259" t="s">
        <v>10501</v>
      </c>
      <c r="E2041" s="265" t="s">
        <v>10655</v>
      </c>
      <c r="F2041" s="272" t="s">
        <v>9198</v>
      </c>
      <c r="G2041" s="272" t="s">
        <v>9198</v>
      </c>
      <c r="H2041" s="265" t="s">
        <v>11038</v>
      </c>
      <c r="I2041" s="290" t="s">
        <v>11039</v>
      </c>
      <c r="J2041" s="265" t="s">
        <v>10655</v>
      </c>
      <c r="K2041" s="265" t="s">
        <v>10655</v>
      </c>
    </row>
    <row r="2042" spans="1:11" s="75" customFormat="1" ht="14.55" customHeight="1" x14ac:dyDescent="0.25">
      <c r="A2042" s="272" t="s">
        <v>8816</v>
      </c>
      <c r="B2042" s="272" t="s">
        <v>10591</v>
      </c>
      <c r="C2042" s="272" t="s">
        <v>10502</v>
      </c>
      <c r="D2042" s="259" t="s">
        <v>10503</v>
      </c>
      <c r="E2042" s="265" t="s">
        <v>10655</v>
      </c>
      <c r="F2042" s="272" t="s">
        <v>9198</v>
      </c>
      <c r="G2042" s="272" t="s">
        <v>9197</v>
      </c>
      <c r="H2042" s="265" t="s">
        <v>11034</v>
      </c>
      <c r="I2042" s="290" t="s">
        <v>11035</v>
      </c>
      <c r="J2042" s="265" t="s">
        <v>10655</v>
      </c>
      <c r="K2042" s="265" t="s">
        <v>10655</v>
      </c>
    </row>
    <row r="2043" spans="1:11" s="75" customFormat="1" ht="14.55" customHeight="1" x14ac:dyDescent="0.25">
      <c r="A2043" s="272" t="s">
        <v>8816</v>
      </c>
      <c r="B2043" s="272" t="s">
        <v>10591</v>
      </c>
      <c r="C2043" s="272" t="s">
        <v>10502</v>
      </c>
      <c r="D2043" s="259" t="s">
        <v>10503</v>
      </c>
      <c r="E2043" s="265" t="s">
        <v>10655</v>
      </c>
      <c r="F2043" s="272" t="s">
        <v>9198</v>
      </c>
      <c r="G2043" s="272" t="s">
        <v>9197</v>
      </c>
      <c r="H2043" s="265" t="s">
        <v>10911</v>
      </c>
      <c r="I2043" s="290" t="s">
        <v>10912</v>
      </c>
      <c r="J2043" s="265" t="s">
        <v>10655</v>
      </c>
      <c r="K2043" s="265" t="s">
        <v>10655</v>
      </c>
    </row>
    <row r="2044" spans="1:11" s="75" customFormat="1" ht="14.55" customHeight="1" x14ac:dyDescent="0.25">
      <c r="A2044" s="272" t="s">
        <v>8816</v>
      </c>
      <c r="B2044" s="272" t="s">
        <v>10591</v>
      </c>
      <c r="C2044" s="272" t="s">
        <v>10504</v>
      </c>
      <c r="D2044" s="259" t="s">
        <v>10505</v>
      </c>
      <c r="E2044" s="265" t="s">
        <v>10655</v>
      </c>
      <c r="F2044" s="272" t="s">
        <v>9198</v>
      </c>
      <c r="G2044" s="272" t="s">
        <v>9197</v>
      </c>
      <c r="H2044" s="265" t="s">
        <v>10911</v>
      </c>
      <c r="I2044" s="290" t="s">
        <v>10912</v>
      </c>
      <c r="J2044" s="265" t="s">
        <v>10655</v>
      </c>
      <c r="K2044" s="265" t="s">
        <v>10655</v>
      </c>
    </row>
    <row r="2045" spans="1:11" s="75" customFormat="1" ht="14.55" customHeight="1" x14ac:dyDescent="0.25">
      <c r="A2045" s="272" t="s">
        <v>8816</v>
      </c>
      <c r="B2045" s="272" t="s">
        <v>10591</v>
      </c>
      <c r="C2045" s="272" t="s">
        <v>10506</v>
      </c>
      <c r="D2045" s="259" t="s">
        <v>10507</v>
      </c>
      <c r="E2045" s="265" t="s">
        <v>10655</v>
      </c>
      <c r="F2045" s="272" t="s">
        <v>9198</v>
      </c>
      <c r="G2045" s="272" t="s">
        <v>9197</v>
      </c>
      <c r="H2045" s="265" t="s">
        <v>10911</v>
      </c>
      <c r="I2045" s="290" t="s">
        <v>10912</v>
      </c>
      <c r="J2045" s="265" t="s">
        <v>10655</v>
      </c>
      <c r="K2045" s="265" t="s">
        <v>10655</v>
      </c>
    </row>
    <row r="2046" spans="1:11" s="75" customFormat="1" ht="14.55" customHeight="1" x14ac:dyDescent="0.25">
      <c r="A2046" s="272" t="s">
        <v>8816</v>
      </c>
      <c r="B2046" s="272" t="s">
        <v>10591</v>
      </c>
      <c r="C2046" s="272" t="s">
        <v>10508</v>
      </c>
      <c r="D2046" s="259" t="s">
        <v>10509</v>
      </c>
      <c r="E2046" s="265" t="s">
        <v>10655</v>
      </c>
      <c r="F2046" s="272" t="s">
        <v>9198</v>
      </c>
      <c r="G2046" s="272" t="s">
        <v>9197</v>
      </c>
      <c r="H2046" s="265" t="s">
        <v>10906</v>
      </c>
      <c r="I2046" s="290" t="s">
        <v>10907</v>
      </c>
      <c r="J2046" s="265" t="s">
        <v>10655</v>
      </c>
      <c r="K2046" s="265" t="s">
        <v>10655</v>
      </c>
    </row>
    <row r="2047" spans="1:11" s="75" customFormat="1" ht="14.55" customHeight="1" x14ac:dyDescent="0.25">
      <c r="A2047" s="272" t="s">
        <v>8816</v>
      </c>
      <c r="B2047" s="272" t="s">
        <v>10591</v>
      </c>
      <c r="C2047" s="272" t="s">
        <v>10508</v>
      </c>
      <c r="D2047" s="259" t="s">
        <v>10509</v>
      </c>
      <c r="E2047" s="265" t="s">
        <v>10655</v>
      </c>
      <c r="F2047" s="272" t="s">
        <v>9198</v>
      </c>
      <c r="G2047" s="272" t="s">
        <v>9197</v>
      </c>
      <c r="H2047" s="265" t="s">
        <v>11034</v>
      </c>
      <c r="I2047" s="290" t="s">
        <v>11035</v>
      </c>
      <c r="J2047" s="265" t="s">
        <v>10655</v>
      </c>
      <c r="K2047" s="265" t="s">
        <v>10655</v>
      </c>
    </row>
    <row r="2048" spans="1:11" s="75" customFormat="1" ht="14.55" customHeight="1" x14ac:dyDescent="0.25">
      <c r="A2048" s="272" t="s">
        <v>8816</v>
      </c>
      <c r="B2048" s="272" t="s">
        <v>10591</v>
      </c>
      <c r="C2048" s="272" t="s">
        <v>10508</v>
      </c>
      <c r="D2048" s="259" t="s">
        <v>10509</v>
      </c>
      <c r="E2048" s="265" t="s">
        <v>10655</v>
      </c>
      <c r="F2048" s="272" t="s">
        <v>9198</v>
      </c>
      <c r="G2048" s="272" t="s">
        <v>9197</v>
      </c>
      <c r="H2048" s="265" t="s">
        <v>10908</v>
      </c>
      <c r="I2048" s="290" t="s">
        <v>10909</v>
      </c>
      <c r="J2048" s="265" t="s">
        <v>10655</v>
      </c>
      <c r="K2048" s="265" t="s">
        <v>10655</v>
      </c>
    </row>
    <row r="2049" spans="1:11" s="75" customFormat="1" ht="14.55" customHeight="1" x14ac:dyDescent="0.25">
      <c r="A2049" s="272" t="s">
        <v>8816</v>
      </c>
      <c r="B2049" s="272" t="s">
        <v>10591</v>
      </c>
      <c r="C2049" s="272" t="s">
        <v>10510</v>
      </c>
      <c r="D2049" s="259" t="s">
        <v>10511</v>
      </c>
      <c r="E2049" s="265" t="s">
        <v>10655</v>
      </c>
      <c r="F2049" s="272" t="s">
        <v>9198</v>
      </c>
      <c r="G2049" s="272" t="s">
        <v>9197</v>
      </c>
      <c r="H2049" s="265" t="s">
        <v>11040</v>
      </c>
      <c r="I2049" s="290" t="s">
        <v>11041</v>
      </c>
      <c r="J2049" s="265" t="s">
        <v>10655</v>
      </c>
      <c r="K2049" s="265" t="s">
        <v>10655</v>
      </c>
    </row>
    <row r="2050" spans="1:11" s="75" customFormat="1" ht="14.55" customHeight="1" x14ac:dyDescent="0.25">
      <c r="A2050" s="272" t="s">
        <v>8816</v>
      </c>
      <c r="B2050" s="272" t="s">
        <v>10591</v>
      </c>
      <c r="C2050" s="272" t="s">
        <v>10510</v>
      </c>
      <c r="D2050" s="259" t="s">
        <v>10511</v>
      </c>
      <c r="E2050" s="265" t="s">
        <v>10655</v>
      </c>
      <c r="F2050" s="272" t="s">
        <v>9198</v>
      </c>
      <c r="G2050" s="272" t="s">
        <v>9197</v>
      </c>
      <c r="H2050" s="265" t="s">
        <v>10962</v>
      </c>
      <c r="I2050" s="290" t="s">
        <v>10963</v>
      </c>
      <c r="J2050" s="265" t="s">
        <v>10655</v>
      </c>
      <c r="K2050" s="265" t="s">
        <v>10655</v>
      </c>
    </row>
    <row r="2051" spans="1:11" s="75" customFormat="1" ht="14.55" customHeight="1" x14ac:dyDescent="0.25">
      <c r="A2051" s="272" t="s">
        <v>8816</v>
      </c>
      <c r="B2051" s="272" t="s">
        <v>10591</v>
      </c>
      <c r="C2051" s="272" t="s">
        <v>10510</v>
      </c>
      <c r="D2051" s="259" t="s">
        <v>10511</v>
      </c>
      <c r="E2051" s="265" t="s">
        <v>10655</v>
      </c>
      <c r="F2051" s="272" t="s">
        <v>9198</v>
      </c>
      <c r="G2051" s="272" t="s">
        <v>9197</v>
      </c>
      <c r="H2051" s="265" t="s">
        <v>11016</v>
      </c>
      <c r="I2051" s="290" t="s">
        <v>11017</v>
      </c>
      <c r="J2051" s="265" t="s">
        <v>10655</v>
      </c>
      <c r="K2051" s="265" t="s">
        <v>10655</v>
      </c>
    </row>
    <row r="2052" spans="1:11" s="75" customFormat="1" ht="14.55" customHeight="1" x14ac:dyDescent="0.25">
      <c r="A2052" s="272" t="s">
        <v>8816</v>
      </c>
      <c r="B2052" s="272" t="s">
        <v>10591</v>
      </c>
      <c r="C2052" s="272" t="s">
        <v>10510</v>
      </c>
      <c r="D2052" s="259" t="s">
        <v>10511</v>
      </c>
      <c r="E2052" s="265" t="s">
        <v>10655</v>
      </c>
      <c r="F2052" s="272" t="s">
        <v>9198</v>
      </c>
      <c r="G2052" s="272" t="s">
        <v>9197</v>
      </c>
      <c r="H2052" s="265" t="s">
        <v>11018</v>
      </c>
      <c r="I2052" s="290" t="s">
        <v>11019</v>
      </c>
      <c r="J2052" s="265" t="s">
        <v>10655</v>
      </c>
      <c r="K2052" s="265" t="s">
        <v>10655</v>
      </c>
    </row>
    <row r="2053" spans="1:11" s="75" customFormat="1" ht="14.55" customHeight="1" x14ac:dyDescent="0.25">
      <c r="A2053" s="272" t="s">
        <v>8816</v>
      </c>
      <c r="B2053" s="272" t="s">
        <v>10591</v>
      </c>
      <c r="C2053" s="272" t="s">
        <v>10510</v>
      </c>
      <c r="D2053" s="259" t="s">
        <v>10511</v>
      </c>
      <c r="E2053" s="265" t="s">
        <v>10655</v>
      </c>
      <c r="F2053" s="272" t="s">
        <v>9198</v>
      </c>
      <c r="G2053" s="272" t="s">
        <v>9197</v>
      </c>
      <c r="H2053" s="265" t="s">
        <v>10955</v>
      </c>
      <c r="I2053" s="290" t="s">
        <v>10956</v>
      </c>
      <c r="J2053" s="265" t="s">
        <v>10655</v>
      </c>
      <c r="K2053" s="265" t="s">
        <v>10655</v>
      </c>
    </row>
    <row r="2054" spans="1:11" s="75" customFormat="1" ht="14.55" customHeight="1" x14ac:dyDescent="0.25">
      <c r="A2054" s="272" t="s">
        <v>8816</v>
      </c>
      <c r="B2054" s="272" t="s">
        <v>10591</v>
      </c>
      <c r="C2054" s="272" t="s">
        <v>10510</v>
      </c>
      <c r="D2054" s="259" t="s">
        <v>10511</v>
      </c>
      <c r="E2054" s="265" t="s">
        <v>10655</v>
      </c>
      <c r="F2054" s="272" t="s">
        <v>9198</v>
      </c>
      <c r="G2054" s="272" t="s">
        <v>9197</v>
      </c>
      <c r="H2054" s="265" t="s">
        <v>10957</v>
      </c>
      <c r="I2054" s="290" t="s">
        <v>10958</v>
      </c>
      <c r="J2054" s="265" t="s">
        <v>10655</v>
      </c>
      <c r="K2054" s="265" t="s">
        <v>10655</v>
      </c>
    </row>
    <row r="2055" spans="1:11" s="75" customFormat="1" ht="14.55" customHeight="1" x14ac:dyDescent="0.25">
      <c r="A2055" s="272" t="s">
        <v>8816</v>
      </c>
      <c r="B2055" s="272" t="s">
        <v>10591</v>
      </c>
      <c r="C2055" s="272" t="s">
        <v>10510</v>
      </c>
      <c r="D2055" s="259" t="s">
        <v>10511</v>
      </c>
      <c r="E2055" s="265" t="s">
        <v>10655</v>
      </c>
      <c r="F2055" s="272" t="s">
        <v>9198</v>
      </c>
      <c r="G2055" s="272" t="s">
        <v>9197</v>
      </c>
      <c r="H2055" s="265" t="s">
        <v>10959</v>
      </c>
      <c r="I2055" s="290" t="s">
        <v>10958</v>
      </c>
      <c r="J2055" s="265" t="s">
        <v>10655</v>
      </c>
      <c r="K2055" s="265" t="s">
        <v>10655</v>
      </c>
    </row>
    <row r="2056" spans="1:11" s="75" customFormat="1" ht="14.55" customHeight="1" x14ac:dyDescent="0.25">
      <c r="A2056" s="272" t="s">
        <v>8816</v>
      </c>
      <c r="B2056" s="272" t="s">
        <v>10591</v>
      </c>
      <c r="C2056" s="272" t="s">
        <v>10510</v>
      </c>
      <c r="D2056" s="259" t="s">
        <v>10511</v>
      </c>
      <c r="E2056" s="265" t="s">
        <v>10655</v>
      </c>
      <c r="F2056" s="272" t="s">
        <v>9198</v>
      </c>
      <c r="G2056" s="272" t="s">
        <v>9197</v>
      </c>
      <c r="H2056" s="265" t="s">
        <v>11020</v>
      </c>
      <c r="I2056" s="290" t="s">
        <v>11021</v>
      </c>
      <c r="J2056" s="265" t="s">
        <v>10655</v>
      </c>
      <c r="K2056" s="265" t="s">
        <v>10655</v>
      </c>
    </row>
    <row r="2057" spans="1:11" s="75" customFormat="1" ht="14.55" customHeight="1" x14ac:dyDescent="0.25">
      <c r="A2057" s="272" t="s">
        <v>8816</v>
      </c>
      <c r="B2057" s="272" t="s">
        <v>10591</v>
      </c>
      <c r="C2057" s="272" t="s">
        <v>10510</v>
      </c>
      <c r="D2057" s="259" t="s">
        <v>10511</v>
      </c>
      <c r="E2057" s="265" t="s">
        <v>10655</v>
      </c>
      <c r="F2057" s="272" t="s">
        <v>9198</v>
      </c>
      <c r="G2057" s="272" t="s">
        <v>9197</v>
      </c>
      <c r="H2057" s="265" t="s">
        <v>11022</v>
      </c>
      <c r="I2057" s="290" t="s">
        <v>11023</v>
      </c>
      <c r="J2057" s="265" t="s">
        <v>10655</v>
      </c>
      <c r="K2057" s="265" t="s">
        <v>10655</v>
      </c>
    </row>
    <row r="2058" spans="1:11" s="75" customFormat="1" ht="14.55" customHeight="1" x14ac:dyDescent="0.25">
      <c r="A2058" s="272" t="s">
        <v>8816</v>
      </c>
      <c r="B2058" s="272" t="s">
        <v>10591</v>
      </c>
      <c r="C2058" s="272" t="s">
        <v>10510</v>
      </c>
      <c r="D2058" s="259" t="s">
        <v>10511</v>
      </c>
      <c r="E2058" s="265" t="s">
        <v>10655</v>
      </c>
      <c r="F2058" s="272" t="s">
        <v>9198</v>
      </c>
      <c r="G2058" s="272" t="s">
        <v>9197</v>
      </c>
      <c r="H2058" s="265" t="s">
        <v>10960</v>
      </c>
      <c r="I2058" s="290" t="s">
        <v>10961</v>
      </c>
      <c r="J2058" s="265" t="s">
        <v>10655</v>
      </c>
      <c r="K2058" s="265" t="s">
        <v>10655</v>
      </c>
    </row>
    <row r="2059" spans="1:11" s="75" customFormat="1" ht="14.55" customHeight="1" x14ac:dyDescent="0.25">
      <c r="A2059" s="272" t="s">
        <v>8816</v>
      </c>
      <c r="B2059" s="272" t="s">
        <v>10591</v>
      </c>
      <c r="C2059" s="272" t="s">
        <v>10512</v>
      </c>
      <c r="D2059" s="259" t="s">
        <v>10513</v>
      </c>
      <c r="E2059" s="265" t="s">
        <v>10655</v>
      </c>
      <c r="F2059" s="272" t="s">
        <v>9198</v>
      </c>
      <c r="G2059" s="272" t="s">
        <v>9197</v>
      </c>
      <c r="H2059" s="265" t="s">
        <v>11042</v>
      </c>
      <c r="I2059" s="290" t="s">
        <v>11043</v>
      </c>
      <c r="J2059" s="265" t="s">
        <v>10655</v>
      </c>
      <c r="K2059" s="265" t="s">
        <v>10655</v>
      </c>
    </row>
    <row r="2060" spans="1:11" s="75" customFormat="1" ht="14.55" customHeight="1" x14ac:dyDescent="0.25">
      <c r="A2060" s="272" t="s">
        <v>8816</v>
      </c>
      <c r="B2060" s="272" t="s">
        <v>10591</v>
      </c>
      <c r="C2060" s="272" t="s">
        <v>10514</v>
      </c>
      <c r="D2060" s="259" t="s">
        <v>10515</v>
      </c>
      <c r="E2060" s="265" t="s">
        <v>10655</v>
      </c>
      <c r="F2060" s="272" t="s">
        <v>9198</v>
      </c>
      <c r="G2060" s="272" t="s">
        <v>9197</v>
      </c>
      <c r="H2060" s="265" t="s">
        <v>10906</v>
      </c>
      <c r="I2060" s="290" t="s">
        <v>10907</v>
      </c>
      <c r="J2060" s="265" t="s">
        <v>10655</v>
      </c>
      <c r="K2060" s="265" t="s">
        <v>10655</v>
      </c>
    </row>
    <row r="2061" spans="1:11" s="75" customFormat="1" ht="14.55" customHeight="1" x14ac:dyDescent="0.25">
      <c r="A2061" s="272" t="s">
        <v>8816</v>
      </c>
      <c r="B2061" s="272" t="s">
        <v>10591</v>
      </c>
      <c r="C2061" s="272" t="s">
        <v>10514</v>
      </c>
      <c r="D2061" s="259" t="s">
        <v>10515</v>
      </c>
      <c r="E2061" s="265" t="s">
        <v>10655</v>
      </c>
      <c r="F2061" s="272" t="s">
        <v>9198</v>
      </c>
      <c r="G2061" s="272" t="s">
        <v>9197</v>
      </c>
      <c r="H2061" s="265" t="s">
        <v>10908</v>
      </c>
      <c r="I2061" s="290" t="s">
        <v>10909</v>
      </c>
      <c r="J2061" s="265" t="s">
        <v>10655</v>
      </c>
      <c r="K2061" s="265" t="s">
        <v>10655</v>
      </c>
    </row>
    <row r="2062" spans="1:11" s="75" customFormat="1" ht="14.55" customHeight="1" x14ac:dyDescent="0.25">
      <c r="A2062" s="272" t="s">
        <v>8816</v>
      </c>
      <c r="B2062" s="272" t="s">
        <v>10591</v>
      </c>
      <c r="C2062" s="272" t="s">
        <v>10514</v>
      </c>
      <c r="D2062" s="259" t="s">
        <v>10515</v>
      </c>
      <c r="E2062" s="265" t="s">
        <v>10655</v>
      </c>
      <c r="F2062" s="272" t="s">
        <v>9198</v>
      </c>
      <c r="G2062" s="272" t="s">
        <v>9197</v>
      </c>
      <c r="H2062" s="265" t="s">
        <v>10897</v>
      </c>
      <c r="I2062" s="290" t="s">
        <v>10898</v>
      </c>
      <c r="J2062" s="265" t="s">
        <v>10655</v>
      </c>
      <c r="K2062" s="265" t="s">
        <v>10655</v>
      </c>
    </row>
    <row r="2063" spans="1:11" s="75" customFormat="1" ht="14.55" customHeight="1" x14ac:dyDescent="0.25">
      <c r="A2063" s="272" t="s">
        <v>8816</v>
      </c>
      <c r="B2063" s="272" t="s">
        <v>10591</v>
      </c>
      <c r="C2063" s="272" t="s">
        <v>10514</v>
      </c>
      <c r="D2063" s="259" t="s">
        <v>10515</v>
      </c>
      <c r="E2063" s="265" t="s">
        <v>10655</v>
      </c>
      <c r="F2063" s="272" t="s">
        <v>9198</v>
      </c>
      <c r="G2063" s="272" t="s">
        <v>9197</v>
      </c>
      <c r="H2063" s="265" t="s">
        <v>10873</v>
      </c>
      <c r="I2063" s="290" t="s">
        <v>10874</v>
      </c>
      <c r="J2063" s="265" t="s">
        <v>10655</v>
      </c>
      <c r="K2063" s="265" t="s">
        <v>10655</v>
      </c>
    </row>
    <row r="2064" spans="1:11" s="75" customFormat="1" ht="14.55" customHeight="1" x14ac:dyDescent="0.25">
      <c r="A2064" s="272" t="s">
        <v>8816</v>
      </c>
      <c r="B2064" s="272" t="s">
        <v>10591</v>
      </c>
      <c r="C2064" s="272" t="s">
        <v>10514</v>
      </c>
      <c r="D2064" s="259" t="s">
        <v>10515</v>
      </c>
      <c r="E2064" s="265" t="s">
        <v>10655</v>
      </c>
      <c r="F2064" s="272" t="s">
        <v>9198</v>
      </c>
      <c r="G2064" s="272" t="s">
        <v>9197</v>
      </c>
      <c r="H2064" s="265" t="s">
        <v>10875</v>
      </c>
      <c r="I2064" s="290" t="s">
        <v>10876</v>
      </c>
      <c r="J2064" s="265" t="s">
        <v>10655</v>
      </c>
      <c r="K2064" s="265" t="s">
        <v>10655</v>
      </c>
    </row>
    <row r="2065" spans="1:11" s="75" customFormat="1" ht="14.55" customHeight="1" x14ac:dyDescent="0.25">
      <c r="A2065" s="272" t="s">
        <v>8816</v>
      </c>
      <c r="B2065" s="272" t="s">
        <v>10591</v>
      </c>
      <c r="C2065" s="272" t="s">
        <v>10514</v>
      </c>
      <c r="D2065" s="259" t="s">
        <v>10515</v>
      </c>
      <c r="E2065" s="265" t="s">
        <v>10655</v>
      </c>
      <c r="F2065" s="272" t="s">
        <v>9198</v>
      </c>
      <c r="G2065" s="272" t="s">
        <v>9197</v>
      </c>
      <c r="H2065" s="265" t="s">
        <v>11032</v>
      </c>
      <c r="I2065" s="290" t="s">
        <v>11033</v>
      </c>
      <c r="J2065" s="265" t="s">
        <v>10655</v>
      </c>
      <c r="K2065" s="265" t="s">
        <v>10655</v>
      </c>
    </row>
    <row r="2066" spans="1:11" s="75" customFormat="1" ht="14.55" customHeight="1" x14ac:dyDescent="0.25">
      <c r="A2066" s="272" t="s">
        <v>8816</v>
      </c>
      <c r="B2066" s="272" t="s">
        <v>10591</v>
      </c>
      <c r="C2066" s="272" t="s">
        <v>10514</v>
      </c>
      <c r="D2066" s="259" t="s">
        <v>10515</v>
      </c>
      <c r="E2066" s="265" t="s">
        <v>10655</v>
      </c>
      <c r="F2066" s="272" t="s">
        <v>9198</v>
      </c>
      <c r="G2066" s="272" t="s">
        <v>9197</v>
      </c>
      <c r="H2066" s="265" t="s">
        <v>11000</v>
      </c>
      <c r="I2066" s="290" t="s">
        <v>11001</v>
      </c>
      <c r="J2066" s="265" t="s">
        <v>10655</v>
      </c>
      <c r="K2066" s="265" t="s">
        <v>10655</v>
      </c>
    </row>
    <row r="2067" spans="1:11" s="75" customFormat="1" ht="14.55" customHeight="1" x14ac:dyDescent="0.25">
      <c r="A2067" s="272" t="s">
        <v>8816</v>
      </c>
      <c r="B2067" s="272" t="s">
        <v>10591</v>
      </c>
      <c r="C2067" s="272" t="s">
        <v>10514</v>
      </c>
      <c r="D2067" s="259" t="s">
        <v>10515</v>
      </c>
      <c r="E2067" s="265" t="s">
        <v>10655</v>
      </c>
      <c r="F2067" s="272" t="s">
        <v>9198</v>
      </c>
      <c r="G2067" s="272" t="s">
        <v>9197</v>
      </c>
      <c r="H2067" s="265" t="s">
        <v>10960</v>
      </c>
      <c r="I2067" s="290" t="s">
        <v>10961</v>
      </c>
      <c r="J2067" s="265" t="s">
        <v>10655</v>
      </c>
      <c r="K2067" s="265" t="s">
        <v>10655</v>
      </c>
    </row>
    <row r="2068" spans="1:11" s="75" customFormat="1" ht="14.55" customHeight="1" x14ac:dyDescent="0.25">
      <c r="A2068" s="272" t="s">
        <v>8816</v>
      </c>
      <c r="B2068" s="272" t="s">
        <v>10591</v>
      </c>
      <c r="C2068" s="272" t="s">
        <v>10514</v>
      </c>
      <c r="D2068" s="259" t="s">
        <v>10515</v>
      </c>
      <c r="E2068" s="265" t="s">
        <v>10655</v>
      </c>
      <c r="F2068" s="272" t="s">
        <v>9198</v>
      </c>
      <c r="G2068" s="272" t="s">
        <v>9197</v>
      </c>
      <c r="H2068" s="265" t="s">
        <v>10911</v>
      </c>
      <c r="I2068" s="290" t="s">
        <v>10912</v>
      </c>
      <c r="J2068" s="265" t="s">
        <v>10655</v>
      </c>
      <c r="K2068" s="265" t="s">
        <v>10655</v>
      </c>
    </row>
    <row r="2069" spans="1:11" s="75" customFormat="1" ht="14.55" customHeight="1" x14ac:dyDescent="0.25">
      <c r="A2069" s="272" t="s">
        <v>8816</v>
      </c>
      <c r="B2069" s="272" t="s">
        <v>10591</v>
      </c>
      <c r="C2069" s="272" t="s">
        <v>10516</v>
      </c>
      <c r="D2069" s="259" t="s">
        <v>10517</v>
      </c>
      <c r="E2069" s="265" t="s">
        <v>10655</v>
      </c>
      <c r="F2069" s="272" t="s">
        <v>9198</v>
      </c>
      <c r="G2069" s="272" t="s">
        <v>9197</v>
      </c>
      <c r="H2069" s="265" t="s">
        <v>10906</v>
      </c>
      <c r="I2069" s="290" t="s">
        <v>10907</v>
      </c>
      <c r="J2069" s="265" t="s">
        <v>10655</v>
      </c>
      <c r="K2069" s="265" t="s">
        <v>10655</v>
      </c>
    </row>
    <row r="2070" spans="1:11" s="75" customFormat="1" ht="14.55" customHeight="1" x14ac:dyDescent="0.25">
      <c r="A2070" s="272" t="s">
        <v>8816</v>
      </c>
      <c r="B2070" s="272" t="s">
        <v>10591</v>
      </c>
      <c r="C2070" s="272" t="s">
        <v>10516</v>
      </c>
      <c r="D2070" s="259" t="s">
        <v>10517</v>
      </c>
      <c r="E2070" s="265" t="s">
        <v>10655</v>
      </c>
      <c r="F2070" s="272" t="s">
        <v>9198</v>
      </c>
      <c r="G2070" s="272" t="s">
        <v>9197</v>
      </c>
      <c r="H2070" s="265" t="s">
        <v>10908</v>
      </c>
      <c r="I2070" s="290" t="s">
        <v>10909</v>
      </c>
      <c r="J2070" s="265" t="s">
        <v>10655</v>
      </c>
      <c r="K2070" s="265" t="s">
        <v>10655</v>
      </c>
    </row>
    <row r="2071" spans="1:11" s="75" customFormat="1" ht="14.55" customHeight="1" x14ac:dyDescent="0.25">
      <c r="A2071" s="272" t="s">
        <v>8816</v>
      </c>
      <c r="B2071" s="272" t="s">
        <v>10591</v>
      </c>
      <c r="C2071" s="272" t="s">
        <v>10516</v>
      </c>
      <c r="D2071" s="259" t="s">
        <v>10517</v>
      </c>
      <c r="E2071" s="265" t="s">
        <v>10655</v>
      </c>
      <c r="F2071" s="272" t="s">
        <v>9198</v>
      </c>
      <c r="G2071" s="272" t="s">
        <v>9197</v>
      </c>
      <c r="H2071" s="265" t="s">
        <v>10873</v>
      </c>
      <c r="I2071" s="290" t="s">
        <v>10874</v>
      </c>
      <c r="J2071" s="265" t="s">
        <v>10655</v>
      </c>
      <c r="K2071" s="265" t="s">
        <v>10655</v>
      </c>
    </row>
    <row r="2072" spans="1:11" s="75" customFormat="1" ht="14.55" customHeight="1" x14ac:dyDescent="0.25">
      <c r="A2072" s="272" t="s">
        <v>8816</v>
      </c>
      <c r="B2072" s="272" t="s">
        <v>10591</v>
      </c>
      <c r="C2072" s="272" t="s">
        <v>10516</v>
      </c>
      <c r="D2072" s="259" t="s">
        <v>10517</v>
      </c>
      <c r="E2072" s="265" t="s">
        <v>10655</v>
      </c>
      <c r="F2072" s="272" t="s">
        <v>9198</v>
      </c>
      <c r="G2072" s="272" t="s">
        <v>9197</v>
      </c>
      <c r="H2072" s="265" t="s">
        <v>10960</v>
      </c>
      <c r="I2072" s="290" t="s">
        <v>10961</v>
      </c>
      <c r="J2072" s="265" t="s">
        <v>10655</v>
      </c>
      <c r="K2072" s="265" t="s">
        <v>10655</v>
      </c>
    </row>
    <row r="2073" spans="1:11" s="75" customFormat="1" ht="14.55" customHeight="1" x14ac:dyDescent="0.25">
      <c r="A2073" s="272" t="s">
        <v>8816</v>
      </c>
      <c r="B2073" s="272" t="s">
        <v>10591</v>
      </c>
      <c r="C2073" s="272" t="s">
        <v>10518</v>
      </c>
      <c r="D2073" s="259" t="s">
        <v>10519</v>
      </c>
      <c r="E2073" s="265" t="s">
        <v>10655</v>
      </c>
      <c r="F2073" s="272" t="s">
        <v>9198</v>
      </c>
      <c r="G2073" s="272" t="s">
        <v>9197</v>
      </c>
      <c r="H2073" s="265" t="s">
        <v>10960</v>
      </c>
      <c r="I2073" s="290" t="s">
        <v>10961</v>
      </c>
      <c r="J2073" s="265" t="s">
        <v>10655</v>
      </c>
      <c r="K2073" s="265" t="s">
        <v>10655</v>
      </c>
    </row>
    <row r="2074" spans="1:11" s="75" customFormat="1" ht="14.55" customHeight="1" x14ac:dyDescent="0.25">
      <c r="A2074" s="272" t="s">
        <v>8816</v>
      </c>
      <c r="B2074" s="272" t="s">
        <v>10591</v>
      </c>
      <c r="C2074" s="272" t="s">
        <v>10520</v>
      </c>
      <c r="D2074" s="259" t="s">
        <v>10521</v>
      </c>
      <c r="E2074" s="265" t="s">
        <v>10655</v>
      </c>
      <c r="F2074" s="272" t="s">
        <v>9198</v>
      </c>
      <c r="G2074" s="272" t="s">
        <v>9197</v>
      </c>
      <c r="H2074" s="265" t="s">
        <v>10960</v>
      </c>
      <c r="I2074" s="290" t="s">
        <v>10961</v>
      </c>
      <c r="J2074" s="265" t="s">
        <v>10655</v>
      </c>
      <c r="K2074" s="265" t="s">
        <v>10655</v>
      </c>
    </row>
    <row r="2075" spans="1:11" s="75" customFormat="1" ht="14.55" customHeight="1" x14ac:dyDescent="0.25">
      <c r="A2075" s="272" t="s">
        <v>8816</v>
      </c>
      <c r="B2075" s="272" t="s">
        <v>10591</v>
      </c>
      <c r="C2075" s="272" t="s">
        <v>10522</v>
      </c>
      <c r="D2075" s="259" t="s">
        <v>10523</v>
      </c>
      <c r="E2075" s="265" t="s">
        <v>10655</v>
      </c>
      <c r="F2075" s="272" t="s">
        <v>9198</v>
      </c>
      <c r="G2075" s="272" t="s">
        <v>9197</v>
      </c>
      <c r="H2075" s="265" t="s">
        <v>10960</v>
      </c>
      <c r="I2075" s="290" t="s">
        <v>10961</v>
      </c>
      <c r="J2075" s="265" t="s">
        <v>10655</v>
      </c>
      <c r="K2075" s="265" t="s">
        <v>10655</v>
      </c>
    </row>
    <row r="2076" spans="1:11" s="75" customFormat="1" ht="14.55" customHeight="1" x14ac:dyDescent="0.25">
      <c r="A2076" s="272" t="s">
        <v>8816</v>
      </c>
      <c r="B2076" s="272" t="s">
        <v>10591</v>
      </c>
      <c r="C2076" s="272" t="s">
        <v>10524</v>
      </c>
      <c r="D2076" s="259" t="s">
        <v>10525</v>
      </c>
      <c r="E2076" s="265" t="s">
        <v>10655</v>
      </c>
      <c r="F2076" s="272" t="s">
        <v>9198</v>
      </c>
      <c r="G2076" s="272" t="s">
        <v>9197</v>
      </c>
      <c r="H2076" s="265" t="s">
        <v>10935</v>
      </c>
      <c r="I2076" s="290" t="s">
        <v>10936</v>
      </c>
      <c r="J2076" s="265" t="s">
        <v>10655</v>
      </c>
      <c r="K2076" s="265" t="s">
        <v>10655</v>
      </c>
    </row>
    <row r="2077" spans="1:11" s="75" customFormat="1" ht="14.55" customHeight="1" x14ac:dyDescent="0.25">
      <c r="A2077" s="272" t="s">
        <v>8816</v>
      </c>
      <c r="B2077" s="272" t="s">
        <v>10591</v>
      </c>
      <c r="C2077" s="272" t="s">
        <v>10524</v>
      </c>
      <c r="D2077" s="259" t="s">
        <v>10525</v>
      </c>
      <c r="E2077" s="265" t="s">
        <v>10655</v>
      </c>
      <c r="F2077" s="272" t="s">
        <v>9198</v>
      </c>
      <c r="G2077" s="272" t="s">
        <v>9197</v>
      </c>
      <c r="H2077" s="265" t="s">
        <v>11016</v>
      </c>
      <c r="I2077" s="290" t="s">
        <v>11017</v>
      </c>
      <c r="J2077" s="265" t="s">
        <v>10655</v>
      </c>
      <c r="K2077" s="265" t="s">
        <v>10655</v>
      </c>
    </row>
    <row r="2078" spans="1:11" s="75" customFormat="1" ht="14.55" customHeight="1" x14ac:dyDescent="0.25">
      <c r="A2078" s="272" t="s">
        <v>8816</v>
      </c>
      <c r="B2078" s="272" t="s">
        <v>10591</v>
      </c>
      <c r="C2078" s="272" t="s">
        <v>10524</v>
      </c>
      <c r="D2078" s="259" t="s">
        <v>10525</v>
      </c>
      <c r="E2078" s="265" t="s">
        <v>10655</v>
      </c>
      <c r="F2078" s="272" t="s">
        <v>9198</v>
      </c>
      <c r="G2078" s="272" t="s">
        <v>9197</v>
      </c>
      <c r="H2078" s="265" t="s">
        <v>10955</v>
      </c>
      <c r="I2078" s="290" t="s">
        <v>10956</v>
      </c>
      <c r="J2078" s="265" t="s">
        <v>10655</v>
      </c>
      <c r="K2078" s="265" t="s">
        <v>10655</v>
      </c>
    </row>
    <row r="2079" spans="1:11" s="75" customFormat="1" ht="14.55" customHeight="1" x14ac:dyDescent="0.25">
      <c r="A2079" s="272" t="s">
        <v>8816</v>
      </c>
      <c r="B2079" s="272" t="s">
        <v>10591</v>
      </c>
      <c r="C2079" s="272" t="s">
        <v>10524</v>
      </c>
      <c r="D2079" s="259" t="s">
        <v>10525</v>
      </c>
      <c r="E2079" s="265" t="s">
        <v>10655</v>
      </c>
      <c r="F2079" s="272" t="s">
        <v>9198</v>
      </c>
      <c r="G2079" s="272" t="s">
        <v>9197</v>
      </c>
      <c r="H2079" s="265" t="s">
        <v>10957</v>
      </c>
      <c r="I2079" s="290" t="s">
        <v>10958</v>
      </c>
      <c r="J2079" s="265" t="s">
        <v>10655</v>
      </c>
      <c r="K2079" s="265" t="s">
        <v>10655</v>
      </c>
    </row>
    <row r="2080" spans="1:11" s="75" customFormat="1" ht="14.55" customHeight="1" x14ac:dyDescent="0.25">
      <c r="A2080" s="272" t="s">
        <v>8816</v>
      </c>
      <c r="B2080" s="272" t="s">
        <v>10591</v>
      </c>
      <c r="C2080" s="272" t="s">
        <v>10524</v>
      </c>
      <c r="D2080" s="259" t="s">
        <v>10525</v>
      </c>
      <c r="E2080" s="265" t="s">
        <v>10655</v>
      </c>
      <c r="F2080" s="272" t="s">
        <v>9198</v>
      </c>
      <c r="G2080" s="272" t="s">
        <v>9197</v>
      </c>
      <c r="H2080" s="265" t="s">
        <v>11020</v>
      </c>
      <c r="I2080" s="290" t="s">
        <v>11021</v>
      </c>
      <c r="J2080" s="265" t="s">
        <v>10655</v>
      </c>
      <c r="K2080" s="265" t="s">
        <v>10655</v>
      </c>
    </row>
    <row r="2081" spans="1:11" s="75" customFormat="1" ht="14.55" customHeight="1" x14ac:dyDescent="0.25">
      <c r="A2081" s="272" t="s">
        <v>8816</v>
      </c>
      <c r="B2081" s="272" t="s">
        <v>10591</v>
      </c>
      <c r="C2081" s="272" t="s">
        <v>10524</v>
      </c>
      <c r="D2081" s="259" t="s">
        <v>10525</v>
      </c>
      <c r="E2081" s="265" t="s">
        <v>10655</v>
      </c>
      <c r="F2081" s="272" t="s">
        <v>9198</v>
      </c>
      <c r="G2081" s="272" t="s">
        <v>9197</v>
      </c>
      <c r="H2081" s="265" t="s">
        <v>10960</v>
      </c>
      <c r="I2081" s="290" t="s">
        <v>10961</v>
      </c>
      <c r="J2081" s="265" t="s">
        <v>10655</v>
      </c>
      <c r="K2081" s="265" t="s">
        <v>10655</v>
      </c>
    </row>
    <row r="2082" spans="1:11" s="75" customFormat="1" ht="14.55" customHeight="1" x14ac:dyDescent="0.25">
      <c r="A2082" s="272" t="s">
        <v>8816</v>
      </c>
      <c r="B2082" s="272" t="s">
        <v>10591</v>
      </c>
      <c r="C2082" s="272" t="s">
        <v>10526</v>
      </c>
      <c r="D2082" s="259" t="s">
        <v>10527</v>
      </c>
      <c r="E2082" s="265" t="s">
        <v>10655</v>
      </c>
      <c r="F2082" s="272" t="s">
        <v>9198</v>
      </c>
      <c r="G2082" s="272" t="s">
        <v>9197</v>
      </c>
      <c r="H2082" s="265" t="s">
        <v>11040</v>
      </c>
      <c r="I2082" s="290" t="s">
        <v>11041</v>
      </c>
      <c r="J2082" s="265" t="s">
        <v>10655</v>
      </c>
      <c r="K2082" s="265" t="s">
        <v>10655</v>
      </c>
    </row>
    <row r="2083" spans="1:11" s="75" customFormat="1" ht="14.55" customHeight="1" x14ac:dyDescent="0.25">
      <c r="A2083" s="272" t="s">
        <v>8816</v>
      </c>
      <c r="B2083" s="272" t="s">
        <v>10591</v>
      </c>
      <c r="C2083" s="272" t="s">
        <v>10526</v>
      </c>
      <c r="D2083" s="259" t="s">
        <v>10527</v>
      </c>
      <c r="E2083" s="265" t="s">
        <v>10655</v>
      </c>
      <c r="F2083" s="272" t="s">
        <v>9198</v>
      </c>
      <c r="G2083" s="272" t="s">
        <v>9197</v>
      </c>
      <c r="H2083" s="265" t="s">
        <v>10935</v>
      </c>
      <c r="I2083" s="290" t="s">
        <v>10936</v>
      </c>
      <c r="J2083" s="265" t="s">
        <v>10655</v>
      </c>
      <c r="K2083" s="265" t="s">
        <v>10655</v>
      </c>
    </row>
    <row r="2084" spans="1:11" s="75" customFormat="1" ht="14.55" customHeight="1" x14ac:dyDescent="0.25">
      <c r="A2084" s="272" t="s">
        <v>8816</v>
      </c>
      <c r="B2084" s="272" t="s">
        <v>10591</v>
      </c>
      <c r="C2084" s="272" t="s">
        <v>10526</v>
      </c>
      <c r="D2084" s="259" t="s">
        <v>10527</v>
      </c>
      <c r="E2084" s="265" t="s">
        <v>10655</v>
      </c>
      <c r="F2084" s="272" t="s">
        <v>9198</v>
      </c>
      <c r="G2084" s="272" t="s">
        <v>9197</v>
      </c>
      <c r="H2084" s="265" t="s">
        <v>10955</v>
      </c>
      <c r="I2084" s="290" t="s">
        <v>10956</v>
      </c>
      <c r="J2084" s="265" t="s">
        <v>10655</v>
      </c>
      <c r="K2084" s="265" t="s">
        <v>10655</v>
      </c>
    </row>
    <row r="2085" spans="1:11" s="75" customFormat="1" ht="14.55" customHeight="1" x14ac:dyDescent="0.25">
      <c r="A2085" s="272" t="s">
        <v>8816</v>
      </c>
      <c r="B2085" s="272" t="s">
        <v>10591</v>
      </c>
      <c r="C2085" s="272" t="s">
        <v>10526</v>
      </c>
      <c r="D2085" s="259" t="s">
        <v>10527</v>
      </c>
      <c r="E2085" s="265" t="s">
        <v>10655</v>
      </c>
      <c r="F2085" s="272" t="s">
        <v>9198</v>
      </c>
      <c r="G2085" s="272" t="s">
        <v>9197</v>
      </c>
      <c r="H2085" s="265" t="s">
        <v>10957</v>
      </c>
      <c r="I2085" s="290" t="s">
        <v>10958</v>
      </c>
      <c r="J2085" s="265" t="s">
        <v>10655</v>
      </c>
      <c r="K2085" s="265" t="s">
        <v>10655</v>
      </c>
    </row>
    <row r="2086" spans="1:11" s="75" customFormat="1" ht="14.55" customHeight="1" x14ac:dyDescent="0.25">
      <c r="A2086" s="272" t="s">
        <v>8816</v>
      </c>
      <c r="B2086" s="272" t="s">
        <v>10591</v>
      </c>
      <c r="C2086" s="272" t="s">
        <v>10526</v>
      </c>
      <c r="D2086" s="259" t="s">
        <v>10527</v>
      </c>
      <c r="E2086" s="265" t="s">
        <v>10655</v>
      </c>
      <c r="F2086" s="272" t="s">
        <v>9198</v>
      </c>
      <c r="G2086" s="272" t="s">
        <v>9197</v>
      </c>
      <c r="H2086" s="265" t="s">
        <v>10959</v>
      </c>
      <c r="I2086" s="290" t="s">
        <v>10958</v>
      </c>
      <c r="J2086" s="265" t="s">
        <v>10655</v>
      </c>
      <c r="K2086" s="265" t="s">
        <v>10655</v>
      </c>
    </row>
    <row r="2087" spans="1:11" s="75" customFormat="1" ht="14.55" customHeight="1" x14ac:dyDescent="0.25">
      <c r="A2087" s="272" t="s">
        <v>8816</v>
      </c>
      <c r="B2087" s="272" t="s">
        <v>10591</v>
      </c>
      <c r="C2087" s="272" t="s">
        <v>10526</v>
      </c>
      <c r="D2087" s="259" t="s">
        <v>10527</v>
      </c>
      <c r="E2087" s="265" t="s">
        <v>10655</v>
      </c>
      <c r="F2087" s="272" t="s">
        <v>9198</v>
      </c>
      <c r="G2087" s="272" t="s">
        <v>9197</v>
      </c>
      <c r="H2087" s="265" t="s">
        <v>10960</v>
      </c>
      <c r="I2087" s="290" t="s">
        <v>10961</v>
      </c>
      <c r="J2087" s="265" t="s">
        <v>10655</v>
      </c>
      <c r="K2087" s="265" t="s">
        <v>10655</v>
      </c>
    </row>
    <row r="2088" spans="1:11" s="75" customFormat="1" ht="14.55" customHeight="1" x14ac:dyDescent="0.25">
      <c r="A2088" s="272" t="s">
        <v>8816</v>
      </c>
      <c r="B2088" s="272" t="s">
        <v>10591</v>
      </c>
      <c r="C2088" s="272" t="s">
        <v>10528</v>
      </c>
      <c r="D2088" s="259" t="s">
        <v>10529</v>
      </c>
      <c r="E2088" s="265" t="s">
        <v>10655</v>
      </c>
      <c r="F2088" s="272" t="s">
        <v>9198</v>
      </c>
      <c r="G2088" s="272" t="s">
        <v>9197</v>
      </c>
      <c r="H2088" s="265" t="s">
        <v>10935</v>
      </c>
      <c r="I2088" s="290" t="s">
        <v>10936</v>
      </c>
      <c r="J2088" s="265" t="s">
        <v>10655</v>
      </c>
      <c r="K2088" s="265" t="s">
        <v>10655</v>
      </c>
    </row>
    <row r="2089" spans="1:11" s="75" customFormat="1" ht="14.55" customHeight="1" x14ac:dyDescent="0.25">
      <c r="A2089" s="272" t="s">
        <v>8816</v>
      </c>
      <c r="B2089" s="272" t="s">
        <v>10591</v>
      </c>
      <c r="C2089" s="272" t="s">
        <v>10528</v>
      </c>
      <c r="D2089" s="259" t="s">
        <v>10529</v>
      </c>
      <c r="E2089" s="265" t="s">
        <v>10655</v>
      </c>
      <c r="F2089" s="272" t="s">
        <v>9198</v>
      </c>
      <c r="G2089" s="272" t="s">
        <v>9197</v>
      </c>
      <c r="H2089" s="265" t="s">
        <v>10960</v>
      </c>
      <c r="I2089" s="290" t="s">
        <v>10961</v>
      </c>
      <c r="J2089" s="265" t="s">
        <v>10655</v>
      </c>
      <c r="K2089" s="265" t="s">
        <v>10655</v>
      </c>
    </row>
    <row r="2090" spans="1:11" s="75" customFormat="1" ht="14.55" customHeight="1" x14ac:dyDescent="0.25">
      <c r="A2090" s="272" t="s">
        <v>8816</v>
      </c>
      <c r="B2090" s="272" t="s">
        <v>10591</v>
      </c>
      <c r="C2090" s="272" t="s">
        <v>10530</v>
      </c>
      <c r="D2090" s="259" t="s">
        <v>10531</v>
      </c>
      <c r="E2090" s="265" t="s">
        <v>10655</v>
      </c>
      <c r="F2090" s="272" t="s">
        <v>9198</v>
      </c>
      <c r="G2090" s="272" t="s">
        <v>9197</v>
      </c>
      <c r="H2090" s="265" t="s">
        <v>11040</v>
      </c>
      <c r="I2090" s="290" t="s">
        <v>11041</v>
      </c>
      <c r="J2090" s="265" t="s">
        <v>10655</v>
      </c>
      <c r="K2090" s="265" t="s">
        <v>10655</v>
      </c>
    </row>
    <row r="2091" spans="1:11" s="75" customFormat="1" ht="14.55" customHeight="1" x14ac:dyDescent="0.25">
      <c r="A2091" s="272" t="s">
        <v>8816</v>
      </c>
      <c r="B2091" s="272" t="s">
        <v>10591</v>
      </c>
      <c r="C2091" s="272" t="s">
        <v>10530</v>
      </c>
      <c r="D2091" s="259" t="s">
        <v>10531</v>
      </c>
      <c r="E2091" s="265" t="s">
        <v>10655</v>
      </c>
      <c r="F2091" s="272" t="s">
        <v>9198</v>
      </c>
      <c r="G2091" s="272" t="s">
        <v>9197</v>
      </c>
      <c r="H2091" s="265" t="s">
        <v>11016</v>
      </c>
      <c r="I2091" s="290" t="s">
        <v>11017</v>
      </c>
      <c r="J2091" s="265" t="s">
        <v>10655</v>
      </c>
      <c r="K2091" s="265" t="s">
        <v>10655</v>
      </c>
    </row>
    <row r="2092" spans="1:11" s="75" customFormat="1" ht="14.55" customHeight="1" x14ac:dyDescent="0.25">
      <c r="A2092" s="272" t="s">
        <v>8816</v>
      </c>
      <c r="B2092" s="272" t="s">
        <v>10591</v>
      </c>
      <c r="C2092" s="272" t="s">
        <v>10530</v>
      </c>
      <c r="D2092" s="259" t="s">
        <v>10531</v>
      </c>
      <c r="E2092" s="265" t="s">
        <v>10655</v>
      </c>
      <c r="F2092" s="272" t="s">
        <v>9198</v>
      </c>
      <c r="G2092" s="272" t="s">
        <v>9197</v>
      </c>
      <c r="H2092" s="265" t="s">
        <v>11018</v>
      </c>
      <c r="I2092" s="290" t="s">
        <v>11019</v>
      </c>
      <c r="J2092" s="265" t="s">
        <v>10655</v>
      </c>
      <c r="K2092" s="265" t="s">
        <v>10655</v>
      </c>
    </row>
    <row r="2093" spans="1:11" s="75" customFormat="1" ht="14.55" customHeight="1" x14ac:dyDescent="0.25">
      <c r="A2093" s="272" t="s">
        <v>8816</v>
      </c>
      <c r="B2093" s="272" t="s">
        <v>10591</v>
      </c>
      <c r="C2093" s="272" t="s">
        <v>10530</v>
      </c>
      <c r="D2093" s="259" t="s">
        <v>10531</v>
      </c>
      <c r="E2093" s="265" t="s">
        <v>10655</v>
      </c>
      <c r="F2093" s="272" t="s">
        <v>9198</v>
      </c>
      <c r="G2093" s="272" t="s">
        <v>9197</v>
      </c>
      <c r="H2093" s="265" t="s">
        <v>10960</v>
      </c>
      <c r="I2093" s="290" t="s">
        <v>10961</v>
      </c>
      <c r="J2093" s="265" t="s">
        <v>10655</v>
      </c>
      <c r="K2093" s="265" t="s">
        <v>10655</v>
      </c>
    </row>
    <row r="2094" spans="1:11" s="75" customFormat="1" ht="14.55" customHeight="1" x14ac:dyDescent="0.25">
      <c r="A2094" s="272" t="s">
        <v>8816</v>
      </c>
      <c r="B2094" s="272" t="s">
        <v>10591</v>
      </c>
      <c r="C2094" s="272" t="s">
        <v>10532</v>
      </c>
      <c r="D2094" s="259" t="s">
        <v>10533</v>
      </c>
      <c r="E2094" s="265" t="s">
        <v>10655</v>
      </c>
      <c r="F2094" s="272" t="s">
        <v>9198</v>
      </c>
      <c r="G2094" s="272" t="s">
        <v>9197</v>
      </c>
      <c r="H2094" s="265" t="s">
        <v>11016</v>
      </c>
      <c r="I2094" s="290" t="s">
        <v>11017</v>
      </c>
      <c r="J2094" s="265" t="s">
        <v>10655</v>
      </c>
      <c r="K2094" s="265" t="s">
        <v>10655</v>
      </c>
    </row>
    <row r="2095" spans="1:11" s="75" customFormat="1" ht="14.55" customHeight="1" x14ac:dyDescent="0.25">
      <c r="A2095" s="272" t="s">
        <v>8816</v>
      </c>
      <c r="B2095" s="272" t="s">
        <v>10591</v>
      </c>
      <c r="C2095" s="272" t="s">
        <v>10532</v>
      </c>
      <c r="D2095" s="259" t="s">
        <v>10533</v>
      </c>
      <c r="E2095" s="265" t="s">
        <v>10655</v>
      </c>
      <c r="F2095" s="272" t="s">
        <v>9198</v>
      </c>
      <c r="G2095" s="272" t="s">
        <v>9197</v>
      </c>
      <c r="H2095" s="265" t="s">
        <v>11018</v>
      </c>
      <c r="I2095" s="290" t="s">
        <v>11019</v>
      </c>
      <c r="J2095" s="265" t="s">
        <v>10655</v>
      </c>
      <c r="K2095" s="265" t="s">
        <v>10655</v>
      </c>
    </row>
    <row r="2096" spans="1:11" s="75" customFormat="1" ht="14.55" customHeight="1" x14ac:dyDescent="0.25">
      <c r="A2096" s="272" t="s">
        <v>8816</v>
      </c>
      <c r="B2096" s="272" t="s">
        <v>10591</v>
      </c>
      <c r="C2096" s="272" t="s">
        <v>10532</v>
      </c>
      <c r="D2096" s="259" t="s">
        <v>10533</v>
      </c>
      <c r="E2096" s="265" t="s">
        <v>10655</v>
      </c>
      <c r="F2096" s="272" t="s">
        <v>9198</v>
      </c>
      <c r="G2096" s="272" t="s">
        <v>9197</v>
      </c>
      <c r="H2096" s="265" t="s">
        <v>10960</v>
      </c>
      <c r="I2096" s="290" t="s">
        <v>10961</v>
      </c>
      <c r="J2096" s="265" t="s">
        <v>10655</v>
      </c>
      <c r="K2096" s="265" t="s">
        <v>10655</v>
      </c>
    </row>
    <row r="2097" spans="1:11" s="75" customFormat="1" ht="14.55" customHeight="1" x14ac:dyDescent="0.25">
      <c r="A2097" s="272" t="s">
        <v>8816</v>
      </c>
      <c r="B2097" s="272" t="s">
        <v>10591</v>
      </c>
      <c r="C2097" s="272" t="s">
        <v>10534</v>
      </c>
      <c r="D2097" s="259" t="s">
        <v>10535</v>
      </c>
      <c r="E2097" s="265" t="s">
        <v>10655</v>
      </c>
      <c r="F2097" s="272" t="s">
        <v>9198</v>
      </c>
      <c r="G2097" s="272" t="s">
        <v>9197</v>
      </c>
      <c r="H2097" s="265" t="s">
        <v>10935</v>
      </c>
      <c r="I2097" s="290" t="s">
        <v>10936</v>
      </c>
      <c r="J2097" s="265" t="s">
        <v>10655</v>
      </c>
      <c r="K2097" s="265" t="s">
        <v>10655</v>
      </c>
    </row>
    <row r="2098" spans="1:11" s="75" customFormat="1" ht="14.55" customHeight="1" x14ac:dyDescent="0.25">
      <c r="A2098" s="272" t="s">
        <v>8816</v>
      </c>
      <c r="B2098" s="272" t="s">
        <v>10591</v>
      </c>
      <c r="C2098" s="272" t="s">
        <v>10534</v>
      </c>
      <c r="D2098" s="259" t="s">
        <v>10535</v>
      </c>
      <c r="E2098" s="265" t="s">
        <v>10655</v>
      </c>
      <c r="F2098" s="272" t="s">
        <v>9198</v>
      </c>
      <c r="G2098" s="272" t="s">
        <v>9197</v>
      </c>
      <c r="H2098" s="265" t="s">
        <v>11016</v>
      </c>
      <c r="I2098" s="290" t="s">
        <v>11017</v>
      </c>
      <c r="J2098" s="265" t="s">
        <v>10655</v>
      </c>
      <c r="K2098" s="265" t="s">
        <v>10655</v>
      </c>
    </row>
    <row r="2099" spans="1:11" s="75" customFormat="1" ht="14.55" customHeight="1" x14ac:dyDescent="0.25">
      <c r="A2099" s="272" t="s">
        <v>8816</v>
      </c>
      <c r="B2099" s="272" t="s">
        <v>10591</v>
      </c>
      <c r="C2099" s="272" t="s">
        <v>10534</v>
      </c>
      <c r="D2099" s="259" t="s">
        <v>10535</v>
      </c>
      <c r="E2099" s="265" t="s">
        <v>10655</v>
      </c>
      <c r="F2099" s="272" t="s">
        <v>9198</v>
      </c>
      <c r="G2099" s="272" t="s">
        <v>9197</v>
      </c>
      <c r="H2099" s="265" t="s">
        <v>11018</v>
      </c>
      <c r="I2099" s="290" t="s">
        <v>11019</v>
      </c>
      <c r="J2099" s="265" t="s">
        <v>10655</v>
      </c>
      <c r="K2099" s="265" t="s">
        <v>10655</v>
      </c>
    </row>
    <row r="2100" spans="1:11" s="75" customFormat="1" ht="14.55" customHeight="1" x14ac:dyDescent="0.25">
      <c r="A2100" s="272" t="s">
        <v>8816</v>
      </c>
      <c r="B2100" s="272" t="s">
        <v>10591</v>
      </c>
      <c r="C2100" s="272" t="s">
        <v>10534</v>
      </c>
      <c r="D2100" s="259" t="s">
        <v>10535</v>
      </c>
      <c r="E2100" s="265" t="s">
        <v>10655</v>
      </c>
      <c r="F2100" s="272" t="s">
        <v>9198</v>
      </c>
      <c r="G2100" s="272" t="s">
        <v>9197</v>
      </c>
      <c r="H2100" s="265" t="s">
        <v>10955</v>
      </c>
      <c r="I2100" s="290" t="s">
        <v>10956</v>
      </c>
      <c r="J2100" s="265" t="s">
        <v>10655</v>
      </c>
      <c r="K2100" s="265" t="s">
        <v>10655</v>
      </c>
    </row>
    <row r="2101" spans="1:11" s="75" customFormat="1" ht="14.55" customHeight="1" x14ac:dyDescent="0.25">
      <c r="A2101" s="272" t="s">
        <v>8816</v>
      </c>
      <c r="B2101" s="272" t="s">
        <v>10591</v>
      </c>
      <c r="C2101" s="272" t="s">
        <v>10534</v>
      </c>
      <c r="D2101" s="259" t="s">
        <v>10535</v>
      </c>
      <c r="E2101" s="265" t="s">
        <v>10655</v>
      </c>
      <c r="F2101" s="272" t="s">
        <v>9198</v>
      </c>
      <c r="G2101" s="272" t="s">
        <v>9197</v>
      </c>
      <c r="H2101" s="265" t="s">
        <v>10957</v>
      </c>
      <c r="I2101" s="290" t="s">
        <v>10958</v>
      </c>
      <c r="J2101" s="265" t="s">
        <v>10655</v>
      </c>
      <c r="K2101" s="265" t="s">
        <v>10655</v>
      </c>
    </row>
    <row r="2102" spans="1:11" s="75" customFormat="1" ht="14.55" customHeight="1" x14ac:dyDescent="0.25">
      <c r="A2102" s="272" t="s">
        <v>8816</v>
      </c>
      <c r="B2102" s="272" t="s">
        <v>10591</v>
      </c>
      <c r="C2102" s="272" t="s">
        <v>10534</v>
      </c>
      <c r="D2102" s="259" t="s">
        <v>10535</v>
      </c>
      <c r="E2102" s="265" t="s">
        <v>10655</v>
      </c>
      <c r="F2102" s="272" t="s">
        <v>9198</v>
      </c>
      <c r="G2102" s="272" t="s">
        <v>9197</v>
      </c>
      <c r="H2102" s="265" t="s">
        <v>11020</v>
      </c>
      <c r="I2102" s="290" t="s">
        <v>11021</v>
      </c>
      <c r="J2102" s="265" t="s">
        <v>10655</v>
      </c>
      <c r="K2102" s="265" t="s">
        <v>10655</v>
      </c>
    </row>
    <row r="2103" spans="1:11" s="75" customFormat="1" ht="14.55" customHeight="1" x14ac:dyDescent="0.25">
      <c r="A2103" s="272" t="s">
        <v>8816</v>
      </c>
      <c r="B2103" s="272" t="s">
        <v>10591</v>
      </c>
      <c r="C2103" s="272" t="s">
        <v>10534</v>
      </c>
      <c r="D2103" s="259" t="s">
        <v>10535</v>
      </c>
      <c r="E2103" s="265" t="s">
        <v>10655</v>
      </c>
      <c r="F2103" s="272" t="s">
        <v>9198</v>
      </c>
      <c r="G2103" s="272" t="s">
        <v>9197</v>
      </c>
      <c r="H2103" s="265" t="s">
        <v>10960</v>
      </c>
      <c r="I2103" s="290" t="s">
        <v>10961</v>
      </c>
      <c r="J2103" s="265" t="s">
        <v>10655</v>
      </c>
      <c r="K2103" s="265" t="s">
        <v>10655</v>
      </c>
    </row>
    <row r="2104" spans="1:11" s="75" customFormat="1" ht="14.55" customHeight="1" x14ac:dyDescent="0.25">
      <c r="A2104" s="272" t="s">
        <v>8816</v>
      </c>
      <c r="B2104" s="272" t="s">
        <v>10591</v>
      </c>
      <c r="C2104" s="272" t="s">
        <v>10536</v>
      </c>
      <c r="D2104" s="259" t="s">
        <v>10537</v>
      </c>
      <c r="E2104" s="265" t="s">
        <v>10655</v>
      </c>
      <c r="F2104" s="272" t="s">
        <v>9198</v>
      </c>
      <c r="G2104" s="272" t="s">
        <v>9197</v>
      </c>
      <c r="H2104" s="265" t="s">
        <v>10960</v>
      </c>
      <c r="I2104" s="290" t="s">
        <v>10961</v>
      </c>
      <c r="J2104" s="265" t="s">
        <v>10655</v>
      </c>
      <c r="K2104" s="265" t="s">
        <v>10655</v>
      </c>
    </row>
    <row r="2105" spans="1:11" s="75" customFormat="1" ht="14.55" customHeight="1" x14ac:dyDescent="0.25">
      <c r="A2105" s="272" t="s">
        <v>8816</v>
      </c>
      <c r="B2105" s="272" t="s">
        <v>10591</v>
      </c>
      <c r="C2105" s="272" t="s">
        <v>10538</v>
      </c>
      <c r="D2105" s="259" t="s">
        <v>10539</v>
      </c>
      <c r="E2105" s="265" t="s">
        <v>10655</v>
      </c>
      <c r="F2105" s="272" t="s">
        <v>9198</v>
      </c>
      <c r="G2105" s="272" t="s">
        <v>9197</v>
      </c>
      <c r="H2105" s="265" t="s">
        <v>10960</v>
      </c>
      <c r="I2105" s="290" t="s">
        <v>10961</v>
      </c>
      <c r="J2105" s="265" t="s">
        <v>10655</v>
      </c>
      <c r="K2105" s="265" t="s">
        <v>10655</v>
      </c>
    </row>
    <row r="2106" spans="1:11" s="75" customFormat="1" ht="14.55" customHeight="1" x14ac:dyDescent="0.25">
      <c r="A2106" s="272" t="s">
        <v>8816</v>
      </c>
      <c r="B2106" s="272" t="s">
        <v>10591</v>
      </c>
      <c r="C2106" s="272" t="s">
        <v>10540</v>
      </c>
      <c r="D2106" s="259" t="s">
        <v>10541</v>
      </c>
      <c r="E2106" s="265" t="s">
        <v>10655</v>
      </c>
      <c r="F2106" s="272" t="s">
        <v>9198</v>
      </c>
      <c r="G2106" s="272" t="s">
        <v>9197</v>
      </c>
      <c r="H2106" s="265" t="s">
        <v>10935</v>
      </c>
      <c r="I2106" s="290" t="s">
        <v>10936</v>
      </c>
      <c r="J2106" s="265" t="s">
        <v>10655</v>
      </c>
      <c r="K2106" s="265" t="s">
        <v>10655</v>
      </c>
    </row>
    <row r="2107" spans="1:11" s="75" customFormat="1" ht="14.55" customHeight="1" x14ac:dyDescent="0.25">
      <c r="A2107" s="272" t="s">
        <v>8816</v>
      </c>
      <c r="B2107" s="272" t="s">
        <v>10591</v>
      </c>
      <c r="C2107" s="272" t="s">
        <v>10540</v>
      </c>
      <c r="D2107" s="259" t="s">
        <v>10541</v>
      </c>
      <c r="E2107" s="265" t="s">
        <v>10655</v>
      </c>
      <c r="F2107" s="272" t="s">
        <v>9198</v>
      </c>
      <c r="G2107" s="272" t="s">
        <v>9197</v>
      </c>
      <c r="H2107" s="265" t="s">
        <v>10960</v>
      </c>
      <c r="I2107" s="290" t="s">
        <v>10961</v>
      </c>
      <c r="J2107" s="265" t="s">
        <v>10655</v>
      </c>
      <c r="K2107" s="265" t="s">
        <v>10655</v>
      </c>
    </row>
    <row r="2108" spans="1:11" s="75" customFormat="1" ht="14.55" customHeight="1" x14ac:dyDescent="0.25">
      <c r="A2108" s="272" t="s">
        <v>8816</v>
      </c>
      <c r="B2108" s="272" t="s">
        <v>10591</v>
      </c>
      <c r="C2108" s="272" t="s">
        <v>10542</v>
      </c>
      <c r="D2108" s="259" t="s">
        <v>10543</v>
      </c>
      <c r="E2108" s="265" t="s">
        <v>10655</v>
      </c>
      <c r="F2108" s="272" t="s">
        <v>9198</v>
      </c>
      <c r="G2108" s="272" t="s">
        <v>9197</v>
      </c>
      <c r="H2108" s="265" t="s">
        <v>10906</v>
      </c>
      <c r="I2108" s="290" t="s">
        <v>10907</v>
      </c>
      <c r="J2108" s="265" t="s">
        <v>10655</v>
      </c>
      <c r="K2108" s="265" t="s">
        <v>10655</v>
      </c>
    </row>
    <row r="2109" spans="1:11" s="75" customFormat="1" ht="14.55" customHeight="1" x14ac:dyDescent="0.25">
      <c r="A2109" s="272" t="s">
        <v>8816</v>
      </c>
      <c r="B2109" s="272" t="s">
        <v>10591</v>
      </c>
      <c r="C2109" s="272" t="s">
        <v>10542</v>
      </c>
      <c r="D2109" s="259" t="s">
        <v>10543</v>
      </c>
      <c r="E2109" s="265" t="s">
        <v>10655</v>
      </c>
      <c r="F2109" s="272" t="s">
        <v>9198</v>
      </c>
      <c r="G2109" s="272" t="s">
        <v>9197</v>
      </c>
      <c r="H2109" s="265" t="s">
        <v>10908</v>
      </c>
      <c r="I2109" s="290" t="s">
        <v>10909</v>
      </c>
      <c r="J2109" s="265" t="s">
        <v>10655</v>
      </c>
      <c r="K2109" s="265" t="s">
        <v>10655</v>
      </c>
    </row>
    <row r="2110" spans="1:11" s="75" customFormat="1" ht="14.55" customHeight="1" x14ac:dyDescent="0.25">
      <c r="A2110" s="272" t="s">
        <v>8816</v>
      </c>
      <c r="B2110" s="272" t="s">
        <v>10591</v>
      </c>
      <c r="C2110" s="272" t="s">
        <v>10542</v>
      </c>
      <c r="D2110" s="259" t="s">
        <v>10543</v>
      </c>
      <c r="E2110" s="265" t="s">
        <v>10655</v>
      </c>
      <c r="F2110" s="272" t="s">
        <v>9198</v>
      </c>
      <c r="G2110" s="272" t="s">
        <v>9197</v>
      </c>
      <c r="H2110" s="265" t="s">
        <v>10873</v>
      </c>
      <c r="I2110" s="290" t="s">
        <v>10874</v>
      </c>
      <c r="J2110" s="265" t="s">
        <v>10655</v>
      </c>
      <c r="K2110" s="265" t="s">
        <v>10655</v>
      </c>
    </row>
    <row r="2111" spans="1:11" s="75" customFormat="1" ht="14.55" customHeight="1" x14ac:dyDescent="0.25">
      <c r="A2111" s="272" t="s">
        <v>8816</v>
      </c>
      <c r="B2111" s="272" t="s">
        <v>10591</v>
      </c>
      <c r="C2111" s="272" t="s">
        <v>10544</v>
      </c>
      <c r="D2111" s="259" t="s">
        <v>10545</v>
      </c>
      <c r="E2111" s="265" t="s">
        <v>10655</v>
      </c>
      <c r="F2111" s="272" t="s">
        <v>9198</v>
      </c>
      <c r="G2111" s="272" t="s">
        <v>9197</v>
      </c>
      <c r="H2111" s="265" t="s">
        <v>10906</v>
      </c>
      <c r="I2111" s="290" t="s">
        <v>10907</v>
      </c>
      <c r="J2111" s="265" t="s">
        <v>10655</v>
      </c>
      <c r="K2111" s="265" t="s">
        <v>10655</v>
      </c>
    </row>
    <row r="2112" spans="1:11" s="75" customFormat="1" ht="14.55" customHeight="1" x14ac:dyDescent="0.25">
      <c r="A2112" s="272" t="s">
        <v>8816</v>
      </c>
      <c r="B2112" s="272" t="s">
        <v>10591</v>
      </c>
      <c r="C2112" s="272" t="s">
        <v>10544</v>
      </c>
      <c r="D2112" s="259" t="s">
        <v>10545</v>
      </c>
      <c r="E2112" s="265" t="s">
        <v>10655</v>
      </c>
      <c r="F2112" s="272" t="s">
        <v>9198</v>
      </c>
      <c r="G2112" s="272" t="s">
        <v>9197</v>
      </c>
      <c r="H2112" s="265" t="s">
        <v>10908</v>
      </c>
      <c r="I2112" s="290" t="s">
        <v>10909</v>
      </c>
      <c r="J2112" s="265" t="s">
        <v>10655</v>
      </c>
      <c r="K2112" s="265" t="s">
        <v>10655</v>
      </c>
    </row>
    <row r="2113" spans="1:11" s="75" customFormat="1" ht="14.55" customHeight="1" x14ac:dyDescent="0.25">
      <c r="A2113" s="272" t="s">
        <v>8816</v>
      </c>
      <c r="B2113" s="272" t="s">
        <v>10591</v>
      </c>
      <c r="C2113" s="272" t="s">
        <v>10544</v>
      </c>
      <c r="D2113" s="259" t="s">
        <v>10545</v>
      </c>
      <c r="E2113" s="265" t="s">
        <v>10655</v>
      </c>
      <c r="F2113" s="272" t="s">
        <v>9198</v>
      </c>
      <c r="G2113" s="272" t="s">
        <v>9197</v>
      </c>
      <c r="H2113" s="265" t="s">
        <v>10873</v>
      </c>
      <c r="I2113" s="290" t="s">
        <v>10874</v>
      </c>
      <c r="J2113" s="265" t="s">
        <v>10655</v>
      </c>
      <c r="K2113" s="265" t="s">
        <v>10655</v>
      </c>
    </row>
    <row r="2114" spans="1:11" s="75" customFormat="1" ht="14.55" customHeight="1" x14ac:dyDescent="0.25">
      <c r="A2114" s="272" t="s">
        <v>8816</v>
      </c>
      <c r="B2114" s="272" t="s">
        <v>10591</v>
      </c>
      <c r="C2114" s="272" t="s">
        <v>10546</v>
      </c>
      <c r="D2114" s="259" t="s">
        <v>10547</v>
      </c>
      <c r="E2114" s="265" t="s">
        <v>10655</v>
      </c>
      <c r="F2114" s="272" t="s">
        <v>9198</v>
      </c>
      <c r="G2114" s="272" t="s">
        <v>9197</v>
      </c>
      <c r="H2114" s="265" t="s">
        <v>10906</v>
      </c>
      <c r="I2114" s="290" t="s">
        <v>10907</v>
      </c>
      <c r="J2114" s="265" t="s">
        <v>10655</v>
      </c>
      <c r="K2114" s="265" t="s">
        <v>10655</v>
      </c>
    </row>
    <row r="2115" spans="1:11" s="75" customFormat="1" ht="14.55" customHeight="1" x14ac:dyDescent="0.25">
      <c r="A2115" s="272" t="s">
        <v>8816</v>
      </c>
      <c r="B2115" s="272" t="s">
        <v>10591</v>
      </c>
      <c r="C2115" s="272" t="s">
        <v>10546</v>
      </c>
      <c r="D2115" s="259" t="s">
        <v>10547</v>
      </c>
      <c r="E2115" s="265" t="s">
        <v>10655</v>
      </c>
      <c r="F2115" s="272" t="s">
        <v>9198</v>
      </c>
      <c r="G2115" s="272" t="s">
        <v>9197</v>
      </c>
      <c r="H2115" s="265" t="s">
        <v>10908</v>
      </c>
      <c r="I2115" s="290" t="s">
        <v>10909</v>
      </c>
      <c r="J2115" s="265" t="s">
        <v>10655</v>
      </c>
      <c r="K2115" s="265" t="s">
        <v>10655</v>
      </c>
    </row>
    <row r="2116" spans="1:11" s="75" customFormat="1" ht="14.55" customHeight="1" x14ac:dyDescent="0.25">
      <c r="A2116" s="272" t="s">
        <v>8816</v>
      </c>
      <c r="B2116" s="272" t="s">
        <v>10591</v>
      </c>
      <c r="C2116" s="272" t="s">
        <v>10546</v>
      </c>
      <c r="D2116" s="259" t="s">
        <v>10547</v>
      </c>
      <c r="E2116" s="265" t="s">
        <v>10655</v>
      </c>
      <c r="F2116" s="272" t="s">
        <v>9198</v>
      </c>
      <c r="G2116" s="272" t="s">
        <v>9197</v>
      </c>
      <c r="H2116" s="265" t="s">
        <v>10873</v>
      </c>
      <c r="I2116" s="290" t="s">
        <v>10874</v>
      </c>
      <c r="J2116" s="265" t="s">
        <v>10655</v>
      </c>
      <c r="K2116" s="265" t="s">
        <v>10655</v>
      </c>
    </row>
    <row r="2117" spans="1:11" s="75" customFormat="1" ht="14.55" customHeight="1" x14ac:dyDescent="0.25">
      <c r="A2117" s="272" t="s">
        <v>8816</v>
      </c>
      <c r="B2117" s="272" t="s">
        <v>10591</v>
      </c>
      <c r="C2117" s="272" t="s">
        <v>10548</v>
      </c>
      <c r="D2117" s="259" t="s">
        <v>10549</v>
      </c>
      <c r="E2117" s="265" t="s">
        <v>10655</v>
      </c>
      <c r="F2117" s="272" t="s">
        <v>9198</v>
      </c>
      <c r="G2117" s="272" t="s">
        <v>9197</v>
      </c>
      <c r="H2117" s="265" t="s">
        <v>10906</v>
      </c>
      <c r="I2117" s="290" t="s">
        <v>10907</v>
      </c>
      <c r="J2117" s="265" t="s">
        <v>10655</v>
      </c>
      <c r="K2117" s="265" t="s">
        <v>10655</v>
      </c>
    </row>
    <row r="2118" spans="1:11" s="75" customFormat="1" ht="14.55" customHeight="1" x14ac:dyDescent="0.25">
      <c r="A2118" s="272" t="s">
        <v>8816</v>
      </c>
      <c r="B2118" s="272" t="s">
        <v>10591</v>
      </c>
      <c r="C2118" s="272" t="s">
        <v>10548</v>
      </c>
      <c r="D2118" s="259" t="s">
        <v>10549</v>
      </c>
      <c r="E2118" s="265" t="s">
        <v>10655</v>
      </c>
      <c r="F2118" s="272" t="s">
        <v>9198</v>
      </c>
      <c r="G2118" s="272" t="s">
        <v>9197</v>
      </c>
      <c r="H2118" s="265" t="s">
        <v>10908</v>
      </c>
      <c r="I2118" s="290" t="s">
        <v>10909</v>
      </c>
      <c r="J2118" s="265" t="s">
        <v>10655</v>
      </c>
      <c r="K2118" s="265" t="s">
        <v>10655</v>
      </c>
    </row>
    <row r="2119" spans="1:11" s="75" customFormat="1" ht="14.55" customHeight="1" x14ac:dyDescent="0.25">
      <c r="A2119" s="272" t="s">
        <v>8816</v>
      </c>
      <c r="B2119" s="272" t="s">
        <v>10591</v>
      </c>
      <c r="C2119" s="272" t="s">
        <v>10548</v>
      </c>
      <c r="D2119" s="259" t="s">
        <v>10549</v>
      </c>
      <c r="E2119" s="265" t="s">
        <v>10655</v>
      </c>
      <c r="F2119" s="272" t="s">
        <v>9198</v>
      </c>
      <c r="G2119" s="272" t="s">
        <v>9197</v>
      </c>
      <c r="H2119" s="265" t="s">
        <v>10873</v>
      </c>
      <c r="I2119" s="290" t="s">
        <v>10874</v>
      </c>
      <c r="J2119" s="265" t="s">
        <v>10655</v>
      </c>
      <c r="K2119" s="265" t="s">
        <v>10655</v>
      </c>
    </row>
    <row r="2120" spans="1:11" s="75" customFormat="1" ht="14.55" customHeight="1" x14ac:dyDescent="0.25">
      <c r="A2120" s="272" t="s">
        <v>8816</v>
      </c>
      <c r="B2120" s="272" t="s">
        <v>10591</v>
      </c>
      <c r="C2120" s="272" t="s">
        <v>10550</v>
      </c>
      <c r="D2120" s="259" t="s">
        <v>10551</v>
      </c>
      <c r="E2120" s="265" t="s">
        <v>10655</v>
      </c>
      <c r="F2120" s="272" t="s">
        <v>9198</v>
      </c>
      <c r="G2120" s="272" t="s">
        <v>9197</v>
      </c>
      <c r="H2120" s="265" t="s">
        <v>10960</v>
      </c>
      <c r="I2120" s="290" t="s">
        <v>10961</v>
      </c>
      <c r="J2120" s="265" t="s">
        <v>10655</v>
      </c>
      <c r="K2120" s="265" t="s">
        <v>10655</v>
      </c>
    </row>
    <row r="2121" spans="1:11" s="75" customFormat="1" ht="14.55" customHeight="1" x14ac:dyDescent="0.25">
      <c r="A2121" s="272" t="s">
        <v>8816</v>
      </c>
      <c r="B2121" s="272" t="s">
        <v>10591</v>
      </c>
      <c r="C2121" s="272" t="s">
        <v>10552</v>
      </c>
      <c r="D2121" s="259" t="s">
        <v>10553</v>
      </c>
      <c r="E2121" s="265" t="s">
        <v>10655</v>
      </c>
      <c r="F2121" s="272" t="s">
        <v>9197</v>
      </c>
      <c r="G2121" s="272" t="s">
        <v>9197</v>
      </c>
      <c r="H2121" s="265" t="s">
        <v>11042</v>
      </c>
      <c r="I2121" s="290" t="s">
        <v>11043</v>
      </c>
      <c r="J2121" s="265" t="s">
        <v>10655</v>
      </c>
      <c r="K2121" s="265" t="s">
        <v>10655</v>
      </c>
    </row>
    <row r="2122" spans="1:11" s="75" customFormat="1" ht="14.55" customHeight="1" x14ac:dyDescent="0.25">
      <c r="A2122" s="272" t="s">
        <v>8816</v>
      </c>
      <c r="B2122" s="272" t="s">
        <v>11044</v>
      </c>
      <c r="C2122" s="272" t="s">
        <v>10554</v>
      </c>
      <c r="D2122" s="259" t="s">
        <v>10555</v>
      </c>
      <c r="E2122" s="265" t="s">
        <v>10655</v>
      </c>
      <c r="F2122" s="272" t="s">
        <v>9197</v>
      </c>
      <c r="G2122" s="272" t="s">
        <v>9197</v>
      </c>
      <c r="H2122" s="265" t="s">
        <v>11045</v>
      </c>
      <c r="I2122" s="290" t="s">
        <v>11046</v>
      </c>
      <c r="J2122" s="265" t="s">
        <v>10655</v>
      </c>
      <c r="K2122" s="265" t="s">
        <v>10655</v>
      </c>
    </row>
    <row r="2123" spans="1:11" s="75" customFormat="1" ht="14.55" customHeight="1" x14ac:dyDescent="0.25">
      <c r="A2123" s="286" t="s">
        <v>8816</v>
      </c>
      <c r="B2123" s="272" t="s">
        <v>10591</v>
      </c>
      <c r="C2123" s="272" t="s">
        <v>10556</v>
      </c>
      <c r="D2123" s="259" t="s">
        <v>10557</v>
      </c>
      <c r="E2123" s="299" t="s">
        <v>11047</v>
      </c>
      <c r="F2123" s="272" t="s">
        <v>9198</v>
      </c>
      <c r="G2123" s="272" t="s">
        <v>9197</v>
      </c>
      <c r="H2123" s="265" t="s">
        <v>10976</v>
      </c>
      <c r="I2123" s="290" t="s">
        <v>10977</v>
      </c>
      <c r="J2123" s="265" t="s">
        <v>10655</v>
      </c>
      <c r="K2123" s="299" t="s">
        <v>11047</v>
      </c>
    </row>
    <row r="2124" spans="1:11" s="75" customFormat="1" ht="14.55" customHeight="1" x14ac:dyDescent="0.25">
      <c r="A2124" s="286" t="s">
        <v>8816</v>
      </c>
      <c r="B2124" s="272" t="s">
        <v>10591</v>
      </c>
      <c r="C2124" s="272" t="s">
        <v>10556</v>
      </c>
      <c r="D2124" s="259" t="s">
        <v>10557</v>
      </c>
      <c r="E2124" s="299" t="s">
        <v>11047</v>
      </c>
      <c r="F2124" s="272" t="s">
        <v>9198</v>
      </c>
      <c r="G2124" s="272" t="s">
        <v>9197</v>
      </c>
      <c r="H2124" s="265" t="s">
        <v>10978</v>
      </c>
      <c r="I2124" s="290" t="s">
        <v>10979</v>
      </c>
      <c r="J2124" s="265" t="s">
        <v>10655</v>
      </c>
      <c r="K2124" s="299" t="s">
        <v>11047</v>
      </c>
    </row>
    <row r="2125" spans="1:11" s="75" customFormat="1" ht="14.55" customHeight="1" x14ac:dyDescent="0.25">
      <c r="A2125" s="286" t="s">
        <v>8816</v>
      </c>
      <c r="B2125" s="272" t="s">
        <v>10591</v>
      </c>
      <c r="C2125" s="272" t="s">
        <v>10556</v>
      </c>
      <c r="D2125" s="259" t="s">
        <v>10557</v>
      </c>
      <c r="E2125" s="299" t="s">
        <v>11047</v>
      </c>
      <c r="F2125" s="272" t="s">
        <v>9198</v>
      </c>
      <c r="G2125" s="272" t="s">
        <v>9197</v>
      </c>
      <c r="H2125" s="265" t="s">
        <v>10980</v>
      </c>
      <c r="I2125" s="290" t="s">
        <v>10981</v>
      </c>
      <c r="J2125" s="265" t="s">
        <v>10655</v>
      </c>
      <c r="K2125" s="299" t="s">
        <v>11047</v>
      </c>
    </row>
    <row r="2126" spans="1:11" s="75" customFormat="1" ht="14.55" customHeight="1" x14ac:dyDescent="0.25">
      <c r="A2126" s="286" t="s">
        <v>8816</v>
      </c>
      <c r="B2126" s="272" t="s">
        <v>10591</v>
      </c>
      <c r="C2126" s="272" t="s">
        <v>10556</v>
      </c>
      <c r="D2126" s="259" t="s">
        <v>10557</v>
      </c>
      <c r="E2126" s="299" t="s">
        <v>11047</v>
      </c>
      <c r="F2126" s="272" t="s">
        <v>9198</v>
      </c>
      <c r="G2126" s="272" t="s">
        <v>9197</v>
      </c>
      <c r="H2126" s="265" t="s">
        <v>10982</v>
      </c>
      <c r="I2126" s="290" t="s">
        <v>10983</v>
      </c>
      <c r="J2126" s="265" t="s">
        <v>10655</v>
      </c>
      <c r="K2126" s="299" t="s">
        <v>11047</v>
      </c>
    </row>
    <row r="2127" spans="1:11" s="75" customFormat="1" ht="14.55" customHeight="1" x14ac:dyDescent="0.25">
      <c r="A2127" s="286" t="s">
        <v>8816</v>
      </c>
      <c r="B2127" s="272" t="s">
        <v>10591</v>
      </c>
      <c r="C2127" s="272" t="s">
        <v>10556</v>
      </c>
      <c r="D2127" s="259" t="s">
        <v>10557</v>
      </c>
      <c r="E2127" s="299" t="s">
        <v>11047</v>
      </c>
      <c r="F2127" s="272" t="s">
        <v>9198</v>
      </c>
      <c r="G2127" s="272" t="s">
        <v>9197</v>
      </c>
      <c r="H2127" s="265" t="s">
        <v>11002</v>
      </c>
      <c r="I2127" s="290" t="s">
        <v>11003</v>
      </c>
      <c r="J2127" s="265" t="s">
        <v>10655</v>
      </c>
      <c r="K2127" s="299" t="s">
        <v>11047</v>
      </c>
    </row>
    <row r="2128" spans="1:11" s="75" customFormat="1" ht="14.55" customHeight="1" x14ac:dyDescent="0.25">
      <c r="A2128" s="286" t="s">
        <v>8816</v>
      </c>
      <c r="B2128" s="272" t="s">
        <v>10591</v>
      </c>
      <c r="C2128" s="272" t="s">
        <v>10556</v>
      </c>
      <c r="D2128" s="259" t="s">
        <v>10557</v>
      </c>
      <c r="E2128" s="299" t="s">
        <v>11047</v>
      </c>
      <c r="F2128" s="272" t="s">
        <v>9198</v>
      </c>
      <c r="G2128" s="272" t="s">
        <v>9197</v>
      </c>
      <c r="H2128" s="265" t="s">
        <v>11004</v>
      </c>
      <c r="I2128" s="290" t="s">
        <v>11005</v>
      </c>
      <c r="J2128" s="265" t="s">
        <v>10655</v>
      </c>
      <c r="K2128" s="299" t="s">
        <v>11047</v>
      </c>
    </row>
    <row r="2129" spans="1:11" s="75" customFormat="1" ht="14.55" customHeight="1" x14ac:dyDescent="0.25">
      <c r="A2129" s="286" t="s">
        <v>8816</v>
      </c>
      <c r="B2129" s="272" t="s">
        <v>10591</v>
      </c>
      <c r="C2129" s="272" t="s">
        <v>10556</v>
      </c>
      <c r="D2129" s="259" t="s">
        <v>10557</v>
      </c>
      <c r="E2129" s="299" t="s">
        <v>11047</v>
      </c>
      <c r="F2129" s="272" t="s">
        <v>9198</v>
      </c>
      <c r="G2129" s="272" t="s">
        <v>9197</v>
      </c>
      <c r="H2129" s="265" t="s">
        <v>10984</v>
      </c>
      <c r="I2129" s="290" t="s">
        <v>10985</v>
      </c>
      <c r="J2129" s="265" t="s">
        <v>10655</v>
      </c>
      <c r="K2129" s="299" t="s">
        <v>11047</v>
      </c>
    </row>
    <row r="2130" spans="1:11" s="75" customFormat="1" ht="14.55" customHeight="1" x14ac:dyDescent="0.25">
      <c r="A2130" s="286" t="s">
        <v>8816</v>
      </c>
      <c r="B2130" s="272" t="s">
        <v>10591</v>
      </c>
      <c r="C2130" s="272" t="s">
        <v>10556</v>
      </c>
      <c r="D2130" s="259" t="s">
        <v>10557</v>
      </c>
      <c r="E2130" s="299" t="s">
        <v>11047</v>
      </c>
      <c r="F2130" s="272" t="s">
        <v>9198</v>
      </c>
      <c r="G2130" s="272" t="s">
        <v>9197</v>
      </c>
      <c r="H2130" s="265" t="s">
        <v>10986</v>
      </c>
      <c r="I2130" s="290" t="s">
        <v>10987</v>
      </c>
      <c r="J2130" s="265" t="s">
        <v>10655</v>
      </c>
      <c r="K2130" s="299" t="s">
        <v>11047</v>
      </c>
    </row>
    <row r="2131" spans="1:11" s="75" customFormat="1" ht="14.55" customHeight="1" x14ac:dyDescent="0.25">
      <c r="A2131" s="286" t="s">
        <v>8816</v>
      </c>
      <c r="B2131" s="272" t="s">
        <v>10591</v>
      </c>
      <c r="C2131" s="272" t="s">
        <v>10556</v>
      </c>
      <c r="D2131" s="259" t="s">
        <v>10557</v>
      </c>
      <c r="E2131" s="299" t="s">
        <v>11047</v>
      </c>
      <c r="F2131" s="272" t="s">
        <v>9198</v>
      </c>
      <c r="G2131" s="272" t="s">
        <v>9197</v>
      </c>
      <c r="H2131" s="265" t="s">
        <v>11006</v>
      </c>
      <c r="I2131" s="290" t="s">
        <v>11007</v>
      </c>
      <c r="J2131" s="265" t="s">
        <v>10655</v>
      </c>
      <c r="K2131" s="299" t="s">
        <v>11047</v>
      </c>
    </row>
    <row r="2132" spans="1:11" s="75" customFormat="1" ht="14.55" customHeight="1" x14ac:dyDescent="0.25">
      <c r="A2132" s="286" t="s">
        <v>8816</v>
      </c>
      <c r="B2132" s="272" t="s">
        <v>10591</v>
      </c>
      <c r="C2132" s="272" t="s">
        <v>10556</v>
      </c>
      <c r="D2132" s="259" t="s">
        <v>10557</v>
      </c>
      <c r="E2132" s="299" t="s">
        <v>11047</v>
      </c>
      <c r="F2132" s="272" t="s">
        <v>9198</v>
      </c>
      <c r="G2132" s="272" t="s">
        <v>9197</v>
      </c>
      <c r="H2132" s="265" t="s">
        <v>10988</v>
      </c>
      <c r="I2132" s="290" t="s">
        <v>10989</v>
      </c>
      <c r="J2132" s="265" t="s">
        <v>10655</v>
      </c>
      <c r="K2132" s="299" t="s">
        <v>11047</v>
      </c>
    </row>
    <row r="2133" spans="1:11" s="75" customFormat="1" ht="14.55" customHeight="1" x14ac:dyDescent="0.25">
      <c r="A2133" s="286" t="s">
        <v>8816</v>
      </c>
      <c r="B2133" s="272" t="s">
        <v>10591</v>
      </c>
      <c r="C2133" s="272" t="s">
        <v>10556</v>
      </c>
      <c r="D2133" s="259" t="s">
        <v>10557</v>
      </c>
      <c r="E2133" s="299" t="s">
        <v>11047</v>
      </c>
      <c r="F2133" s="272" t="s">
        <v>9198</v>
      </c>
      <c r="G2133" s="272" t="s">
        <v>9197</v>
      </c>
      <c r="H2133" s="265" t="s">
        <v>11010</v>
      </c>
      <c r="I2133" s="290" t="s">
        <v>11011</v>
      </c>
      <c r="J2133" s="265" t="s">
        <v>10655</v>
      </c>
      <c r="K2133" s="299" t="s">
        <v>11047</v>
      </c>
    </row>
    <row r="2134" spans="1:11" s="75" customFormat="1" ht="14.55" customHeight="1" x14ac:dyDescent="0.25">
      <c r="A2134" s="286" t="s">
        <v>8816</v>
      </c>
      <c r="B2134" s="272" t="s">
        <v>10591</v>
      </c>
      <c r="C2134" s="272" t="s">
        <v>10556</v>
      </c>
      <c r="D2134" s="259" t="s">
        <v>10557</v>
      </c>
      <c r="E2134" s="299" t="s">
        <v>11047</v>
      </c>
      <c r="F2134" s="272" t="s">
        <v>9198</v>
      </c>
      <c r="G2134" s="272" t="s">
        <v>9197</v>
      </c>
      <c r="H2134" s="265" t="s">
        <v>10990</v>
      </c>
      <c r="I2134" s="290" t="s">
        <v>10991</v>
      </c>
      <c r="J2134" s="265" t="s">
        <v>10655</v>
      </c>
      <c r="K2134" s="299" t="s">
        <v>11047</v>
      </c>
    </row>
    <row r="2135" spans="1:11" s="75" customFormat="1" ht="14.55" customHeight="1" x14ac:dyDescent="0.25">
      <c r="A2135" s="286" t="s">
        <v>8816</v>
      </c>
      <c r="B2135" s="272" t="s">
        <v>10591</v>
      </c>
      <c r="C2135" s="272" t="s">
        <v>10556</v>
      </c>
      <c r="D2135" s="259" t="s">
        <v>10557</v>
      </c>
      <c r="E2135" s="299" t="s">
        <v>11047</v>
      </c>
      <c r="F2135" s="272" t="s">
        <v>9198</v>
      </c>
      <c r="G2135" s="272" t="s">
        <v>9197</v>
      </c>
      <c r="H2135" s="265" t="s">
        <v>10992</v>
      </c>
      <c r="I2135" s="290" t="s">
        <v>10993</v>
      </c>
      <c r="J2135" s="265" t="s">
        <v>10655</v>
      </c>
      <c r="K2135" s="299" t="s">
        <v>11047</v>
      </c>
    </row>
    <row r="2136" spans="1:11" s="75" customFormat="1" ht="14.55" customHeight="1" x14ac:dyDescent="0.25">
      <c r="A2136" s="286" t="s">
        <v>8816</v>
      </c>
      <c r="B2136" s="272" t="s">
        <v>10591</v>
      </c>
      <c r="C2136" s="272" t="s">
        <v>10556</v>
      </c>
      <c r="D2136" s="259" t="s">
        <v>10557</v>
      </c>
      <c r="E2136" s="299" t="s">
        <v>11047</v>
      </c>
      <c r="F2136" s="272" t="s">
        <v>9198</v>
      </c>
      <c r="G2136" s="272" t="s">
        <v>9197</v>
      </c>
      <c r="H2136" s="265" t="s">
        <v>10994</v>
      </c>
      <c r="I2136" s="290" t="s">
        <v>10995</v>
      </c>
      <c r="J2136" s="265" t="s">
        <v>10655</v>
      </c>
      <c r="K2136" s="299" t="s">
        <v>11047</v>
      </c>
    </row>
    <row r="2137" spans="1:11" s="75" customFormat="1" ht="14.55" customHeight="1" x14ac:dyDescent="0.25">
      <c r="A2137" s="286" t="s">
        <v>8816</v>
      </c>
      <c r="B2137" s="272" t="s">
        <v>10591</v>
      </c>
      <c r="C2137" s="272" t="s">
        <v>10556</v>
      </c>
      <c r="D2137" s="259" t="s">
        <v>10557</v>
      </c>
      <c r="E2137" s="299" t="s">
        <v>11047</v>
      </c>
      <c r="F2137" s="272" t="s">
        <v>9198</v>
      </c>
      <c r="G2137" s="272" t="s">
        <v>9197</v>
      </c>
      <c r="H2137" s="265" t="s">
        <v>10996</v>
      </c>
      <c r="I2137" s="290" t="s">
        <v>10997</v>
      </c>
      <c r="J2137" s="265" t="s">
        <v>10655</v>
      </c>
      <c r="K2137" s="299" t="s">
        <v>11047</v>
      </c>
    </row>
    <row r="2138" spans="1:11" s="75" customFormat="1" ht="14.55" customHeight="1" x14ac:dyDescent="0.25">
      <c r="A2138" s="286" t="s">
        <v>8816</v>
      </c>
      <c r="B2138" s="272" t="s">
        <v>10591</v>
      </c>
      <c r="C2138" s="272" t="s">
        <v>10556</v>
      </c>
      <c r="D2138" s="259" t="s">
        <v>10557</v>
      </c>
      <c r="E2138" s="299" t="s">
        <v>11047</v>
      </c>
      <c r="F2138" s="272" t="s">
        <v>9198</v>
      </c>
      <c r="G2138" s="272" t="s">
        <v>9197</v>
      </c>
      <c r="H2138" s="265" t="s">
        <v>10998</v>
      </c>
      <c r="I2138" s="290" t="s">
        <v>10999</v>
      </c>
      <c r="J2138" s="265" t="s">
        <v>10655</v>
      </c>
      <c r="K2138" s="299" t="s">
        <v>11047</v>
      </c>
    </row>
    <row r="2139" spans="1:11" s="75" customFormat="1" ht="14.55" customHeight="1" x14ac:dyDescent="0.25">
      <c r="A2139" s="286" t="s">
        <v>8816</v>
      </c>
      <c r="B2139" s="272" t="s">
        <v>10591</v>
      </c>
      <c r="C2139" s="272" t="s">
        <v>10556</v>
      </c>
      <c r="D2139" s="259" t="s">
        <v>10557</v>
      </c>
      <c r="E2139" s="299" t="s">
        <v>11047</v>
      </c>
      <c r="F2139" s="272" t="s">
        <v>9198</v>
      </c>
      <c r="G2139" s="272" t="s">
        <v>9197</v>
      </c>
      <c r="H2139" s="265" t="s">
        <v>10929</v>
      </c>
      <c r="I2139" s="290" t="s">
        <v>10930</v>
      </c>
      <c r="J2139" s="265" t="s">
        <v>10655</v>
      </c>
      <c r="K2139" s="299" t="s">
        <v>11047</v>
      </c>
    </row>
    <row r="2140" spans="1:11" s="75" customFormat="1" ht="14.55" customHeight="1" x14ac:dyDescent="0.25">
      <c r="A2140" s="286" t="s">
        <v>8816</v>
      </c>
      <c r="B2140" s="272" t="s">
        <v>10591</v>
      </c>
      <c r="C2140" s="272" t="s">
        <v>10556</v>
      </c>
      <c r="D2140" s="259" t="s">
        <v>10557</v>
      </c>
      <c r="E2140" s="299" t="s">
        <v>11047</v>
      </c>
      <c r="F2140" s="272" t="s">
        <v>9198</v>
      </c>
      <c r="G2140" s="272" t="s">
        <v>9197</v>
      </c>
      <c r="H2140" s="265" t="s">
        <v>11012</v>
      </c>
      <c r="I2140" s="290" t="s">
        <v>11013</v>
      </c>
      <c r="J2140" s="265" t="s">
        <v>10655</v>
      </c>
      <c r="K2140" s="299" t="s">
        <v>11047</v>
      </c>
    </row>
    <row r="2141" spans="1:11" s="75" customFormat="1" ht="14.55" customHeight="1" x14ac:dyDescent="0.25">
      <c r="A2141" s="286" t="s">
        <v>8816</v>
      </c>
      <c r="B2141" s="272" t="s">
        <v>10591</v>
      </c>
      <c r="C2141" s="272" t="s">
        <v>10556</v>
      </c>
      <c r="D2141" s="259" t="s">
        <v>10557</v>
      </c>
      <c r="E2141" s="299" t="s">
        <v>11047</v>
      </c>
      <c r="F2141" s="272" t="s">
        <v>9198</v>
      </c>
      <c r="G2141" s="272" t="s">
        <v>9197</v>
      </c>
      <c r="H2141" s="265" t="s">
        <v>11000</v>
      </c>
      <c r="I2141" s="290" t="s">
        <v>11001</v>
      </c>
      <c r="J2141" s="265" t="s">
        <v>10655</v>
      </c>
      <c r="K2141" s="299" t="s">
        <v>11047</v>
      </c>
    </row>
    <row r="2142" spans="1:11" s="75" customFormat="1" ht="14.55" customHeight="1" x14ac:dyDescent="0.25">
      <c r="A2142" s="286" t="s">
        <v>8816</v>
      </c>
      <c r="B2142" s="272" t="s">
        <v>10591</v>
      </c>
      <c r="C2142" s="272" t="s">
        <v>10558</v>
      </c>
      <c r="D2142" s="259" t="s">
        <v>10559</v>
      </c>
      <c r="E2142" s="299" t="s">
        <v>11047</v>
      </c>
      <c r="F2142" s="272" t="s">
        <v>9198</v>
      </c>
      <c r="G2142" s="272" t="s">
        <v>9197</v>
      </c>
      <c r="H2142" s="265" t="s">
        <v>10921</v>
      </c>
      <c r="I2142" s="290" t="s">
        <v>10922</v>
      </c>
      <c r="J2142" s="265" t="s">
        <v>10655</v>
      </c>
      <c r="K2142" s="299" t="s">
        <v>11047</v>
      </c>
    </row>
    <row r="2143" spans="1:11" s="75" customFormat="1" ht="14.55" customHeight="1" x14ac:dyDescent="0.25">
      <c r="A2143" s="286" t="s">
        <v>8816</v>
      </c>
      <c r="B2143" s="272" t="s">
        <v>10591</v>
      </c>
      <c r="C2143" s="272" t="s">
        <v>10558</v>
      </c>
      <c r="D2143" s="259" t="s">
        <v>10559</v>
      </c>
      <c r="E2143" s="299" t="s">
        <v>11047</v>
      </c>
      <c r="F2143" s="272" t="s">
        <v>9198</v>
      </c>
      <c r="G2143" s="272" t="s">
        <v>9197</v>
      </c>
      <c r="H2143" s="265" t="s">
        <v>10885</v>
      </c>
      <c r="I2143" s="290" t="s">
        <v>10886</v>
      </c>
      <c r="J2143" s="265" t="s">
        <v>10655</v>
      </c>
      <c r="K2143" s="299" t="s">
        <v>11047</v>
      </c>
    </row>
    <row r="2144" spans="1:11" s="75" customFormat="1" ht="14.55" customHeight="1" x14ac:dyDescent="0.25">
      <c r="A2144" s="286" t="s">
        <v>8816</v>
      </c>
      <c r="B2144" s="272" t="s">
        <v>10591</v>
      </c>
      <c r="C2144" s="272" t="s">
        <v>10558</v>
      </c>
      <c r="D2144" s="259" t="s">
        <v>10559</v>
      </c>
      <c r="E2144" s="299" t="s">
        <v>11047</v>
      </c>
      <c r="F2144" s="272" t="s">
        <v>9198</v>
      </c>
      <c r="G2144" s="272" t="s">
        <v>9197</v>
      </c>
      <c r="H2144" s="265" t="s">
        <v>10887</v>
      </c>
      <c r="I2144" s="290" t="s">
        <v>10888</v>
      </c>
      <c r="J2144" s="265" t="s">
        <v>10655</v>
      </c>
      <c r="K2144" s="299" t="s">
        <v>11047</v>
      </c>
    </row>
    <row r="2145" spans="1:11" s="75" customFormat="1" ht="14.55" customHeight="1" x14ac:dyDescent="0.25">
      <c r="A2145" s="286" t="s">
        <v>8816</v>
      </c>
      <c r="B2145" s="272" t="s">
        <v>10591</v>
      </c>
      <c r="C2145" s="272" t="s">
        <v>10558</v>
      </c>
      <c r="D2145" s="259" t="s">
        <v>10559</v>
      </c>
      <c r="E2145" s="299" t="s">
        <v>11047</v>
      </c>
      <c r="F2145" s="272" t="s">
        <v>9198</v>
      </c>
      <c r="G2145" s="272" t="s">
        <v>9197</v>
      </c>
      <c r="H2145" s="265" t="s">
        <v>10869</v>
      </c>
      <c r="I2145" s="290" t="s">
        <v>10870</v>
      </c>
      <c r="J2145" s="265" t="s">
        <v>10655</v>
      </c>
      <c r="K2145" s="299" t="s">
        <v>11047</v>
      </c>
    </row>
    <row r="2146" spans="1:11" s="75" customFormat="1" ht="14.55" customHeight="1" x14ac:dyDescent="0.25">
      <c r="A2146" s="286" t="s">
        <v>8816</v>
      </c>
      <c r="B2146" s="272" t="s">
        <v>10591</v>
      </c>
      <c r="C2146" s="272" t="s">
        <v>10558</v>
      </c>
      <c r="D2146" s="259" t="s">
        <v>10559</v>
      </c>
      <c r="E2146" s="299" t="s">
        <v>11047</v>
      </c>
      <c r="F2146" s="272" t="s">
        <v>9198</v>
      </c>
      <c r="G2146" s="272" t="s">
        <v>9197</v>
      </c>
      <c r="H2146" s="265" t="s">
        <v>10889</v>
      </c>
      <c r="I2146" s="290" t="s">
        <v>10890</v>
      </c>
      <c r="J2146" s="265" t="s">
        <v>10655</v>
      </c>
      <c r="K2146" s="299" t="s">
        <v>11047</v>
      </c>
    </row>
    <row r="2147" spans="1:11" s="75" customFormat="1" ht="14.55" customHeight="1" x14ac:dyDescent="0.25">
      <c r="A2147" s="286" t="s">
        <v>8816</v>
      </c>
      <c r="B2147" s="272" t="s">
        <v>10591</v>
      </c>
      <c r="C2147" s="272" t="s">
        <v>10558</v>
      </c>
      <c r="D2147" s="259" t="s">
        <v>10559</v>
      </c>
      <c r="E2147" s="299" t="s">
        <v>11047</v>
      </c>
      <c r="F2147" s="272" t="s">
        <v>9198</v>
      </c>
      <c r="G2147" s="272" t="s">
        <v>9197</v>
      </c>
      <c r="H2147" s="265" t="s">
        <v>10891</v>
      </c>
      <c r="I2147" s="290" t="s">
        <v>10892</v>
      </c>
      <c r="J2147" s="265" t="s">
        <v>10655</v>
      </c>
      <c r="K2147" s="299" t="s">
        <v>11047</v>
      </c>
    </row>
    <row r="2148" spans="1:11" s="75" customFormat="1" ht="14.55" customHeight="1" x14ac:dyDescent="0.25">
      <c r="A2148" s="286" t="s">
        <v>8816</v>
      </c>
      <c r="B2148" s="272" t="s">
        <v>10591</v>
      </c>
      <c r="C2148" s="272" t="s">
        <v>10558</v>
      </c>
      <c r="D2148" s="259" t="s">
        <v>10559</v>
      </c>
      <c r="E2148" s="299" t="s">
        <v>11047</v>
      </c>
      <c r="F2148" s="272" t="s">
        <v>9198</v>
      </c>
      <c r="G2148" s="272" t="s">
        <v>9197</v>
      </c>
      <c r="H2148" s="265" t="s">
        <v>10893</v>
      </c>
      <c r="I2148" s="290" t="s">
        <v>10894</v>
      </c>
      <c r="J2148" s="265" t="s">
        <v>10655</v>
      </c>
      <c r="K2148" s="299" t="s">
        <v>11047</v>
      </c>
    </row>
    <row r="2149" spans="1:11" s="75" customFormat="1" ht="14.55" customHeight="1" x14ac:dyDescent="0.25">
      <c r="A2149" s="286" t="s">
        <v>8816</v>
      </c>
      <c r="B2149" s="272" t="s">
        <v>10591</v>
      </c>
      <c r="C2149" s="272" t="s">
        <v>10558</v>
      </c>
      <c r="D2149" s="259" t="s">
        <v>10559</v>
      </c>
      <c r="E2149" s="299" t="s">
        <v>11047</v>
      </c>
      <c r="F2149" s="272" t="s">
        <v>9198</v>
      </c>
      <c r="G2149" s="272" t="s">
        <v>9197</v>
      </c>
      <c r="H2149" s="265" t="s">
        <v>10871</v>
      </c>
      <c r="I2149" s="290" t="s">
        <v>10872</v>
      </c>
      <c r="J2149" s="265" t="s">
        <v>10655</v>
      </c>
      <c r="K2149" s="299" t="s">
        <v>11047</v>
      </c>
    </row>
    <row r="2150" spans="1:11" s="75" customFormat="1" ht="14.55" customHeight="1" x14ac:dyDescent="0.25">
      <c r="A2150" s="286" t="s">
        <v>8816</v>
      </c>
      <c r="B2150" s="272" t="s">
        <v>10591</v>
      </c>
      <c r="C2150" s="272" t="s">
        <v>10558</v>
      </c>
      <c r="D2150" s="259" t="s">
        <v>10559</v>
      </c>
      <c r="E2150" s="299" t="s">
        <v>11047</v>
      </c>
      <c r="F2150" s="272" t="s">
        <v>9198</v>
      </c>
      <c r="G2150" s="272" t="s">
        <v>9197</v>
      </c>
      <c r="H2150" s="265" t="s">
        <v>10895</v>
      </c>
      <c r="I2150" s="290" t="s">
        <v>10896</v>
      </c>
      <c r="J2150" s="265" t="s">
        <v>10655</v>
      </c>
      <c r="K2150" s="299" t="s">
        <v>11047</v>
      </c>
    </row>
    <row r="2151" spans="1:11" s="75" customFormat="1" ht="14.55" customHeight="1" x14ac:dyDescent="0.25">
      <c r="A2151" s="286" t="s">
        <v>8816</v>
      </c>
      <c r="B2151" s="272" t="s">
        <v>10591</v>
      </c>
      <c r="C2151" s="272" t="s">
        <v>10558</v>
      </c>
      <c r="D2151" s="259" t="s">
        <v>10559</v>
      </c>
      <c r="E2151" s="299" t="s">
        <v>11047</v>
      </c>
      <c r="F2151" s="272" t="s">
        <v>9198</v>
      </c>
      <c r="G2151" s="272" t="s">
        <v>9197</v>
      </c>
      <c r="H2151" s="265" t="s">
        <v>10897</v>
      </c>
      <c r="I2151" s="290" t="s">
        <v>10898</v>
      </c>
      <c r="J2151" s="265" t="s">
        <v>10655</v>
      </c>
      <c r="K2151" s="299" t="s">
        <v>11047</v>
      </c>
    </row>
    <row r="2152" spans="1:11" s="75" customFormat="1" ht="14.55" customHeight="1" x14ac:dyDescent="0.25">
      <c r="A2152" s="286" t="s">
        <v>8816</v>
      </c>
      <c r="B2152" s="272" t="s">
        <v>10591</v>
      </c>
      <c r="C2152" s="272" t="s">
        <v>10558</v>
      </c>
      <c r="D2152" s="259" t="s">
        <v>10559</v>
      </c>
      <c r="E2152" s="299" t="s">
        <v>11047</v>
      </c>
      <c r="F2152" s="272" t="s">
        <v>9198</v>
      </c>
      <c r="G2152" s="272" t="s">
        <v>9197</v>
      </c>
      <c r="H2152" s="265" t="s">
        <v>10873</v>
      </c>
      <c r="I2152" s="290" t="s">
        <v>10874</v>
      </c>
      <c r="J2152" s="265" t="s">
        <v>10655</v>
      </c>
      <c r="K2152" s="299" t="s">
        <v>11047</v>
      </c>
    </row>
    <row r="2153" spans="1:11" s="75" customFormat="1" ht="14.55" customHeight="1" x14ac:dyDescent="0.25">
      <c r="A2153" s="286" t="s">
        <v>8816</v>
      </c>
      <c r="B2153" s="272" t="s">
        <v>10591</v>
      </c>
      <c r="C2153" s="272" t="s">
        <v>10560</v>
      </c>
      <c r="D2153" s="259" t="s">
        <v>10561</v>
      </c>
      <c r="E2153" s="299" t="s">
        <v>11047</v>
      </c>
      <c r="F2153" s="272" t="s">
        <v>9198</v>
      </c>
      <c r="G2153" s="272" t="s">
        <v>9197</v>
      </c>
      <c r="H2153" s="265" t="s">
        <v>10875</v>
      </c>
      <c r="I2153" s="290" t="s">
        <v>10876</v>
      </c>
      <c r="J2153" s="265" t="s">
        <v>10655</v>
      </c>
      <c r="K2153" s="299" t="s">
        <v>11047</v>
      </c>
    </row>
    <row r="2154" spans="1:11" s="75" customFormat="1" ht="14.55" customHeight="1" x14ac:dyDescent="0.25">
      <c r="A2154" s="286" t="s">
        <v>8816</v>
      </c>
      <c r="B2154" s="272" t="s">
        <v>10591</v>
      </c>
      <c r="C2154" s="272" t="s">
        <v>10560</v>
      </c>
      <c r="D2154" s="259" t="s">
        <v>10561</v>
      </c>
      <c r="E2154" s="299" t="s">
        <v>11047</v>
      </c>
      <c r="F2154" s="272" t="s">
        <v>9198</v>
      </c>
      <c r="G2154" s="272" t="s">
        <v>9197</v>
      </c>
      <c r="H2154" s="265" t="s">
        <v>11030</v>
      </c>
      <c r="I2154" s="290" t="s">
        <v>11031</v>
      </c>
      <c r="J2154" s="265" t="s">
        <v>10655</v>
      </c>
      <c r="K2154" s="299" t="s">
        <v>11047</v>
      </c>
    </row>
    <row r="2155" spans="1:11" s="75" customFormat="1" ht="14.55" customHeight="1" x14ac:dyDescent="0.25">
      <c r="A2155" s="286" t="s">
        <v>8816</v>
      </c>
      <c r="B2155" s="272" t="s">
        <v>10591</v>
      </c>
      <c r="C2155" s="272" t="s">
        <v>10560</v>
      </c>
      <c r="D2155" s="259" t="s">
        <v>10561</v>
      </c>
      <c r="E2155" s="299" t="s">
        <v>11047</v>
      </c>
      <c r="F2155" s="272" t="s">
        <v>9198</v>
      </c>
      <c r="G2155" s="272" t="s">
        <v>9197</v>
      </c>
      <c r="H2155" s="265" t="s">
        <v>11034</v>
      </c>
      <c r="I2155" s="290" t="s">
        <v>11035</v>
      </c>
      <c r="J2155" s="265" t="s">
        <v>10655</v>
      </c>
      <c r="K2155" s="299" t="s">
        <v>11047</v>
      </c>
    </row>
    <row r="2156" spans="1:11" s="75" customFormat="1" ht="14.55" customHeight="1" x14ac:dyDescent="0.25">
      <c r="A2156" s="286" t="s">
        <v>8816</v>
      </c>
      <c r="B2156" s="272" t="s">
        <v>10591</v>
      </c>
      <c r="C2156" s="272" t="s">
        <v>10560</v>
      </c>
      <c r="D2156" s="259" t="s">
        <v>10561</v>
      </c>
      <c r="E2156" s="299" t="s">
        <v>11047</v>
      </c>
      <c r="F2156" s="272" t="s">
        <v>9198</v>
      </c>
      <c r="G2156" s="272" t="s">
        <v>9197</v>
      </c>
      <c r="H2156" s="265" t="s">
        <v>10877</v>
      </c>
      <c r="I2156" s="290" t="s">
        <v>10878</v>
      </c>
      <c r="J2156" s="265" t="s">
        <v>10655</v>
      </c>
      <c r="K2156" s="299" t="s">
        <v>11047</v>
      </c>
    </row>
    <row r="2157" spans="1:11" s="75" customFormat="1" ht="14.55" customHeight="1" x14ac:dyDescent="0.25">
      <c r="A2157" s="286" t="s">
        <v>8816</v>
      </c>
      <c r="B2157" s="272" t="s">
        <v>10591</v>
      </c>
      <c r="C2157" s="272" t="s">
        <v>10560</v>
      </c>
      <c r="D2157" s="259" t="s">
        <v>10561</v>
      </c>
      <c r="E2157" s="299" t="s">
        <v>11047</v>
      </c>
      <c r="F2157" s="272" t="s">
        <v>9198</v>
      </c>
      <c r="G2157" s="272" t="s">
        <v>9197</v>
      </c>
      <c r="H2157" s="265" t="s">
        <v>10879</v>
      </c>
      <c r="I2157" s="290" t="s">
        <v>10880</v>
      </c>
      <c r="J2157" s="265" t="s">
        <v>10655</v>
      </c>
      <c r="K2157" s="299" t="s">
        <v>11047</v>
      </c>
    </row>
    <row r="2158" spans="1:11" s="75" customFormat="1" ht="14.55" customHeight="1" x14ac:dyDescent="0.25">
      <c r="A2158" s="286" t="s">
        <v>8816</v>
      </c>
      <c r="B2158" s="272" t="s">
        <v>10591</v>
      </c>
      <c r="C2158" s="272" t="s">
        <v>10560</v>
      </c>
      <c r="D2158" s="259" t="s">
        <v>10561</v>
      </c>
      <c r="E2158" s="299" t="s">
        <v>11047</v>
      </c>
      <c r="F2158" s="272" t="s">
        <v>9198</v>
      </c>
      <c r="G2158" s="272" t="s">
        <v>9197</v>
      </c>
      <c r="H2158" s="265" t="s">
        <v>10881</v>
      </c>
      <c r="I2158" s="291" t="s">
        <v>10882</v>
      </c>
      <c r="J2158" s="265" t="s">
        <v>10655</v>
      </c>
      <c r="K2158" s="299" t="s">
        <v>11047</v>
      </c>
    </row>
    <row r="2159" spans="1:11" s="75" customFormat="1" ht="14.55" customHeight="1" x14ac:dyDescent="0.25">
      <c r="A2159" s="286" t="s">
        <v>8816</v>
      </c>
      <c r="B2159" s="272" t="s">
        <v>10591</v>
      </c>
      <c r="C2159" s="272" t="s">
        <v>10560</v>
      </c>
      <c r="D2159" s="259" t="s">
        <v>10561</v>
      </c>
      <c r="E2159" s="299" t="s">
        <v>11047</v>
      </c>
      <c r="F2159" s="272" t="s">
        <v>9198</v>
      </c>
      <c r="G2159" s="272" t="s">
        <v>9197</v>
      </c>
      <c r="H2159" s="265" t="s">
        <v>10883</v>
      </c>
      <c r="I2159" s="292" t="s">
        <v>10884</v>
      </c>
      <c r="J2159" s="265" t="s">
        <v>10655</v>
      </c>
      <c r="K2159" s="299" t="s">
        <v>11047</v>
      </c>
    </row>
    <row r="2160" spans="1:11" s="75" customFormat="1" ht="14.55" customHeight="1" x14ac:dyDescent="0.25">
      <c r="A2160" s="286" t="s">
        <v>8816</v>
      </c>
      <c r="B2160" s="272" t="s">
        <v>10591</v>
      </c>
      <c r="C2160" s="272" t="s">
        <v>10560</v>
      </c>
      <c r="D2160" s="259" t="s">
        <v>10561</v>
      </c>
      <c r="E2160" s="299" t="s">
        <v>11047</v>
      </c>
      <c r="F2160" s="272" t="s">
        <v>9198</v>
      </c>
      <c r="G2160" s="272" t="s">
        <v>9197</v>
      </c>
      <c r="H2160" s="265" t="s">
        <v>10903</v>
      </c>
      <c r="I2160" s="290" t="s">
        <v>10904</v>
      </c>
      <c r="J2160" s="265" t="s">
        <v>10655</v>
      </c>
      <c r="K2160" s="299" t="s">
        <v>11047</v>
      </c>
    </row>
    <row r="2161" spans="1:11" s="75" customFormat="1" ht="14.55" customHeight="1" x14ac:dyDescent="0.25">
      <c r="A2161" s="286" t="s">
        <v>8816</v>
      </c>
      <c r="B2161" s="272" t="s">
        <v>10591</v>
      </c>
      <c r="C2161" s="272" t="s">
        <v>10560</v>
      </c>
      <c r="D2161" s="259" t="s">
        <v>10561</v>
      </c>
      <c r="E2161" s="299" t="s">
        <v>11047</v>
      </c>
      <c r="F2161" s="272" t="s">
        <v>9198</v>
      </c>
      <c r="G2161" s="272" t="s">
        <v>9197</v>
      </c>
      <c r="H2161" s="265" t="s">
        <v>10905</v>
      </c>
      <c r="I2161" s="290" t="s">
        <v>10910</v>
      </c>
      <c r="J2161" s="265" t="s">
        <v>10655</v>
      </c>
      <c r="K2161" s="299" t="s">
        <v>11047</v>
      </c>
    </row>
    <row r="2162" spans="1:11" s="75" customFormat="1" ht="14.55" customHeight="1" x14ac:dyDescent="0.25">
      <c r="A2162" s="286" t="s">
        <v>8816</v>
      </c>
      <c r="B2162" s="272" t="s">
        <v>10591</v>
      </c>
      <c r="C2162" s="272" t="s">
        <v>10560</v>
      </c>
      <c r="D2162" s="259" t="s">
        <v>10561</v>
      </c>
      <c r="E2162" s="299" t="s">
        <v>11047</v>
      </c>
      <c r="F2162" s="272" t="s">
        <v>9198</v>
      </c>
      <c r="G2162" s="272" t="s">
        <v>9197</v>
      </c>
      <c r="H2162" s="265" t="s">
        <v>10913</v>
      </c>
      <c r="I2162" s="290" t="s">
        <v>10914</v>
      </c>
      <c r="J2162" s="265" t="s">
        <v>10655</v>
      </c>
      <c r="K2162" s="299" t="s">
        <v>11047</v>
      </c>
    </row>
    <row r="2163" spans="1:11" s="75" customFormat="1" ht="14.55" customHeight="1" x14ac:dyDescent="0.25">
      <c r="A2163" s="286" t="s">
        <v>8816</v>
      </c>
      <c r="B2163" s="272" t="s">
        <v>10591</v>
      </c>
      <c r="C2163" s="272" t="s">
        <v>10560</v>
      </c>
      <c r="D2163" s="259" t="s">
        <v>10561</v>
      </c>
      <c r="E2163" s="299" t="s">
        <v>11047</v>
      </c>
      <c r="F2163" s="272" t="s">
        <v>9198</v>
      </c>
      <c r="G2163" s="272" t="s">
        <v>9197</v>
      </c>
      <c r="H2163" s="265" t="s">
        <v>10915</v>
      </c>
      <c r="I2163" s="290" t="s">
        <v>10916</v>
      </c>
      <c r="J2163" s="265" t="s">
        <v>10655</v>
      </c>
      <c r="K2163" s="299" t="s">
        <v>11047</v>
      </c>
    </row>
    <row r="2164" spans="1:11" s="75" customFormat="1" ht="14.55" customHeight="1" x14ac:dyDescent="0.25">
      <c r="A2164" s="286" t="s">
        <v>8816</v>
      </c>
      <c r="B2164" s="272" t="s">
        <v>10591</v>
      </c>
      <c r="C2164" s="272" t="s">
        <v>10560</v>
      </c>
      <c r="D2164" s="259" t="s">
        <v>10561</v>
      </c>
      <c r="E2164" s="299" t="s">
        <v>11047</v>
      </c>
      <c r="F2164" s="272" t="s">
        <v>9198</v>
      </c>
      <c r="G2164" s="272" t="s">
        <v>9197</v>
      </c>
      <c r="H2164" s="265" t="s">
        <v>10917</v>
      </c>
      <c r="I2164" s="290" t="s">
        <v>10918</v>
      </c>
      <c r="J2164" s="265" t="s">
        <v>10655</v>
      </c>
      <c r="K2164" s="299" t="s">
        <v>11047</v>
      </c>
    </row>
    <row r="2165" spans="1:11" s="75" customFormat="1" ht="14.55" customHeight="1" x14ac:dyDescent="0.25">
      <c r="A2165" s="286" t="s">
        <v>8816</v>
      </c>
      <c r="B2165" s="272" t="s">
        <v>10591</v>
      </c>
      <c r="C2165" s="272" t="s">
        <v>10560</v>
      </c>
      <c r="D2165" s="259" t="s">
        <v>10561</v>
      </c>
      <c r="E2165" s="299" t="s">
        <v>11047</v>
      </c>
      <c r="F2165" s="272" t="s">
        <v>9198</v>
      </c>
      <c r="G2165" s="272" t="s">
        <v>9197</v>
      </c>
      <c r="H2165" s="265" t="s">
        <v>10919</v>
      </c>
      <c r="I2165" s="290" t="s">
        <v>10920</v>
      </c>
      <c r="J2165" s="265" t="s">
        <v>10655</v>
      </c>
      <c r="K2165" s="299" t="s">
        <v>11047</v>
      </c>
    </row>
    <row r="2166" spans="1:11" s="75" customFormat="1" ht="14.55" customHeight="1" x14ac:dyDescent="0.25">
      <c r="A2166" s="286" t="s">
        <v>8816</v>
      </c>
      <c r="B2166" s="272" t="s">
        <v>10591</v>
      </c>
      <c r="C2166" s="272" t="s">
        <v>10560</v>
      </c>
      <c r="D2166" s="259" t="s">
        <v>10561</v>
      </c>
      <c r="E2166" s="299" t="s">
        <v>11047</v>
      </c>
      <c r="F2166" s="272" t="s">
        <v>9198</v>
      </c>
      <c r="G2166" s="272" t="s">
        <v>9197</v>
      </c>
      <c r="H2166" s="265" t="s">
        <v>11032</v>
      </c>
      <c r="I2166" s="290" t="s">
        <v>11033</v>
      </c>
      <c r="J2166" s="265" t="s">
        <v>10655</v>
      </c>
      <c r="K2166" s="299" t="s">
        <v>11047</v>
      </c>
    </row>
    <row r="2167" spans="1:11" s="75" customFormat="1" ht="14.55" customHeight="1" x14ac:dyDescent="0.25">
      <c r="A2167" s="286" t="s">
        <v>8816</v>
      </c>
      <c r="B2167" s="272" t="s">
        <v>10591</v>
      </c>
      <c r="C2167" s="272" t="s">
        <v>10560</v>
      </c>
      <c r="D2167" s="259" t="s">
        <v>10561</v>
      </c>
      <c r="E2167" s="299" t="s">
        <v>11047</v>
      </c>
      <c r="F2167" s="272" t="s">
        <v>9198</v>
      </c>
      <c r="G2167" s="272" t="s">
        <v>9197</v>
      </c>
      <c r="H2167" s="265" t="s">
        <v>10911</v>
      </c>
      <c r="I2167" s="290" t="s">
        <v>10912</v>
      </c>
      <c r="J2167" s="265" t="s">
        <v>10655</v>
      </c>
      <c r="K2167" s="299" t="s">
        <v>11047</v>
      </c>
    </row>
    <row r="2168" spans="1:11" s="75" customFormat="1" ht="14.55" customHeight="1" x14ac:dyDescent="0.25">
      <c r="A2168" s="286" t="s">
        <v>8816</v>
      </c>
      <c r="B2168" s="272" t="s">
        <v>10591</v>
      </c>
      <c r="C2168" s="272" t="s">
        <v>10562</v>
      </c>
      <c r="D2168" s="259" t="s">
        <v>10563</v>
      </c>
      <c r="E2168" s="299" t="s">
        <v>11047</v>
      </c>
      <c r="F2168" s="272" t="s">
        <v>9198</v>
      </c>
      <c r="G2168" s="272" t="s">
        <v>9197</v>
      </c>
      <c r="H2168" s="265" t="s">
        <v>10962</v>
      </c>
      <c r="I2168" s="290" t="s">
        <v>10963</v>
      </c>
      <c r="J2168" s="265" t="s">
        <v>10655</v>
      </c>
      <c r="K2168" s="299" t="s">
        <v>11047</v>
      </c>
    </row>
    <row r="2169" spans="1:11" s="75" customFormat="1" ht="14.55" customHeight="1" x14ac:dyDescent="0.25">
      <c r="A2169" s="286" t="s">
        <v>8816</v>
      </c>
      <c r="B2169" s="272" t="s">
        <v>10591</v>
      </c>
      <c r="C2169" s="272" t="s">
        <v>10562</v>
      </c>
      <c r="D2169" s="259" t="s">
        <v>10563</v>
      </c>
      <c r="E2169" s="299" t="s">
        <v>11047</v>
      </c>
      <c r="F2169" s="272" t="s">
        <v>9198</v>
      </c>
      <c r="G2169" s="272" t="s">
        <v>9197</v>
      </c>
      <c r="H2169" s="265" t="s">
        <v>10935</v>
      </c>
      <c r="I2169" s="290" t="s">
        <v>10936</v>
      </c>
      <c r="J2169" s="265"/>
      <c r="K2169" s="299" t="s">
        <v>11047</v>
      </c>
    </row>
    <row r="2170" spans="1:11" s="75" customFormat="1" ht="14.55" customHeight="1" x14ac:dyDescent="0.25">
      <c r="A2170" s="286" t="s">
        <v>8816</v>
      </c>
      <c r="B2170" s="272" t="s">
        <v>10591</v>
      </c>
      <c r="C2170" s="272" t="s">
        <v>10562</v>
      </c>
      <c r="D2170" s="259" t="s">
        <v>10563</v>
      </c>
      <c r="E2170" s="299" t="s">
        <v>11047</v>
      </c>
      <c r="F2170" s="272" t="s">
        <v>9198</v>
      </c>
      <c r="G2170" s="272" t="s">
        <v>9197</v>
      </c>
      <c r="H2170" s="265" t="s">
        <v>11016</v>
      </c>
      <c r="I2170" s="290" t="s">
        <v>11017</v>
      </c>
      <c r="J2170" s="265" t="s">
        <v>10655</v>
      </c>
      <c r="K2170" s="299" t="s">
        <v>11047</v>
      </c>
    </row>
    <row r="2171" spans="1:11" s="75" customFormat="1" ht="14.55" customHeight="1" x14ac:dyDescent="0.25">
      <c r="A2171" s="286" t="s">
        <v>8816</v>
      </c>
      <c r="B2171" s="272" t="s">
        <v>10591</v>
      </c>
      <c r="C2171" s="272" t="s">
        <v>10562</v>
      </c>
      <c r="D2171" s="259" t="s">
        <v>10563</v>
      </c>
      <c r="E2171" s="299" t="s">
        <v>11047</v>
      </c>
      <c r="F2171" s="272" t="s">
        <v>9198</v>
      </c>
      <c r="G2171" s="272" t="s">
        <v>9197</v>
      </c>
      <c r="H2171" s="265" t="s">
        <v>11018</v>
      </c>
      <c r="I2171" s="290" t="s">
        <v>11019</v>
      </c>
      <c r="J2171" s="265" t="s">
        <v>10655</v>
      </c>
      <c r="K2171" s="299" t="s">
        <v>11047</v>
      </c>
    </row>
    <row r="2172" spans="1:11" s="75" customFormat="1" ht="14.55" customHeight="1" x14ac:dyDescent="0.25">
      <c r="A2172" s="286" t="s">
        <v>8816</v>
      </c>
      <c r="B2172" s="272" t="s">
        <v>10591</v>
      </c>
      <c r="C2172" s="272" t="s">
        <v>10562</v>
      </c>
      <c r="D2172" s="259" t="s">
        <v>10563</v>
      </c>
      <c r="E2172" s="299" t="s">
        <v>11047</v>
      </c>
      <c r="F2172" s="272" t="s">
        <v>9198</v>
      </c>
      <c r="G2172" s="272" t="s">
        <v>9197</v>
      </c>
      <c r="H2172" s="265" t="s">
        <v>10955</v>
      </c>
      <c r="I2172" s="290" t="s">
        <v>10956</v>
      </c>
      <c r="J2172" s="265" t="s">
        <v>10655</v>
      </c>
      <c r="K2172" s="299" t="s">
        <v>11047</v>
      </c>
    </row>
    <row r="2173" spans="1:11" s="75" customFormat="1" ht="14.55" customHeight="1" x14ac:dyDescent="0.25">
      <c r="A2173" s="286" t="s">
        <v>8816</v>
      </c>
      <c r="B2173" s="272" t="s">
        <v>10591</v>
      </c>
      <c r="C2173" s="272" t="s">
        <v>10562</v>
      </c>
      <c r="D2173" s="259" t="s">
        <v>10563</v>
      </c>
      <c r="E2173" s="299" t="s">
        <v>11047</v>
      </c>
      <c r="F2173" s="272" t="s">
        <v>9198</v>
      </c>
      <c r="G2173" s="272" t="s">
        <v>9197</v>
      </c>
      <c r="H2173" s="265" t="s">
        <v>10957</v>
      </c>
      <c r="I2173" s="290" t="s">
        <v>10958</v>
      </c>
      <c r="J2173" s="265" t="s">
        <v>10655</v>
      </c>
      <c r="K2173" s="299" t="s">
        <v>11047</v>
      </c>
    </row>
    <row r="2174" spans="1:11" s="75" customFormat="1" ht="14.55" customHeight="1" x14ac:dyDescent="0.25">
      <c r="A2174" s="286" t="s">
        <v>8816</v>
      </c>
      <c r="B2174" s="272" t="s">
        <v>10591</v>
      </c>
      <c r="C2174" s="272" t="s">
        <v>10562</v>
      </c>
      <c r="D2174" s="259" t="s">
        <v>10563</v>
      </c>
      <c r="E2174" s="299" t="s">
        <v>11047</v>
      </c>
      <c r="F2174" s="272" t="s">
        <v>9198</v>
      </c>
      <c r="G2174" s="272" t="s">
        <v>9197</v>
      </c>
      <c r="H2174" s="265" t="s">
        <v>10959</v>
      </c>
      <c r="I2174" s="290" t="s">
        <v>10958</v>
      </c>
      <c r="J2174" s="265" t="s">
        <v>10655</v>
      </c>
      <c r="K2174" s="299" t="s">
        <v>11047</v>
      </c>
    </row>
    <row r="2175" spans="1:11" s="75" customFormat="1" ht="14.55" customHeight="1" x14ac:dyDescent="0.25">
      <c r="A2175" s="286" t="s">
        <v>8816</v>
      </c>
      <c r="B2175" s="272" t="s">
        <v>10591</v>
      </c>
      <c r="C2175" s="272" t="s">
        <v>10562</v>
      </c>
      <c r="D2175" s="259" t="s">
        <v>10563</v>
      </c>
      <c r="E2175" s="299" t="s">
        <v>11047</v>
      </c>
      <c r="F2175" s="272" t="s">
        <v>9198</v>
      </c>
      <c r="G2175" s="272" t="s">
        <v>9197</v>
      </c>
      <c r="H2175" s="265" t="s">
        <v>11020</v>
      </c>
      <c r="I2175" s="290" t="s">
        <v>11021</v>
      </c>
      <c r="J2175" s="265" t="s">
        <v>10655</v>
      </c>
      <c r="K2175" s="299" t="s">
        <v>11047</v>
      </c>
    </row>
    <row r="2176" spans="1:11" s="75" customFormat="1" ht="14.55" customHeight="1" x14ac:dyDescent="0.25">
      <c r="A2176" s="286" t="s">
        <v>8816</v>
      </c>
      <c r="B2176" s="272" t="s">
        <v>10591</v>
      </c>
      <c r="C2176" s="272" t="s">
        <v>10562</v>
      </c>
      <c r="D2176" s="259" t="s">
        <v>10563</v>
      </c>
      <c r="E2176" s="299" t="s">
        <v>11047</v>
      </c>
      <c r="F2176" s="272" t="s">
        <v>9198</v>
      </c>
      <c r="G2176" s="272" t="s">
        <v>9197</v>
      </c>
      <c r="H2176" s="265" t="s">
        <v>11022</v>
      </c>
      <c r="I2176" s="290" t="s">
        <v>11023</v>
      </c>
      <c r="J2176" s="265" t="s">
        <v>10655</v>
      </c>
      <c r="K2176" s="299" t="s">
        <v>11047</v>
      </c>
    </row>
    <row r="2177" spans="1:11" s="75" customFormat="1" ht="14.55" customHeight="1" x14ac:dyDescent="0.25">
      <c r="A2177" s="286" t="s">
        <v>8816</v>
      </c>
      <c r="B2177" s="272" t="s">
        <v>10591</v>
      </c>
      <c r="C2177" s="272" t="s">
        <v>10562</v>
      </c>
      <c r="D2177" s="259" t="s">
        <v>10563</v>
      </c>
      <c r="E2177" s="299" t="s">
        <v>11047</v>
      </c>
      <c r="F2177" s="272" t="s">
        <v>9198</v>
      </c>
      <c r="G2177" s="272" t="s">
        <v>9197</v>
      </c>
      <c r="H2177" s="265" t="s">
        <v>11014</v>
      </c>
      <c r="I2177" s="290" t="s">
        <v>11015</v>
      </c>
      <c r="J2177" s="265" t="s">
        <v>10655</v>
      </c>
      <c r="K2177" s="299" t="s">
        <v>11047</v>
      </c>
    </row>
    <row r="2178" spans="1:11" s="75" customFormat="1" ht="14.55" customHeight="1" x14ac:dyDescent="0.25">
      <c r="A2178" s="286" t="s">
        <v>8816</v>
      </c>
      <c r="B2178" s="272" t="s">
        <v>10591</v>
      </c>
      <c r="C2178" s="272" t="s">
        <v>10562</v>
      </c>
      <c r="D2178" s="259" t="s">
        <v>10563</v>
      </c>
      <c r="E2178" s="299" t="s">
        <v>11047</v>
      </c>
      <c r="F2178" s="272" t="s">
        <v>9198</v>
      </c>
      <c r="G2178" s="272" t="s">
        <v>9197</v>
      </c>
      <c r="H2178" s="265" t="s">
        <v>10960</v>
      </c>
      <c r="I2178" s="290" t="s">
        <v>10961</v>
      </c>
      <c r="J2178" s="265" t="s">
        <v>10655</v>
      </c>
      <c r="K2178" s="299" t="s">
        <v>11047</v>
      </c>
    </row>
    <row r="2179" spans="1:11" s="75" customFormat="1" ht="14.55" customHeight="1" x14ac:dyDescent="0.25">
      <c r="A2179" s="286" t="s">
        <v>8816</v>
      </c>
      <c r="B2179" s="272" t="s">
        <v>10591</v>
      </c>
      <c r="C2179" s="272" t="s">
        <v>10564</v>
      </c>
      <c r="D2179" s="259" t="s">
        <v>10565</v>
      </c>
      <c r="E2179" s="299" t="s">
        <v>11047</v>
      </c>
      <c r="F2179" s="272" t="s">
        <v>9198</v>
      </c>
      <c r="G2179" s="272" t="s">
        <v>9197</v>
      </c>
      <c r="H2179" s="265" t="s">
        <v>10974</v>
      </c>
      <c r="I2179" s="290" t="s">
        <v>10975</v>
      </c>
      <c r="J2179" s="265" t="s">
        <v>10655</v>
      </c>
      <c r="K2179" s="299" t="s">
        <v>11047</v>
      </c>
    </row>
    <row r="2180" spans="1:11" s="75" customFormat="1" ht="14.55" customHeight="1" x14ac:dyDescent="0.25">
      <c r="A2180" s="286" t="s">
        <v>8816</v>
      </c>
      <c r="B2180" s="272" t="s">
        <v>10591</v>
      </c>
      <c r="C2180" s="272" t="s">
        <v>10564</v>
      </c>
      <c r="D2180" s="259" t="s">
        <v>10565</v>
      </c>
      <c r="E2180" s="299" t="s">
        <v>11047</v>
      </c>
      <c r="F2180" s="272" t="s">
        <v>9198</v>
      </c>
      <c r="G2180" s="272" t="s">
        <v>9197</v>
      </c>
      <c r="H2180" s="265" t="s">
        <v>10925</v>
      </c>
      <c r="I2180" s="290" t="s">
        <v>10926</v>
      </c>
      <c r="J2180" s="265" t="s">
        <v>10655</v>
      </c>
      <c r="K2180" s="299" t="s">
        <v>11047</v>
      </c>
    </row>
    <row r="2181" spans="1:11" s="75" customFormat="1" ht="14.55" customHeight="1" x14ac:dyDescent="0.25">
      <c r="A2181" s="286" t="s">
        <v>8816</v>
      </c>
      <c r="B2181" s="272" t="s">
        <v>10591</v>
      </c>
      <c r="C2181" s="272" t="s">
        <v>10564</v>
      </c>
      <c r="D2181" s="259" t="s">
        <v>10565</v>
      </c>
      <c r="E2181" s="299" t="s">
        <v>11047</v>
      </c>
      <c r="F2181" s="272" t="s">
        <v>9198</v>
      </c>
      <c r="G2181" s="272" t="s">
        <v>9197</v>
      </c>
      <c r="H2181" s="265" t="s">
        <v>10966</v>
      </c>
      <c r="I2181" s="290" t="s">
        <v>10967</v>
      </c>
      <c r="J2181" s="265" t="s">
        <v>10655</v>
      </c>
      <c r="K2181" s="299" t="s">
        <v>11047</v>
      </c>
    </row>
    <row r="2182" spans="1:11" s="75" customFormat="1" ht="14.55" customHeight="1" x14ac:dyDescent="0.25">
      <c r="A2182" s="286" t="s">
        <v>8816</v>
      </c>
      <c r="B2182" s="272" t="s">
        <v>10591</v>
      </c>
      <c r="C2182" s="272" t="s">
        <v>10564</v>
      </c>
      <c r="D2182" s="259" t="s">
        <v>10565</v>
      </c>
      <c r="E2182" s="299" t="s">
        <v>11047</v>
      </c>
      <c r="F2182" s="272" t="s">
        <v>9198</v>
      </c>
      <c r="G2182" s="272" t="s">
        <v>9197</v>
      </c>
      <c r="H2182" s="265" t="s">
        <v>10968</v>
      </c>
      <c r="I2182" s="290" t="s">
        <v>10969</v>
      </c>
      <c r="J2182" s="265" t="s">
        <v>10655</v>
      </c>
      <c r="K2182" s="299" t="s">
        <v>11047</v>
      </c>
    </row>
    <row r="2183" spans="1:11" s="75" customFormat="1" ht="14.55" customHeight="1" x14ac:dyDescent="0.25">
      <c r="A2183" s="286" t="s">
        <v>8816</v>
      </c>
      <c r="B2183" s="272" t="s">
        <v>10591</v>
      </c>
      <c r="C2183" s="272" t="s">
        <v>10564</v>
      </c>
      <c r="D2183" s="259" t="s">
        <v>10565</v>
      </c>
      <c r="E2183" s="299" t="s">
        <v>11047</v>
      </c>
      <c r="F2183" s="272" t="s">
        <v>9198</v>
      </c>
      <c r="G2183" s="272" t="s">
        <v>9197</v>
      </c>
      <c r="H2183" s="265" t="s">
        <v>10970</v>
      </c>
      <c r="I2183" s="290" t="s">
        <v>10971</v>
      </c>
      <c r="J2183" s="265" t="s">
        <v>10655</v>
      </c>
      <c r="K2183" s="299" t="s">
        <v>11047</v>
      </c>
    </row>
    <row r="2184" spans="1:11" s="75" customFormat="1" ht="14.55" customHeight="1" x14ac:dyDescent="0.25">
      <c r="A2184" s="286" t="s">
        <v>8816</v>
      </c>
      <c r="B2184" s="272" t="s">
        <v>10591</v>
      </c>
      <c r="C2184" s="272" t="s">
        <v>10564</v>
      </c>
      <c r="D2184" s="259" t="s">
        <v>10565</v>
      </c>
      <c r="E2184" s="299" t="s">
        <v>11047</v>
      </c>
      <c r="F2184" s="272" t="s">
        <v>9198</v>
      </c>
      <c r="G2184" s="272" t="s">
        <v>9197</v>
      </c>
      <c r="H2184" s="265" t="s">
        <v>11026</v>
      </c>
      <c r="I2184" s="290" t="s">
        <v>11027</v>
      </c>
      <c r="J2184" s="265" t="s">
        <v>10655</v>
      </c>
      <c r="K2184" s="299" t="s">
        <v>11047</v>
      </c>
    </row>
    <row r="2185" spans="1:11" s="75" customFormat="1" ht="14.55" customHeight="1" x14ac:dyDescent="0.25">
      <c r="A2185" s="286" t="s">
        <v>8816</v>
      </c>
      <c r="B2185" s="272" t="s">
        <v>10591</v>
      </c>
      <c r="C2185" s="272" t="s">
        <v>10564</v>
      </c>
      <c r="D2185" s="259" t="s">
        <v>10565</v>
      </c>
      <c r="E2185" s="299" t="s">
        <v>11047</v>
      </c>
      <c r="F2185" s="272" t="s">
        <v>9198</v>
      </c>
      <c r="G2185" s="272" t="s">
        <v>9197</v>
      </c>
      <c r="H2185" s="265" t="s">
        <v>11024</v>
      </c>
      <c r="I2185" s="290" t="s">
        <v>11025</v>
      </c>
      <c r="J2185" s="265" t="s">
        <v>10655</v>
      </c>
      <c r="K2185" s="299" t="s">
        <v>11047</v>
      </c>
    </row>
    <row r="2186" spans="1:11" s="75" customFormat="1" ht="14.55" customHeight="1" x14ac:dyDescent="0.25">
      <c r="A2186" s="286" t="s">
        <v>8816</v>
      </c>
      <c r="B2186" s="272" t="s">
        <v>10591</v>
      </c>
      <c r="C2186" s="272" t="s">
        <v>10564</v>
      </c>
      <c r="D2186" s="259" t="s">
        <v>10565</v>
      </c>
      <c r="E2186" s="299" t="s">
        <v>11047</v>
      </c>
      <c r="F2186" s="272" t="s">
        <v>9198</v>
      </c>
      <c r="G2186" s="272" t="s">
        <v>9197</v>
      </c>
      <c r="H2186" s="265" t="s">
        <v>10964</v>
      </c>
      <c r="I2186" s="290" t="s">
        <v>10965</v>
      </c>
      <c r="J2186" s="265" t="s">
        <v>10655</v>
      </c>
      <c r="K2186" s="299" t="s">
        <v>11047</v>
      </c>
    </row>
    <row r="2187" spans="1:11" s="75" customFormat="1" ht="14.55" customHeight="1" x14ac:dyDescent="0.25">
      <c r="A2187" s="286" t="s">
        <v>8816</v>
      </c>
      <c r="B2187" s="272" t="s">
        <v>10591</v>
      </c>
      <c r="C2187" s="272" t="s">
        <v>10564</v>
      </c>
      <c r="D2187" s="259" t="s">
        <v>10565</v>
      </c>
      <c r="E2187" s="299" t="s">
        <v>11047</v>
      </c>
      <c r="F2187" s="272" t="s">
        <v>9198</v>
      </c>
      <c r="G2187" s="272" t="s">
        <v>9197</v>
      </c>
      <c r="H2187" s="265" t="s">
        <v>10972</v>
      </c>
      <c r="I2187" s="290" t="s">
        <v>10973</v>
      </c>
      <c r="J2187" s="265" t="s">
        <v>10655</v>
      </c>
      <c r="K2187" s="299" t="s">
        <v>11047</v>
      </c>
    </row>
    <row r="2188" spans="1:11" s="75" customFormat="1" ht="14.55" customHeight="1" x14ac:dyDescent="0.25">
      <c r="A2188" s="286" t="s">
        <v>8816</v>
      </c>
      <c r="B2188" s="272" t="s">
        <v>10591</v>
      </c>
      <c r="C2188" s="272" t="s">
        <v>10564</v>
      </c>
      <c r="D2188" s="259" t="s">
        <v>10565</v>
      </c>
      <c r="E2188" s="299" t="s">
        <v>11047</v>
      </c>
      <c r="F2188" s="272" t="s">
        <v>9198</v>
      </c>
      <c r="G2188" s="272" t="s">
        <v>9197</v>
      </c>
      <c r="H2188" s="265" t="s">
        <v>10923</v>
      </c>
      <c r="I2188" s="290" t="s">
        <v>10924</v>
      </c>
      <c r="J2188" s="265" t="s">
        <v>10655</v>
      </c>
      <c r="K2188" s="299" t="s">
        <v>11047</v>
      </c>
    </row>
    <row r="2189" spans="1:11" s="75" customFormat="1" ht="14.55" customHeight="1" x14ac:dyDescent="0.25">
      <c r="A2189" s="286" t="s">
        <v>8816</v>
      </c>
      <c r="B2189" s="272" t="s">
        <v>10591</v>
      </c>
      <c r="C2189" s="272" t="s">
        <v>10564</v>
      </c>
      <c r="D2189" s="259" t="s">
        <v>10565</v>
      </c>
      <c r="E2189" s="299" t="s">
        <v>11047</v>
      </c>
      <c r="F2189" s="272" t="s">
        <v>9198</v>
      </c>
      <c r="G2189" s="272" t="s">
        <v>9197</v>
      </c>
      <c r="H2189" s="265" t="s">
        <v>11028</v>
      </c>
      <c r="I2189" s="290" t="s">
        <v>11029</v>
      </c>
      <c r="J2189" s="265" t="s">
        <v>10655</v>
      </c>
      <c r="K2189" s="299" t="s">
        <v>11047</v>
      </c>
    </row>
    <row r="2190" spans="1:11" s="75" customFormat="1" ht="14.55" customHeight="1" x14ac:dyDescent="0.25">
      <c r="A2190" s="286" t="s">
        <v>8816</v>
      </c>
      <c r="B2190" s="272" t="s">
        <v>10591</v>
      </c>
      <c r="C2190" s="272" t="s">
        <v>10564</v>
      </c>
      <c r="D2190" s="259" t="s">
        <v>10565</v>
      </c>
      <c r="E2190" s="299" t="s">
        <v>11047</v>
      </c>
      <c r="F2190" s="272" t="s">
        <v>9198</v>
      </c>
      <c r="G2190" s="272" t="s">
        <v>9197</v>
      </c>
      <c r="H2190" s="265" t="s">
        <v>10927</v>
      </c>
      <c r="I2190" s="290" t="s">
        <v>10928</v>
      </c>
      <c r="J2190" s="265" t="s">
        <v>10655</v>
      </c>
      <c r="K2190" s="299" t="s">
        <v>11047</v>
      </c>
    </row>
    <row r="2191" spans="1:11" s="75" customFormat="1" ht="14.55" customHeight="1" x14ac:dyDescent="0.25">
      <c r="A2191" s="286" t="s">
        <v>8816</v>
      </c>
      <c r="B2191" s="272" t="s">
        <v>10591</v>
      </c>
      <c r="C2191" s="272" t="s">
        <v>10564</v>
      </c>
      <c r="D2191" s="259" t="s">
        <v>10565</v>
      </c>
      <c r="E2191" s="299" t="s">
        <v>11047</v>
      </c>
      <c r="F2191" s="272" t="s">
        <v>9198</v>
      </c>
      <c r="G2191" s="272" t="s">
        <v>9197</v>
      </c>
      <c r="H2191" s="265" t="s">
        <v>10929</v>
      </c>
      <c r="I2191" s="290" t="s">
        <v>10930</v>
      </c>
      <c r="J2191" s="265" t="s">
        <v>10655</v>
      </c>
      <c r="K2191" s="299" t="s">
        <v>11047</v>
      </c>
    </row>
    <row r="2192" spans="1:11" s="75" customFormat="1" ht="14.55" customHeight="1" x14ac:dyDescent="0.25">
      <c r="A2192" s="286" t="s">
        <v>8816</v>
      </c>
      <c r="B2192" s="272" t="s">
        <v>10591</v>
      </c>
      <c r="C2192" s="272" t="s">
        <v>10564</v>
      </c>
      <c r="D2192" s="259" t="s">
        <v>10565</v>
      </c>
      <c r="E2192" s="299" t="s">
        <v>11047</v>
      </c>
      <c r="F2192" s="272" t="s">
        <v>9198</v>
      </c>
      <c r="G2192" s="272" t="s">
        <v>9197</v>
      </c>
      <c r="H2192" s="265" t="s">
        <v>11012</v>
      </c>
      <c r="I2192" s="290" t="s">
        <v>11013</v>
      </c>
      <c r="J2192" s="265" t="s">
        <v>10655</v>
      </c>
      <c r="K2192" s="299" t="s">
        <v>11047</v>
      </c>
    </row>
    <row r="2193" spans="1:11" s="75" customFormat="1" ht="14.55" customHeight="1" x14ac:dyDescent="0.25">
      <c r="A2193" s="286" t="s">
        <v>8816</v>
      </c>
      <c r="B2193" s="272" t="s">
        <v>10591</v>
      </c>
      <c r="C2193" s="272" t="s">
        <v>10566</v>
      </c>
      <c r="D2193" s="259" t="s">
        <v>10567</v>
      </c>
      <c r="E2193" s="299" t="s">
        <v>11047</v>
      </c>
      <c r="F2193" s="272" t="s">
        <v>9198</v>
      </c>
      <c r="G2193" s="272" t="s">
        <v>9197</v>
      </c>
      <c r="H2193" s="265" t="s">
        <v>10931</v>
      </c>
      <c r="I2193" s="290" t="s">
        <v>10932</v>
      </c>
      <c r="J2193" s="265" t="s">
        <v>10655</v>
      </c>
      <c r="K2193" s="299" t="s">
        <v>11047</v>
      </c>
    </row>
    <row r="2194" spans="1:11" s="75" customFormat="1" ht="14.55" customHeight="1" x14ac:dyDescent="0.25">
      <c r="A2194" s="286" t="s">
        <v>8816</v>
      </c>
      <c r="B2194" s="272" t="s">
        <v>10591</v>
      </c>
      <c r="C2194" s="272" t="s">
        <v>10566</v>
      </c>
      <c r="D2194" s="259" t="s">
        <v>10567</v>
      </c>
      <c r="E2194" s="299" t="s">
        <v>11047</v>
      </c>
      <c r="F2194" s="272" t="s">
        <v>9198</v>
      </c>
      <c r="G2194" s="272" t="s">
        <v>9197</v>
      </c>
      <c r="H2194" s="265" t="s">
        <v>10933</v>
      </c>
      <c r="I2194" s="290" t="s">
        <v>10934</v>
      </c>
      <c r="J2194" s="265" t="s">
        <v>10655</v>
      </c>
      <c r="K2194" s="299" t="s">
        <v>11047</v>
      </c>
    </row>
    <row r="2195" spans="1:11" s="75" customFormat="1" ht="14.55" customHeight="1" x14ac:dyDescent="0.25">
      <c r="A2195" s="286" t="s">
        <v>8816</v>
      </c>
      <c r="B2195" s="272" t="s">
        <v>10591</v>
      </c>
      <c r="C2195" s="272" t="s">
        <v>10566</v>
      </c>
      <c r="D2195" s="259" t="s">
        <v>10567</v>
      </c>
      <c r="E2195" s="299" t="s">
        <v>11047</v>
      </c>
      <c r="F2195" s="272" t="s">
        <v>9198</v>
      </c>
      <c r="G2195" s="272" t="s">
        <v>9197</v>
      </c>
      <c r="H2195" s="265" t="s">
        <v>10935</v>
      </c>
      <c r="I2195" s="290" t="s">
        <v>10936</v>
      </c>
      <c r="J2195" s="265" t="s">
        <v>10655</v>
      </c>
      <c r="K2195" s="299" t="s">
        <v>11047</v>
      </c>
    </row>
    <row r="2196" spans="1:11" s="75" customFormat="1" ht="14.55" customHeight="1" x14ac:dyDescent="0.25">
      <c r="A2196" s="286" t="s">
        <v>8816</v>
      </c>
      <c r="B2196" s="272" t="s">
        <v>10591</v>
      </c>
      <c r="C2196" s="272" t="s">
        <v>10566</v>
      </c>
      <c r="D2196" s="259" t="s">
        <v>10567</v>
      </c>
      <c r="E2196" s="299" t="s">
        <v>11047</v>
      </c>
      <c r="F2196" s="272" t="s">
        <v>9198</v>
      </c>
      <c r="G2196" s="272" t="s">
        <v>9197</v>
      </c>
      <c r="H2196" s="265" t="s">
        <v>10937</v>
      </c>
      <c r="I2196" s="290" t="s">
        <v>10938</v>
      </c>
      <c r="J2196" s="265" t="s">
        <v>10655</v>
      </c>
      <c r="K2196" s="299" t="s">
        <v>11047</v>
      </c>
    </row>
    <row r="2197" spans="1:11" s="75" customFormat="1" ht="14.55" customHeight="1" x14ac:dyDescent="0.25">
      <c r="A2197" s="286" t="s">
        <v>8816</v>
      </c>
      <c r="B2197" s="272" t="s">
        <v>10591</v>
      </c>
      <c r="C2197" s="272" t="s">
        <v>10566</v>
      </c>
      <c r="D2197" s="259" t="s">
        <v>10567</v>
      </c>
      <c r="E2197" s="299" t="s">
        <v>11047</v>
      </c>
      <c r="F2197" s="272" t="s">
        <v>9198</v>
      </c>
      <c r="G2197" s="272" t="s">
        <v>9197</v>
      </c>
      <c r="H2197" s="265" t="s">
        <v>10939</v>
      </c>
      <c r="I2197" s="290" t="s">
        <v>10940</v>
      </c>
      <c r="J2197" s="265" t="s">
        <v>10655</v>
      </c>
      <c r="K2197" s="299" t="s">
        <v>11047</v>
      </c>
    </row>
    <row r="2198" spans="1:11" s="75" customFormat="1" ht="14.55" customHeight="1" x14ac:dyDescent="0.25">
      <c r="A2198" s="286" t="s">
        <v>8816</v>
      </c>
      <c r="B2198" s="272" t="s">
        <v>10591</v>
      </c>
      <c r="C2198" s="272" t="s">
        <v>10566</v>
      </c>
      <c r="D2198" s="259" t="s">
        <v>10567</v>
      </c>
      <c r="E2198" s="299" t="s">
        <v>11047</v>
      </c>
      <c r="F2198" s="272" t="s">
        <v>9198</v>
      </c>
      <c r="G2198" s="272" t="s">
        <v>9197</v>
      </c>
      <c r="H2198" s="265" t="s">
        <v>10941</v>
      </c>
      <c r="I2198" s="290" t="s">
        <v>10942</v>
      </c>
      <c r="J2198" s="265" t="s">
        <v>10655</v>
      </c>
      <c r="K2198" s="299" t="s">
        <v>11047</v>
      </c>
    </row>
    <row r="2199" spans="1:11" s="75" customFormat="1" ht="14.55" customHeight="1" x14ac:dyDescent="0.25">
      <c r="A2199" s="286" t="s">
        <v>8816</v>
      </c>
      <c r="B2199" s="272" t="s">
        <v>10591</v>
      </c>
      <c r="C2199" s="272" t="s">
        <v>10566</v>
      </c>
      <c r="D2199" s="259" t="s">
        <v>10567</v>
      </c>
      <c r="E2199" s="299" t="s">
        <v>11047</v>
      </c>
      <c r="F2199" s="272" t="s">
        <v>9198</v>
      </c>
      <c r="G2199" s="272" t="s">
        <v>9197</v>
      </c>
      <c r="H2199" s="265" t="s">
        <v>10943</v>
      </c>
      <c r="I2199" s="290" t="s">
        <v>10944</v>
      </c>
      <c r="J2199" s="265" t="s">
        <v>10655</v>
      </c>
      <c r="K2199" s="299" t="s">
        <v>11047</v>
      </c>
    </row>
    <row r="2200" spans="1:11" s="75" customFormat="1" ht="14.55" customHeight="1" x14ac:dyDescent="0.25">
      <c r="A2200" s="286" t="s">
        <v>8816</v>
      </c>
      <c r="B2200" s="272" t="s">
        <v>10591</v>
      </c>
      <c r="C2200" s="272" t="s">
        <v>10566</v>
      </c>
      <c r="D2200" s="259" t="s">
        <v>10567</v>
      </c>
      <c r="E2200" s="299" t="s">
        <v>11047</v>
      </c>
      <c r="F2200" s="272" t="s">
        <v>9198</v>
      </c>
      <c r="G2200" s="272" t="s">
        <v>9197</v>
      </c>
      <c r="H2200" s="265" t="s">
        <v>10945</v>
      </c>
      <c r="I2200" s="290" t="s">
        <v>10946</v>
      </c>
      <c r="J2200" s="265" t="s">
        <v>10655</v>
      </c>
      <c r="K2200" s="299" t="s">
        <v>11047</v>
      </c>
    </row>
    <row r="2201" spans="1:11" s="75" customFormat="1" ht="14.55" customHeight="1" x14ac:dyDescent="0.25">
      <c r="A2201" s="286" t="s">
        <v>8816</v>
      </c>
      <c r="B2201" s="272" t="s">
        <v>10591</v>
      </c>
      <c r="C2201" s="272" t="s">
        <v>10566</v>
      </c>
      <c r="D2201" s="259" t="s">
        <v>10567</v>
      </c>
      <c r="E2201" s="299" t="s">
        <v>11047</v>
      </c>
      <c r="F2201" s="272" t="s">
        <v>9198</v>
      </c>
      <c r="G2201" s="272" t="s">
        <v>9197</v>
      </c>
      <c r="H2201" s="265" t="s">
        <v>10947</v>
      </c>
      <c r="I2201" s="290" t="s">
        <v>10948</v>
      </c>
      <c r="J2201" s="265" t="s">
        <v>10655</v>
      </c>
      <c r="K2201" s="299" t="s">
        <v>11047</v>
      </c>
    </row>
    <row r="2202" spans="1:11" s="75" customFormat="1" ht="14.55" customHeight="1" x14ac:dyDescent="0.25">
      <c r="A2202" s="286" t="s">
        <v>8816</v>
      </c>
      <c r="B2202" s="272" t="s">
        <v>10591</v>
      </c>
      <c r="C2202" s="272" t="s">
        <v>10566</v>
      </c>
      <c r="D2202" s="259" t="s">
        <v>10567</v>
      </c>
      <c r="E2202" s="299" t="s">
        <v>11047</v>
      </c>
      <c r="F2202" s="272" t="s">
        <v>9198</v>
      </c>
      <c r="G2202" s="272" t="s">
        <v>9197</v>
      </c>
      <c r="H2202" s="265" t="s">
        <v>10951</v>
      </c>
      <c r="I2202" s="290" t="s">
        <v>10952</v>
      </c>
      <c r="J2202" s="265" t="s">
        <v>10655</v>
      </c>
      <c r="K2202" s="299" t="s">
        <v>11047</v>
      </c>
    </row>
    <row r="2203" spans="1:11" s="75" customFormat="1" ht="14.55" customHeight="1" x14ac:dyDescent="0.25">
      <c r="A2203" s="286" t="s">
        <v>8816</v>
      </c>
      <c r="B2203" s="272" t="s">
        <v>10591</v>
      </c>
      <c r="C2203" s="272" t="s">
        <v>10566</v>
      </c>
      <c r="D2203" s="259" t="s">
        <v>10567</v>
      </c>
      <c r="E2203" s="299" t="s">
        <v>11047</v>
      </c>
      <c r="F2203" s="272" t="s">
        <v>9198</v>
      </c>
      <c r="G2203" s="272" t="s">
        <v>9197</v>
      </c>
      <c r="H2203" s="265" t="s">
        <v>10953</v>
      </c>
      <c r="I2203" s="290" t="s">
        <v>10954</v>
      </c>
      <c r="J2203" s="265" t="s">
        <v>10655</v>
      </c>
      <c r="K2203" s="299" t="s">
        <v>11047</v>
      </c>
    </row>
    <row r="2204" spans="1:11" s="75" customFormat="1" ht="14.55" customHeight="1" x14ac:dyDescent="0.25">
      <c r="A2204" s="272" t="s">
        <v>8816</v>
      </c>
      <c r="B2204" s="272" t="s">
        <v>10591</v>
      </c>
      <c r="C2204" s="272" t="s">
        <v>10568</v>
      </c>
      <c r="D2204" s="259" t="s">
        <v>10569</v>
      </c>
      <c r="E2204" s="265" t="s">
        <v>10655</v>
      </c>
      <c r="F2204" s="272" t="s">
        <v>9198</v>
      </c>
      <c r="G2204" s="272" t="s">
        <v>9197</v>
      </c>
      <c r="H2204" s="265" t="s">
        <v>11042</v>
      </c>
      <c r="I2204" s="290" t="s">
        <v>11043</v>
      </c>
      <c r="J2204" s="265" t="s">
        <v>10655</v>
      </c>
      <c r="K2204" s="265" t="s">
        <v>10655</v>
      </c>
    </row>
    <row r="2205" spans="1:11" s="75" customFormat="1" ht="14.55" customHeight="1" x14ac:dyDescent="0.25">
      <c r="A2205" s="272" t="s">
        <v>8816</v>
      </c>
      <c r="B2205" s="272" t="s">
        <v>10591</v>
      </c>
      <c r="C2205" s="272" t="s">
        <v>10570</v>
      </c>
      <c r="D2205" s="259" t="s">
        <v>10571</v>
      </c>
      <c r="E2205" s="265" t="s">
        <v>10655</v>
      </c>
      <c r="F2205" s="272" t="s">
        <v>9198</v>
      </c>
      <c r="G2205" s="272" t="s">
        <v>9197</v>
      </c>
      <c r="H2205" s="265" t="s">
        <v>11042</v>
      </c>
      <c r="I2205" s="290" t="s">
        <v>11043</v>
      </c>
      <c r="J2205" s="265" t="s">
        <v>10655</v>
      </c>
      <c r="K2205" s="265" t="s">
        <v>10655</v>
      </c>
    </row>
    <row r="2206" spans="1:11" s="75" customFormat="1" ht="14.55" customHeight="1" x14ac:dyDescent="0.25">
      <c r="A2206" s="286" t="s">
        <v>8816</v>
      </c>
      <c r="B2206" s="272" t="s">
        <v>10591</v>
      </c>
      <c r="C2206" s="272" t="s">
        <v>10572</v>
      </c>
      <c r="D2206" s="259" t="s">
        <v>10573</v>
      </c>
      <c r="E2206" s="299" t="s">
        <v>10794</v>
      </c>
      <c r="F2206" s="272" t="s">
        <v>9198</v>
      </c>
      <c r="G2206" s="272" t="s">
        <v>9197</v>
      </c>
      <c r="H2206" s="265" t="s">
        <v>10976</v>
      </c>
      <c r="I2206" s="290" t="s">
        <v>10977</v>
      </c>
      <c r="J2206" s="265" t="s">
        <v>10655</v>
      </c>
      <c r="K2206" s="299" t="s">
        <v>10794</v>
      </c>
    </row>
    <row r="2207" spans="1:11" s="75" customFormat="1" ht="14.55" customHeight="1" x14ac:dyDescent="0.25">
      <c r="A2207" s="286" t="s">
        <v>8816</v>
      </c>
      <c r="B2207" s="272" t="s">
        <v>10591</v>
      </c>
      <c r="C2207" s="272" t="s">
        <v>10572</v>
      </c>
      <c r="D2207" s="259" t="s">
        <v>10573</v>
      </c>
      <c r="E2207" s="299" t="s">
        <v>10794</v>
      </c>
      <c r="F2207" s="272" t="s">
        <v>9198</v>
      </c>
      <c r="G2207" s="272" t="s">
        <v>9197</v>
      </c>
      <c r="H2207" s="265" t="s">
        <v>10978</v>
      </c>
      <c r="I2207" s="290" t="s">
        <v>10979</v>
      </c>
      <c r="J2207" s="265" t="s">
        <v>10655</v>
      </c>
      <c r="K2207" s="299" t="s">
        <v>10794</v>
      </c>
    </row>
    <row r="2208" spans="1:11" s="75" customFormat="1" ht="14.55" customHeight="1" x14ac:dyDescent="0.25">
      <c r="A2208" s="286" t="s">
        <v>8816</v>
      </c>
      <c r="B2208" s="272" t="s">
        <v>10591</v>
      </c>
      <c r="C2208" s="272" t="s">
        <v>10572</v>
      </c>
      <c r="D2208" s="259" t="s">
        <v>10573</v>
      </c>
      <c r="E2208" s="299" t="s">
        <v>10794</v>
      </c>
      <c r="F2208" s="272" t="s">
        <v>9198</v>
      </c>
      <c r="G2208" s="272" t="s">
        <v>9197</v>
      </c>
      <c r="H2208" s="265" t="s">
        <v>10980</v>
      </c>
      <c r="I2208" s="290" t="s">
        <v>10981</v>
      </c>
      <c r="J2208" s="265" t="s">
        <v>10655</v>
      </c>
      <c r="K2208" s="299" t="s">
        <v>10794</v>
      </c>
    </row>
    <row r="2209" spans="1:11" s="75" customFormat="1" ht="14.55" customHeight="1" x14ac:dyDescent="0.25">
      <c r="A2209" s="286" t="s">
        <v>8816</v>
      </c>
      <c r="B2209" s="272" t="s">
        <v>10591</v>
      </c>
      <c r="C2209" s="272" t="s">
        <v>10572</v>
      </c>
      <c r="D2209" s="259" t="s">
        <v>10573</v>
      </c>
      <c r="E2209" s="299" t="s">
        <v>10794</v>
      </c>
      <c r="F2209" s="272" t="s">
        <v>9198</v>
      </c>
      <c r="G2209" s="272" t="s">
        <v>9197</v>
      </c>
      <c r="H2209" s="265" t="s">
        <v>10982</v>
      </c>
      <c r="I2209" s="290" t="s">
        <v>10983</v>
      </c>
      <c r="J2209" s="265" t="s">
        <v>10655</v>
      </c>
      <c r="K2209" s="299" t="s">
        <v>10794</v>
      </c>
    </row>
    <row r="2210" spans="1:11" s="75" customFormat="1" ht="14.55" customHeight="1" x14ac:dyDescent="0.25">
      <c r="A2210" s="286" t="s">
        <v>8816</v>
      </c>
      <c r="B2210" s="272" t="s">
        <v>10591</v>
      </c>
      <c r="C2210" s="272" t="s">
        <v>10572</v>
      </c>
      <c r="D2210" s="259" t="s">
        <v>10573</v>
      </c>
      <c r="E2210" s="299" t="s">
        <v>10794</v>
      </c>
      <c r="F2210" s="272" t="s">
        <v>9198</v>
      </c>
      <c r="G2210" s="272" t="s">
        <v>9197</v>
      </c>
      <c r="H2210" s="265" t="s">
        <v>11002</v>
      </c>
      <c r="I2210" s="290" t="s">
        <v>11003</v>
      </c>
      <c r="J2210" s="265" t="s">
        <v>10655</v>
      </c>
      <c r="K2210" s="299" t="s">
        <v>10794</v>
      </c>
    </row>
    <row r="2211" spans="1:11" s="75" customFormat="1" ht="14.55" customHeight="1" x14ac:dyDescent="0.25">
      <c r="A2211" s="286" t="s">
        <v>8816</v>
      </c>
      <c r="B2211" s="272" t="s">
        <v>10591</v>
      </c>
      <c r="C2211" s="272" t="s">
        <v>10572</v>
      </c>
      <c r="D2211" s="259" t="s">
        <v>10573</v>
      </c>
      <c r="E2211" s="299" t="s">
        <v>10794</v>
      </c>
      <c r="F2211" s="272" t="s">
        <v>9198</v>
      </c>
      <c r="G2211" s="272" t="s">
        <v>9197</v>
      </c>
      <c r="H2211" s="265" t="s">
        <v>11004</v>
      </c>
      <c r="I2211" s="290" t="s">
        <v>11005</v>
      </c>
      <c r="J2211" s="265" t="s">
        <v>10655</v>
      </c>
      <c r="K2211" s="299" t="s">
        <v>10794</v>
      </c>
    </row>
    <row r="2212" spans="1:11" s="75" customFormat="1" ht="14.55" customHeight="1" x14ac:dyDescent="0.25">
      <c r="A2212" s="286" t="s">
        <v>8816</v>
      </c>
      <c r="B2212" s="272" t="s">
        <v>10591</v>
      </c>
      <c r="C2212" s="272" t="s">
        <v>10572</v>
      </c>
      <c r="D2212" s="259" t="s">
        <v>10573</v>
      </c>
      <c r="E2212" s="299" t="s">
        <v>10794</v>
      </c>
      <c r="F2212" s="272" t="s">
        <v>9198</v>
      </c>
      <c r="G2212" s="272" t="s">
        <v>9197</v>
      </c>
      <c r="H2212" s="265" t="s">
        <v>10984</v>
      </c>
      <c r="I2212" s="290" t="s">
        <v>10985</v>
      </c>
      <c r="J2212" s="265" t="s">
        <v>10655</v>
      </c>
      <c r="K2212" s="299" t="s">
        <v>10794</v>
      </c>
    </row>
    <row r="2213" spans="1:11" s="75" customFormat="1" ht="14.55" customHeight="1" x14ac:dyDescent="0.25">
      <c r="A2213" s="286" t="s">
        <v>8816</v>
      </c>
      <c r="B2213" s="272" t="s">
        <v>10591</v>
      </c>
      <c r="C2213" s="272" t="s">
        <v>10572</v>
      </c>
      <c r="D2213" s="259" t="s">
        <v>10573</v>
      </c>
      <c r="E2213" s="299" t="s">
        <v>10794</v>
      </c>
      <c r="F2213" s="272" t="s">
        <v>9198</v>
      </c>
      <c r="G2213" s="272" t="s">
        <v>9197</v>
      </c>
      <c r="H2213" s="265" t="s">
        <v>10986</v>
      </c>
      <c r="I2213" s="290" t="s">
        <v>10987</v>
      </c>
      <c r="J2213" s="265" t="s">
        <v>10655</v>
      </c>
      <c r="K2213" s="299" t="s">
        <v>10794</v>
      </c>
    </row>
    <row r="2214" spans="1:11" s="75" customFormat="1" ht="14.55" customHeight="1" x14ac:dyDescent="0.25">
      <c r="A2214" s="286" t="s">
        <v>8816</v>
      </c>
      <c r="B2214" s="272" t="s">
        <v>10591</v>
      </c>
      <c r="C2214" s="272" t="s">
        <v>10572</v>
      </c>
      <c r="D2214" s="259" t="s">
        <v>10573</v>
      </c>
      <c r="E2214" s="299" t="s">
        <v>10794</v>
      </c>
      <c r="F2214" s="272" t="s">
        <v>9198</v>
      </c>
      <c r="G2214" s="272" t="s">
        <v>9197</v>
      </c>
      <c r="H2214" s="265" t="s">
        <v>11006</v>
      </c>
      <c r="I2214" s="290" t="s">
        <v>11007</v>
      </c>
      <c r="J2214" s="265" t="s">
        <v>10655</v>
      </c>
      <c r="K2214" s="299" t="s">
        <v>10794</v>
      </c>
    </row>
    <row r="2215" spans="1:11" s="75" customFormat="1" ht="14.55" customHeight="1" x14ac:dyDescent="0.25">
      <c r="A2215" s="286" t="s">
        <v>8816</v>
      </c>
      <c r="B2215" s="272" t="s">
        <v>10591</v>
      </c>
      <c r="C2215" s="272" t="s">
        <v>10572</v>
      </c>
      <c r="D2215" s="259" t="s">
        <v>10573</v>
      </c>
      <c r="E2215" s="299" t="s">
        <v>10794</v>
      </c>
      <c r="F2215" s="272" t="s">
        <v>9198</v>
      </c>
      <c r="G2215" s="272" t="s">
        <v>9197</v>
      </c>
      <c r="H2215" s="265" t="s">
        <v>11008</v>
      </c>
      <c r="I2215" s="290" t="s">
        <v>11009</v>
      </c>
      <c r="J2215" s="265" t="s">
        <v>10655</v>
      </c>
      <c r="K2215" s="299" t="s">
        <v>10794</v>
      </c>
    </row>
    <row r="2216" spans="1:11" s="75" customFormat="1" ht="14.55" customHeight="1" x14ac:dyDescent="0.25">
      <c r="A2216" s="286" t="s">
        <v>8816</v>
      </c>
      <c r="B2216" s="272" t="s">
        <v>10591</v>
      </c>
      <c r="C2216" s="272" t="s">
        <v>10572</v>
      </c>
      <c r="D2216" s="259" t="s">
        <v>10573</v>
      </c>
      <c r="E2216" s="299" t="s">
        <v>10794</v>
      </c>
      <c r="F2216" s="272" t="s">
        <v>9198</v>
      </c>
      <c r="G2216" s="272" t="s">
        <v>9197</v>
      </c>
      <c r="H2216" s="265" t="s">
        <v>10988</v>
      </c>
      <c r="I2216" s="290" t="s">
        <v>10989</v>
      </c>
      <c r="J2216" s="265" t="s">
        <v>10655</v>
      </c>
      <c r="K2216" s="299" t="s">
        <v>10794</v>
      </c>
    </row>
    <row r="2217" spans="1:11" s="75" customFormat="1" ht="14.55" customHeight="1" x14ac:dyDescent="0.25">
      <c r="A2217" s="286" t="s">
        <v>8816</v>
      </c>
      <c r="B2217" s="272" t="s">
        <v>10591</v>
      </c>
      <c r="C2217" s="272" t="s">
        <v>10572</v>
      </c>
      <c r="D2217" s="259" t="s">
        <v>10573</v>
      </c>
      <c r="E2217" s="299" t="s">
        <v>10794</v>
      </c>
      <c r="F2217" s="272" t="s">
        <v>9198</v>
      </c>
      <c r="G2217" s="272" t="s">
        <v>9197</v>
      </c>
      <c r="H2217" s="265" t="s">
        <v>11010</v>
      </c>
      <c r="I2217" s="290" t="s">
        <v>11011</v>
      </c>
      <c r="J2217" s="265" t="s">
        <v>10655</v>
      </c>
      <c r="K2217" s="299" t="s">
        <v>10794</v>
      </c>
    </row>
    <row r="2218" spans="1:11" s="75" customFormat="1" ht="14.55" customHeight="1" x14ac:dyDescent="0.25">
      <c r="A2218" s="286" t="s">
        <v>8816</v>
      </c>
      <c r="B2218" s="272" t="s">
        <v>10591</v>
      </c>
      <c r="C2218" s="272" t="s">
        <v>10572</v>
      </c>
      <c r="D2218" s="259" t="s">
        <v>10573</v>
      </c>
      <c r="E2218" s="299" t="s">
        <v>10794</v>
      </c>
      <c r="F2218" s="272" t="s">
        <v>9198</v>
      </c>
      <c r="G2218" s="272" t="s">
        <v>9197</v>
      </c>
      <c r="H2218" s="265" t="s">
        <v>10990</v>
      </c>
      <c r="I2218" s="290" t="s">
        <v>10991</v>
      </c>
      <c r="J2218" s="265" t="s">
        <v>10655</v>
      </c>
      <c r="K2218" s="299" t="s">
        <v>10794</v>
      </c>
    </row>
    <row r="2219" spans="1:11" s="75" customFormat="1" ht="14.55" customHeight="1" x14ac:dyDescent="0.25">
      <c r="A2219" s="286" t="s">
        <v>8816</v>
      </c>
      <c r="B2219" s="272" t="s">
        <v>10591</v>
      </c>
      <c r="C2219" s="272" t="s">
        <v>10572</v>
      </c>
      <c r="D2219" s="259" t="s">
        <v>10573</v>
      </c>
      <c r="E2219" s="299" t="s">
        <v>10794</v>
      </c>
      <c r="F2219" s="272" t="s">
        <v>9198</v>
      </c>
      <c r="G2219" s="272" t="s">
        <v>9197</v>
      </c>
      <c r="H2219" s="265" t="s">
        <v>10992</v>
      </c>
      <c r="I2219" s="290" t="s">
        <v>10993</v>
      </c>
      <c r="J2219" s="265" t="s">
        <v>10655</v>
      </c>
      <c r="K2219" s="299" t="s">
        <v>10794</v>
      </c>
    </row>
    <row r="2220" spans="1:11" s="75" customFormat="1" ht="14.55" customHeight="1" x14ac:dyDescent="0.25">
      <c r="A2220" s="286" t="s">
        <v>8816</v>
      </c>
      <c r="B2220" s="272" t="s">
        <v>10591</v>
      </c>
      <c r="C2220" s="272" t="s">
        <v>10572</v>
      </c>
      <c r="D2220" s="259" t="s">
        <v>10573</v>
      </c>
      <c r="E2220" s="299" t="s">
        <v>10794</v>
      </c>
      <c r="F2220" s="272" t="s">
        <v>9198</v>
      </c>
      <c r="G2220" s="272" t="s">
        <v>9197</v>
      </c>
      <c r="H2220" s="265" t="s">
        <v>10994</v>
      </c>
      <c r="I2220" s="290" t="s">
        <v>10995</v>
      </c>
      <c r="J2220" s="265" t="s">
        <v>10655</v>
      </c>
      <c r="K2220" s="299" t="s">
        <v>10794</v>
      </c>
    </row>
    <row r="2221" spans="1:11" s="75" customFormat="1" ht="14.55" customHeight="1" x14ac:dyDescent="0.25">
      <c r="A2221" s="286" t="s">
        <v>8816</v>
      </c>
      <c r="B2221" s="272" t="s">
        <v>10591</v>
      </c>
      <c r="C2221" s="272" t="s">
        <v>10572</v>
      </c>
      <c r="D2221" s="259" t="s">
        <v>10573</v>
      </c>
      <c r="E2221" s="299" t="s">
        <v>10794</v>
      </c>
      <c r="F2221" s="272" t="s">
        <v>9198</v>
      </c>
      <c r="G2221" s="272" t="s">
        <v>9197</v>
      </c>
      <c r="H2221" s="265" t="s">
        <v>10996</v>
      </c>
      <c r="I2221" s="290" t="s">
        <v>10997</v>
      </c>
      <c r="J2221" s="265" t="s">
        <v>10655</v>
      </c>
      <c r="K2221" s="299" t="s">
        <v>10794</v>
      </c>
    </row>
    <row r="2222" spans="1:11" s="75" customFormat="1" ht="14.55" customHeight="1" x14ac:dyDescent="0.25">
      <c r="A2222" s="286" t="s">
        <v>8816</v>
      </c>
      <c r="B2222" s="272" t="s">
        <v>10591</v>
      </c>
      <c r="C2222" s="272" t="s">
        <v>10572</v>
      </c>
      <c r="D2222" s="259" t="s">
        <v>10573</v>
      </c>
      <c r="E2222" s="299" t="s">
        <v>10794</v>
      </c>
      <c r="F2222" s="272" t="s">
        <v>9198</v>
      </c>
      <c r="G2222" s="272" t="s">
        <v>9197</v>
      </c>
      <c r="H2222" s="265" t="s">
        <v>10998</v>
      </c>
      <c r="I2222" s="290" t="s">
        <v>10999</v>
      </c>
      <c r="J2222" s="265" t="s">
        <v>10655</v>
      </c>
      <c r="K2222" s="299" t="s">
        <v>10794</v>
      </c>
    </row>
    <row r="2223" spans="1:11" s="75" customFormat="1" ht="14.55" customHeight="1" x14ac:dyDescent="0.25">
      <c r="A2223" s="286" t="s">
        <v>8816</v>
      </c>
      <c r="B2223" s="272" t="s">
        <v>10591</v>
      </c>
      <c r="C2223" s="272" t="s">
        <v>10572</v>
      </c>
      <c r="D2223" s="259" t="s">
        <v>10573</v>
      </c>
      <c r="E2223" s="299" t="s">
        <v>10794</v>
      </c>
      <c r="F2223" s="272" t="s">
        <v>9198</v>
      </c>
      <c r="G2223" s="272" t="s">
        <v>9197</v>
      </c>
      <c r="H2223" s="265" t="s">
        <v>10929</v>
      </c>
      <c r="I2223" s="290" t="s">
        <v>10930</v>
      </c>
      <c r="J2223" s="265" t="s">
        <v>10655</v>
      </c>
      <c r="K2223" s="299" t="s">
        <v>10794</v>
      </c>
    </row>
    <row r="2224" spans="1:11" s="75" customFormat="1" ht="14.55" customHeight="1" x14ac:dyDescent="0.25">
      <c r="A2224" s="286" t="s">
        <v>8816</v>
      </c>
      <c r="B2224" s="272" t="s">
        <v>10591</v>
      </c>
      <c r="C2224" s="272" t="s">
        <v>10572</v>
      </c>
      <c r="D2224" s="259" t="s">
        <v>10573</v>
      </c>
      <c r="E2224" s="299" t="s">
        <v>10794</v>
      </c>
      <c r="F2224" s="272" t="s">
        <v>9198</v>
      </c>
      <c r="G2224" s="272" t="s">
        <v>9197</v>
      </c>
      <c r="H2224" s="265" t="s">
        <v>11012</v>
      </c>
      <c r="I2224" s="290" t="s">
        <v>11013</v>
      </c>
      <c r="J2224" s="265" t="s">
        <v>10655</v>
      </c>
      <c r="K2224" s="299" t="s">
        <v>10794</v>
      </c>
    </row>
    <row r="2225" spans="1:11" s="75" customFormat="1" ht="14.55" customHeight="1" x14ac:dyDescent="0.25">
      <c r="A2225" s="286" t="s">
        <v>8816</v>
      </c>
      <c r="B2225" s="272" t="s">
        <v>10591</v>
      </c>
      <c r="C2225" s="272" t="s">
        <v>10572</v>
      </c>
      <c r="D2225" s="259" t="s">
        <v>10573</v>
      </c>
      <c r="E2225" s="299" t="s">
        <v>10794</v>
      </c>
      <c r="F2225" s="272" t="s">
        <v>9198</v>
      </c>
      <c r="G2225" s="272" t="s">
        <v>9197</v>
      </c>
      <c r="H2225" s="265" t="s">
        <v>11000</v>
      </c>
      <c r="I2225" s="290" t="s">
        <v>11001</v>
      </c>
      <c r="J2225" s="265" t="s">
        <v>10655</v>
      </c>
      <c r="K2225" s="299" t="s">
        <v>10794</v>
      </c>
    </row>
    <row r="2226" spans="1:11" s="75" customFormat="1" ht="14.55" customHeight="1" x14ac:dyDescent="0.25">
      <c r="A2226" s="286" t="s">
        <v>8816</v>
      </c>
      <c r="B2226" s="272" t="s">
        <v>10591</v>
      </c>
      <c r="C2226" s="272" t="s">
        <v>10574</v>
      </c>
      <c r="D2226" s="259" t="s">
        <v>10575</v>
      </c>
      <c r="E2226" s="299" t="s">
        <v>10794</v>
      </c>
      <c r="F2226" s="272" t="s">
        <v>9198</v>
      </c>
      <c r="G2226" s="272" t="s">
        <v>9197</v>
      </c>
      <c r="H2226" s="265" t="s">
        <v>10921</v>
      </c>
      <c r="I2226" s="290" t="s">
        <v>10922</v>
      </c>
      <c r="J2226" s="265" t="s">
        <v>10655</v>
      </c>
      <c r="K2226" s="299" t="s">
        <v>10794</v>
      </c>
    </row>
    <row r="2227" spans="1:11" s="75" customFormat="1" ht="14.55" customHeight="1" x14ac:dyDescent="0.25">
      <c r="A2227" s="286" t="s">
        <v>8816</v>
      </c>
      <c r="B2227" s="272" t="s">
        <v>10591</v>
      </c>
      <c r="C2227" s="272" t="s">
        <v>10574</v>
      </c>
      <c r="D2227" s="259" t="s">
        <v>10575</v>
      </c>
      <c r="E2227" s="299" t="s">
        <v>10794</v>
      </c>
      <c r="F2227" s="272" t="s">
        <v>9198</v>
      </c>
      <c r="G2227" s="272" t="s">
        <v>9197</v>
      </c>
      <c r="H2227" s="265" t="s">
        <v>10885</v>
      </c>
      <c r="I2227" s="290" t="s">
        <v>10886</v>
      </c>
      <c r="J2227" s="265" t="s">
        <v>10655</v>
      </c>
      <c r="K2227" s="299" t="s">
        <v>10794</v>
      </c>
    </row>
    <row r="2228" spans="1:11" s="75" customFormat="1" ht="14.55" customHeight="1" x14ac:dyDescent="0.25">
      <c r="A2228" s="286" t="s">
        <v>8816</v>
      </c>
      <c r="B2228" s="272" t="s">
        <v>10591</v>
      </c>
      <c r="C2228" s="272" t="s">
        <v>10574</v>
      </c>
      <c r="D2228" s="259" t="s">
        <v>10575</v>
      </c>
      <c r="E2228" s="299" t="s">
        <v>10794</v>
      </c>
      <c r="F2228" s="272" t="s">
        <v>9198</v>
      </c>
      <c r="G2228" s="272" t="s">
        <v>9197</v>
      </c>
      <c r="H2228" s="265" t="s">
        <v>10887</v>
      </c>
      <c r="I2228" s="290" t="s">
        <v>10888</v>
      </c>
      <c r="J2228" s="265" t="s">
        <v>10655</v>
      </c>
      <c r="K2228" s="299" t="s">
        <v>10794</v>
      </c>
    </row>
    <row r="2229" spans="1:11" s="75" customFormat="1" ht="14.55" customHeight="1" x14ac:dyDescent="0.25">
      <c r="A2229" s="286" t="s">
        <v>8816</v>
      </c>
      <c r="B2229" s="272" t="s">
        <v>10591</v>
      </c>
      <c r="C2229" s="272" t="s">
        <v>10574</v>
      </c>
      <c r="D2229" s="259" t="s">
        <v>10575</v>
      </c>
      <c r="E2229" s="299" t="s">
        <v>10794</v>
      </c>
      <c r="F2229" s="272" t="s">
        <v>9198</v>
      </c>
      <c r="G2229" s="272" t="s">
        <v>9197</v>
      </c>
      <c r="H2229" s="265" t="s">
        <v>10869</v>
      </c>
      <c r="I2229" s="290" t="s">
        <v>10870</v>
      </c>
      <c r="J2229" s="265" t="s">
        <v>10655</v>
      </c>
      <c r="K2229" s="299" t="s">
        <v>10794</v>
      </c>
    </row>
    <row r="2230" spans="1:11" s="75" customFormat="1" ht="14.55" customHeight="1" x14ac:dyDescent="0.25">
      <c r="A2230" s="286" t="s">
        <v>8816</v>
      </c>
      <c r="B2230" s="272" t="s">
        <v>10591</v>
      </c>
      <c r="C2230" s="272" t="s">
        <v>10574</v>
      </c>
      <c r="D2230" s="259" t="s">
        <v>10575</v>
      </c>
      <c r="E2230" s="299" t="s">
        <v>10794</v>
      </c>
      <c r="F2230" s="272" t="s">
        <v>9198</v>
      </c>
      <c r="G2230" s="272" t="s">
        <v>9197</v>
      </c>
      <c r="H2230" s="265" t="s">
        <v>10889</v>
      </c>
      <c r="I2230" s="290" t="s">
        <v>10890</v>
      </c>
      <c r="J2230" s="265" t="s">
        <v>10655</v>
      </c>
      <c r="K2230" s="299" t="s">
        <v>10794</v>
      </c>
    </row>
    <row r="2231" spans="1:11" s="75" customFormat="1" ht="14.55" customHeight="1" x14ac:dyDescent="0.25">
      <c r="A2231" s="286" t="s">
        <v>8816</v>
      </c>
      <c r="B2231" s="272" t="s">
        <v>10591</v>
      </c>
      <c r="C2231" s="272" t="s">
        <v>10574</v>
      </c>
      <c r="D2231" s="259" t="s">
        <v>10575</v>
      </c>
      <c r="E2231" s="299" t="s">
        <v>10794</v>
      </c>
      <c r="F2231" s="272" t="s">
        <v>9198</v>
      </c>
      <c r="G2231" s="272" t="s">
        <v>9197</v>
      </c>
      <c r="H2231" s="265" t="s">
        <v>10891</v>
      </c>
      <c r="I2231" s="290" t="s">
        <v>10892</v>
      </c>
      <c r="J2231" s="265" t="s">
        <v>10655</v>
      </c>
      <c r="K2231" s="299" t="s">
        <v>10794</v>
      </c>
    </row>
    <row r="2232" spans="1:11" s="75" customFormat="1" ht="14.55" customHeight="1" x14ac:dyDescent="0.25">
      <c r="A2232" s="286" t="s">
        <v>8816</v>
      </c>
      <c r="B2232" s="272" t="s">
        <v>10591</v>
      </c>
      <c r="C2232" s="272" t="s">
        <v>10574</v>
      </c>
      <c r="D2232" s="259" t="s">
        <v>10575</v>
      </c>
      <c r="E2232" s="299" t="s">
        <v>10794</v>
      </c>
      <c r="F2232" s="272" t="s">
        <v>9198</v>
      </c>
      <c r="G2232" s="272" t="s">
        <v>9197</v>
      </c>
      <c r="H2232" s="265" t="s">
        <v>10893</v>
      </c>
      <c r="I2232" s="290" t="s">
        <v>10894</v>
      </c>
      <c r="J2232" s="265" t="s">
        <v>10655</v>
      </c>
      <c r="K2232" s="299" t="s">
        <v>10794</v>
      </c>
    </row>
    <row r="2233" spans="1:11" s="75" customFormat="1" ht="14.55" customHeight="1" x14ac:dyDescent="0.25">
      <c r="A2233" s="286" t="s">
        <v>8816</v>
      </c>
      <c r="B2233" s="272" t="s">
        <v>10591</v>
      </c>
      <c r="C2233" s="272" t="s">
        <v>10574</v>
      </c>
      <c r="D2233" s="259" t="s">
        <v>10575</v>
      </c>
      <c r="E2233" s="299" t="s">
        <v>10794</v>
      </c>
      <c r="F2233" s="272" t="s">
        <v>9198</v>
      </c>
      <c r="G2233" s="272" t="s">
        <v>9197</v>
      </c>
      <c r="H2233" s="265" t="s">
        <v>10871</v>
      </c>
      <c r="I2233" s="290" t="s">
        <v>10872</v>
      </c>
      <c r="J2233" s="265" t="s">
        <v>10655</v>
      </c>
      <c r="K2233" s="299" t="s">
        <v>10794</v>
      </c>
    </row>
    <row r="2234" spans="1:11" s="75" customFormat="1" ht="14.55" customHeight="1" x14ac:dyDescent="0.25">
      <c r="A2234" s="286" t="s">
        <v>8816</v>
      </c>
      <c r="B2234" s="272" t="s">
        <v>10591</v>
      </c>
      <c r="C2234" s="272" t="s">
        <v>10574</v>
      </c>
      <c r="D2234" s="259" t="s">
        <v>10575</v>
      </c>
      <c r="E2234" s="299" t="s">
        <v>10794</v>
      </c>
      <c r="F2234" s="272" t="s">
        <v>9198</v>
      </c>
      <c r="G2234" s="272" t="s">
        <v>9197</v>
      </c>
      <c r="H2234" s="265" t="s">
        <v>10895</v>
      </c>
      <c r="I2234" s="290" t="s">
        <v>10896</v>
      </c>
      <c r="J2234" s="265" t="s">
        <v>10655</v>
      </c>
      <c r="K2234" s="299" t="s">
        <v>10794</v>
      </c>
    </row>
    <row r="2235" spans="1:11" s="75" customFormat="1" ht="14.55" customHeight="1" x14ac:dyDescent="0.25">
      <c r="A2235" s="286" t="s">
        <v>8816</v>
      </c>
      <c r="B2235" s="272" t="s">
        <v>10591</v>
      </c>
      <c r="C2235" s="272" t="s">
        <v>10574</v>
      </c>
      <c r="D2235" s="259" t="s">
        <v>10575</v>
      </c>
      <c r="E2235" s="299" t="s">
        <v>10794</v>
      </c>
      <c r="F2235" s="272" t="s">
        <v>9198</v>
      </c>
      <c r="G2235" s="272" t="s">
        <v>9197</v>
      </c>
      <c r="H2235" s="265" t="s">
        <v>10897</v>
      </c>
      <c r="I2235" s="290" t="s">
        <v>10898</v>
      </c>
      <c r="J2235" s="265" t="s">
        <v>10655</v>
      </c>
      <c r="K2235" s="299" t="s">
        <v>10794</v>
      </c>
    </row>
    <row r="2236" spans="1:11" s="75" customFormat="1" ht="14.55" customHeight="1" x14ac:dyDescent="0.25">
      <c r="A2236" s="286" t="s">
        <v>8816</v>
      </c>
      <c r="B2236" s="272" t="s">
        <v>10591</v>
      </c>
      <c r="C2236" s="272" t="s">
        <v>10574</v>
      </c>
      <c r="D2236" s="259" t="s">
        <v>10575</v>
      </c>
      <c r="E2236" s="299" t="s">
        <v>10794</v>
      </c>
      <c r="F2236" s="272" t="s">
        <v>9198</v>
      </c>
      <c r="G2236" s="272" t="s">
        <v>9197</v>
      </c>
      <c r="H2236" s="265" t="s">
        <v>10873</v>
      </c>
      <c r="I2236" s="290" t="s">
        <v>10874</v>
      </c>
      <c r="J2236" s="265" t="s">
        <v>10655</v>
      </c>
      <c r="K2236" s="299" t="s">
        <v>10794</v>
      </c>
    </row>
    <row r="2237" spans="1:11" s="75" customFormat="1" ht="14.55" customHeight="1" x14ac:dyDescent="0.25">
      <c r="A2237" s="286" t="s">
        <v>8816</v>
      </c>
      <c r="B2237" s="272" t="s">
        <v>10591</v>
      </c>
      <c r="C2237" s="272" t="s">
        <v>10576</v>
      </c>
      <c r="D2237" s="259" t="s">
        <v>10577</v>
      </c>
      <c r="E2237" s="299" t="s">
        <v>10794</v>
      </c>
      <c r="F2237" s="272" t="s">
        <v>9198</v>
      </c>
      <c r="G2237" s="272" t="s">
        <v>9197</v>
      </c>
      <c r="H2237" s="265" t="s">
        <v>10875</v>
      </c>
      <c r="I2237" s="290" t="s">
        <v>10876</v>
      </c>
      <c r="J2237" s="265" t="s">
        <v>10655</v>
      </c>
      <c r="K2237" s="299" t="s">
        <v>10794</v>
      </c>
    </row>
    <row r="2238" spans="1:11" s="75" customFormat="1" ht="14.55" customHeight="1" x14ac:dyDescent="0.25">
      <c r="A2238" s="286" t="s">
        <v>8816</v>
      </c>
      <c r="B2238" s="272" t="s">
        <v>10591</v>
      </c>
      <c r="C2238" s="272" t="s">
        <v>10576</v>
      </c>
      <c r="D2238" s="259" t="s">
        <v>10577</v>
      </c>
      <c r="E2238" s="299" t="s">
        <v>10794</v>
      </c>
      <c r="F2238" s="272" t="s">
        <v>9198</v>
      </c>
      <c r="G2238" s="272" t="s">
        <v>9197</v>
      </c>
      <c r="H2238" s="265" t="s">
        <v>11030</v>
      </c>
      <c r="I2238" s="290" t="s">
        <v>11031</v>
      </c>
      <c r="J2238" s="265" t="s">
        <v>10655</v>
      </c>
      <c r="K2238" s="299" t="s">
        <v>10794</v>
      </c>
    </row>
    <row r="2239" spans="1:11" s="75" customFormat="1" ht="14.55" customHeight="1" x14ac:dyDescent="0.25">
      <c r="A2239" s="286" t="s">
        <v>8816</v>
      </c>
      <c r="B2239" s="272" t="s">
        <v>10591</v>
      </c>
      <c r="C2239" s="272" t="s">
        <v>10576</v>
      </c>
      <c r="D2239" s="259" t="s">
        <v>10577</v>
      </c>
      <c r="E2239" s="299" t="s">
        <v>10794</v>
      </c>
      <c r="F2239" s="272" t="s">
        <v>9198</v>
      </c>
      <c r="G2239" s="272" t="s">
        <v>9197</v>
      </c>
      <c r="H2239" s="265" t="s">
        <v>11034</v>
      </c>
      <c r="I2239" s="290" t="s">
        <v>11035</v>
      </c>
      <c r="J2239" s="265" t="s">
        <v>10655</v>
      </c>
      <c r="K2239" s="299" t="s">
        <v>10794</v>
      </c>
    </row>
    <row r="2240" spans="1:11" s="75" customFormat="1" ht="14.55" customHeight="1" x14ac:dyDescent="0.25">
      <c r="A2240" s="286" t="s">
        <v>8816</v>
      </c>
      <c r="B2240" s="272" t="s">
        <v>10591</v>
      </c>
      <c r="C2240" s="272" t="s">
        <v>10576</v>
      </c>
      <c r="D2240" s="259" t="s">
        <v>10577</v>
      </c>
      <c r="E2240" s="299" t="s">
        <v>10794</v>
      </c>
      <c r="F2240" s="272" t="s">
        <v>9198</v>
      </c>
      <c r="G2240" s="272" t="s">
        <v>9197</v>
      </c>
      <c r="H2240" s="265" t="s">
        <v>10877</v>
      </c>
      <c r="I2240" s="290" t="s">
        <v>10878</v>
      </c>
      <c r="J2240" s="265" t="s">
        <v>10655</v>
      </c>
      <c r="K2240" s="299" t="s">
        <v>10794</v>
      </c>
    </row>
    <row r="2241" spans="1:11" s="75" customFormat="1" ht="14.55" customHeight="1" x14ac:dyDescent="0.25">
      <c r="A2241" s="286" t="s">
        <v>8816</v>
      </c>
      <c r="B2241" s="272" t="s">
        <v>10591</v>
      </c>
      <c r="C2241" s="272" t="s">
        <v>10576</v>
      </c>
      <c r="D2241" s="259" t="s">
        <v>10577</v>
      </c>
      <c r="E2241" s="299" t="s">
        <v>10794</v>
      </c>
      <c r="F2241" s="272" t="s">
        <v>9198</v>
      </c>
      <c r="G2241" s="272" t="s">
        <v>9197</v>
      </c>
      <c r="H2241" s="265" t="s">
        <v>10879</v>
      </c>
      <c r="I2241" s="290" t="s">
        <v>10880</v>
      </c>
      <c r="J2241" s="265" t="s">
        <v>10655</v>
      </c>
      <c r="K2241" s="299" t="s">
        <v>10794</v>
      </c>
    </row>
    <row r="2242" spans="1:11" s="75" customFormat="1" ht="14.55" customHeight="1" x14ac:dyDescent="0.25">
      <c r="A2242" s="286" t="s">
        <v>8816</v>
      </c>
      <c r="B2242" s="272" t="s">
        <v>10591</v>
      </c>
      <c r="C2242" s="272" t="s">
        <v>10576</v>
      </c>
      <c r="D2242" s="259" t="s">
        <v>10577</v>
      </c>
      <c r="E2242" s="299" t="s">
        <v>10794</v>
      </c>
      <c r="F2242" s="272" t="s">
        <v>9198</v>
      </c>
      <c r="G2242" s="272" t="s">
        <v>9197</v>
      </c>
      <c r="H2242" s="265" t="s">
        <v>10881</v>
      </c>
      <c r="I2242" s="291" t="s">
        <v>10882</v>
      </c>
      <c r="J2242" s="265" t="s">
        <v>10655</v>
      </c>
      <c r="K2242" s="299" t="s">
        <v>10794</v>
      </c>
    </row>
    <row r="2243" spans="1:11" s="75" customFormat="1" ht="14.55" customHeight="1" x14ac:dyDescent="0.25">
      <c r="A2243" s="286" t="s">
        <v>8816</v>
      </c>
      <c r="B2243" s="272" t="s">
        <v>10591</v>
      </c>
      <c r="C2243" s="272" t="s">
        <v>10576</v>
      </c>
      <c r="D2243" s="259" t="s">
        <v>10577</v>
      </c>
      <c r="E2243" s="299" t="s">
        <v>10794</v>
      </c>
      <c r="F2243" s="272" t="s">
        <v>9198</v>
      </c>
      <c r="G2243" s="272" t="s">
        <v>9197</v>
      </c>
      <c r="H2243" s="265" t="s">
        <v>10883</v>
      </c>
      <c r="I2243" s="292" t="s">
        <v>10884</v>
      </c>
      <c r="J2243" s="265" t="s">
        <v>10655</v>
      </c>
      <c r="K2243" s="299" t="s">
        <v>10794</v>
      </c>
    </row>
    <row r="2244" spans="1:11" s="75" customFormat="1" ht="14.55" customHeight="1" x14ac:dyDescent="0.25">
      <c r="A2244" s="286" t="s">
        <v>8816</v>
      </c>
      <c r="B2244" s="272" t="s">
        <v>10591</v>
      </c>
      <c r="C2244" s="272" t="s">
        <v>10576</v>
      </c>
      <c r="D2244" s="259" t="s">
        <v>10577</v>
      </c>
      <c r="E2244" s="299" t="s">
        <v>10794</v>
      </c>
      <c r="F2244" s="272" t="s">
        <v>9198</v>
      </c>
      <c r="G2244" s="272" t="s">
        <v>9197</v>
      </c>
      <c r="H2244" s="265" t="s">
        <v>10903</v>
      </c>
      <c r="I2244" s="290" t="s">
        <v>10904</v>
      </c>
      <c r="J2244" s="265" t="s">
        <v>10655</v>
      </c>
      <c r="K2244" s="299" t="s">
        <v>10794</v>
      </c>
    </row>
    <row r="2245" spans="1:11" s="75" customFormat="1" ht="14.55" customHeight="1" x14ac:dyDescent="0.25">
      <c r="A2245" s="286" t="s">
        <v>8816</v>
      </c>
      <c r="B2245" s="272" t="s">
        <v>10591</v>
      </c>
      <c r="C2245" s="272" t="s">
        <v>10576</v>
      </c>
      <c r="D2245" s="259" t="s">
        <v>10577</v>
      </c>
      <c r="E2245" s="299" t="s">
        <v>10794</v>
      </c>
      <c r="F2245" s="272" t="s">
        <v>9198</v>
      </c>
      <c r="G2245" s="272" t="s">
        <v>9197</v>
      </c>
      <c r="H2245" s="265" t="s">
        <v>10905</v>
      </c>
      <c r="I2245" s="290" t="s">
        <v>10910</v>
      </c>
      <c r="J2245" s="265" t="s">
        <v>10655</v>
      </c>
      <c r="K2245" s="299" t="s">
        <v>10794</v>
      </c>
    </row>
    <row r="2246" spans="1:11" s="75" customFormat="1" ht="14.55" customHeight="1" x14ac:dyDescent="0.25">
      <c r="A2246" s="286" t="s">
        <v>8816</v>
      </c>
      <c r="B2246" s="272" t="s">
        <v>10591</v>
      </c>
      <c r="C2246" s="272" t="s">
        <v>10576</v>
      </c>
      <c r="D2246" s="259" t="s">
        <v>10577</v>
      </c>
      <c r="E2246" s="299" t="s">
        <v>10794</v>
      </c>
      <c r="F2246" s="272" t="s">
        <v>9198</v>
      </c>
      <c r="G2246" s="272" t="s">
        <v>9197</v>
      </c>
      <c r="H2246" s="265" t="s">
        <v>10913</v>
      </c>
      <c r="I2246" s="290" t="s">
        <v>10914</v>
      </c>
      <c r="J2246" s="265" t="s">
        <v>10655</v>
      </c>
      <c r="K2246" s="299" t="s">
        <v>10794</v>
      </c>
    </row>
    <row r="2247" spans="1:11" s="75" customFormat="1" ht="14.55" customHeight="1" x14ac:dyDescent="0.25">
      <c r="A2247" s="286" t="s">
        <v>8816</v>
      </c>
      <c r="B2247" s="272" t="s">
        <v>10591</v>
      </c>
      <c r="C2247" s="272" t="s">
        <v>10576</v>
      </c>
      <c r="D2247" s="259" t="s">
        <v>10577</v>
      </c>
      <c r="E2247" s="299" t="s">
        <v>10794</v>
      </c>
      <c r="F2247" s="272" t="s">
        <v>9198</v>
      </c>
      <c r="G2247" s="272" t="s">
        <v>9197</v>
      </c>
      <c r="H2247" s="265" t="s">
        <v>10915</v>
      </c>
      <c r="I2247" s="290" t="s">
        <v>10916</v>
      </c>
      <c r="J2247" s="265" t="s">
        <v>10655</v>
      </c>
      <c r="K2247" s="299" t="s">
        <v>10794</v>
      </c>
    </row>
    <row r="2248" spans="1:11" s="75" customFormat="1" ht="14.55" customHeight="1" x14ac:dyDescent="0.25">
      <c r="A2248" s="286" t="s">
        <v>8816</v>
      </c>
      <c r="B2248" s="272" t="s">
        <v>10591</v>
      </c>
      <c r="C2248" s="272" t="s">
        <v>10576</v>
      </c>
      <c r="D2248" s="259" t="s">
        <v>10577</v>
      </c>
      <c r="E2248" s="299" t="s">
        <v>10794</v>
      </c>
      <c r="F2248" s="272" t="s">
        <v>9198</v>
      </c>
      <c r="G2248" s="272" t="s">
        <v>9197</v>
      </c>
      <c r="H2248" s="265" t="s">
        <v>10917</v>
      </c>
      <c r="I2248" s="290" t="s">
        <v>10918</v>
      </c>
      <c r="J2248" s="265" t="s">
        <v>10655</v>
      </c>
      <c r="K2248" s="299" t="s">
        <v>10794</v>
      </c>
    </row>
    <row r="2249" spans="1:11" s="75" customFormat="1" ht="14.55" customHeight="1" x14ac:dyDescent="0.25">
      <c r="A2249" s="286" t="s">
        <v>8816</v>
      </c>
      <c r="B2249" s="272" t="s">
        <v>10591</v>
      </c>
      <c r="C2249" s="272" t="s">
        <v>10576</v>
      </c>
      <c r="D2249" s="259" t="s">
        <v>10577</v>
      </c>
      <c r="E2249" s="299" t="s">
        <v>10794</v>
      </c>
      <c r="F2249" s="272" t="s">
        <v>9198</v>
      </c>
      <c r="G2249" s="272" t="s">
        <v>9197</v>
      </c>
      <c r="H2249" s="265" t="s">
        <v>10919</v>
      </c>
      <c r="I2249" s="290" t="s">
        <v>10920</v>
      </c>
      <c r="J2249" s="265" t="s">
        <v>10655</v>
      </c>
      <c r="K2249" s="299" t="s">
        <v>10794</v>
      </c>
    </row>
    <row r="2250" spans="1:11" s="75" customFormat="1" ht="14.55" customHeight="1" x14ac:dyDescent="0.25">
      <c r="A2250" s="286" t="s">
        <v>8816</v>
      </c>
      <c r="B2250" s="272" t="s">
        <v>10591</v>
      </c>
      <c r="C2250" s="272" t="s">
        <v>10576</v>
      </c>
      <c r="D2250" s="259" t="s">
        <v>10577</v>
      </c>
      <c r="E2250" s="299" t="s">
        <v>10794</v>
      </c>
      <c r="F2250" s="272" t="s">
        <v>9198</v>
      </c>
      <c r="G2250" s="272" t="s">
        <v>9197</v>
      </c>
      <c r="H2250" s="265" t="s">
        <v>11032</v>
      </c>
      <c r="I2250" s="290" t="s">
        <v>11033</v>
      </c>
      <c r="J2250" s="265" t="s">
        <v>10655</v>
      </c>
      <c r="K2250" s="299" t="s">
        <v>10794</v>
      </c>
    </row>
    <row r="2251" spans="1:11" s="75" customFormat="1" ht="14.55" customHeight="1" x14ac:dyDescent="0.25">
      <c r="A2251" s="286" t="s">
        <v>8816</v>
      </c>
      <c r="B2251" s="272" t="s">
        <v>10591</v>
      </c>
      <c r="C2251" s="272" t="s">
        <v>10576</v>
      </c>
      <c r="D2251" s="259" t="s">
        <v>10577</v>
      </c>
      <c r="E2251" s="299" t="s">
        <v>10794</v>
      </c>
      <c r="F2251" s="272" t="s">
        <v>9198</v>
      </c>
      <c r="G2251" s="272" t="s">
        <v>9197</v>
      </c>
      <c r="H2251" s="265" t="s">
        <v>10911</v>
      </c>
      <c r="I2251" s="290" t="s">
        <v>10912</v>
      </c>
      <c r="J2251" s="265" t="s">
        <v>10655</v>
      </c>
      <c r="K2251" s="299" t="s">
        <v>10794</v>
      </c>
    </row>
    <row r="2252" spans="1:11" s="75" customFormat="1" ht="14.55" customHeight="1" x14ac:dyDescent="0.25">
      <c r="A2252" s="286" t="s">
        <v>8816</v>
      </c>
      <c r="B2252" s="272" t="s">
        <v>10591</v>
      </c>
      <c r="C2252" s="272" t="s">
        <v>10578</v>
      </c>
      <c r="D2252" s="259" t="s">
        <v>10579</v>
      </c>
      <c r="E2252" s="299" t="s">
        <v>10794</v>
      </c>
      <c r="F2252" s="272" t="s">
        <v>9198</v>
      </c>
      <c r="G2252" s="272" t="s">
        <v>9197</v>
      </c>
      <c r="H2252" s="265" t="s">
        <v>10962</v>
      </c>
      <c r="I2252" s="290" t="s">
        <v>10963</v>
      </c>
      <c r="J2252" s="265" t="s">
        <v>10655</v>
      </c>
      <c r="K2252" s="299" t="s">
        <v>10794</v>
      </c>
    </row>
    <row r="2253" spans="1:11" s="75" customFormat="1" ht="14.55" customHeight="1" x14ac:dyDescent="0.25">
      <c r="A2253" s="286" t="s">
        <v>8816</v>
      </c>
      <c r="B2253" s="272" t="s">
        <v>10591</v>
      </c>
      <c r="C2253" s="272" t="s">
        <v>10578</v>
      </c>
      <c r="D2253" s="259" t="s">
        <v>10579</v>
      </c>
      <c r="E2253" s="299" t="s">
        <v>10794</v>
      </c>
      <c r="F2253" s="272" t="s">
        <v>9198</v>
      </c>
      <c r="G2253" s="272" t="s">
        <v>9197</v>
      </c>
      <c r="H2253" s="265" t="s">
        <v>10935</v>
      </c>
      <c r="I2253" s="290" t="s">
        <v>10936</v>
      </c>
      <c r="J2253" s="265" t="s">
        <v>10655</v>
      </c>
      <c r="K2253" s="299" t="s">
        <v>10794</v>
      </c>
    </row>
    <row r="2254" spans="1:11" s="75" customFormat="1" ht="14.55" customHeight="1" x14ac:dyDescent="0.25">
      <c r="A2254" s="286" t="s">
        <v>8816</v>
      </c>
      <c r="B2254" s="272" t="s">
        <v>10591</v>
      </c>
      <c r="C2254" s="272" t="s">
        <v>10578</v>
      </c>
      <c r="D2254" s="259" t="s">
        <v>10579</v>
      </c>
      <c r="E2254" s="299" t="s">
        <v>10794</v>
      </c>
      <c r="F2254" s="272" t="s">
        <v>9198</v>
      </c>
      <c r="G2254" s="272" t="s">
        <v>9197</v>
      </c>
      <c r="H2254" s="265" t="s">
        <v>11016</v>
      </c>
      <c r="I2254" s="290" t="s">
        <v>11017</v>
      </c>
      <c r="J2254" s="265" t="s">
        <v>10655</v>
      </c>
      <c r="K2254" s="299" t="s">
        <v>10794</v>
      </c>
    </row>
    <row r="2255" spans="1:11" s="75" customFormat="1" ht="14.55" customHeight="1" x14ac:dyDescent="0.25">
      <c r="A2255" s="286" t="s">
        <v>8816</v>
      </c>
      <c r="B2255" s="272" t="s">
        <v>10591</v>
      </c>
      <c r="C2255" s="272" t="s">
        <v>10578</v>
      </c>
      <c r="D2255" s="259" t="s">
        <v>10579</v>
      </c>
      <c r="E2255" s="299" t="s">
        <v>10794</v>
      </c>
      <c r="F2255" s="272" t="s">
        <v>9198</v>
      </c>
      <c r="G2255" s="272" t="s">
        <v>9197</v>
      </c>
      <c r="H2255" s="265" t="s">
        <v>11018</v>
      </c>
      <c r="I2255" s="290" t="s">
        <v>11019</v>
      </c>
      <c r="J2255" s="265" t="s">
        <v>10655</v>
      </c>
      <c r="K2255" s="299" t="s">
        <v>10794</v>
      </c>
    </row>
    <row r="2256" spans="1:11" s="75" customFormat="1" ht="14.55" customHeight="1" x14ac:dyDescent="0.25">
      <c r="A2256" s="286" t="s">
        <v>8816</v>
      </c>
      <c r="B2256" s="272" t="s">
        <v>10591</v>
      </c>
      <c r="C2256" s="272" t="s">
        <v>10578</v>
      </c>
      <c r="D2256" s="259" t="s">
        <v>10579</v>
      </c>
      <c r="E2256" s="299" t="s">
        <v>10794</v>
      </c>
      <c r="F2256" s="272" t="s">
        <v>9198</v>
      </c>
      <c r="G2256" s="272" t="s">
        <v>9197</v>
      </c>
      <c r="H2256" s="265" t="s">
        <v>10955</v>
      </c>
      <c r="I2256" s="290" t="s">
        <v>10956</v>
      </c>
      <c r="J2256" s="265" t="s">
        <v>10655</v>
      </c>
      <c r="K2256" s="299" t="s">
        <v>10794</v>
      </c>
    </row>
    <row r="2257" spans="1:11" s="75" customFormat="1" ht="14.55" customHeight="1" x14ac:dyDescent="0.25">
      <c r="A2257" s="286" t="s">
        <v>8816</v>
      </c>
      <c r="B2257" s="272" t="s">
        <v>10591</v>
      </c>
      <c r="C2257" s="272" t="s">
        <v>10578</v>
      </c>
      <c r="D2257" s="259" t="s">
        <v>10579</v>
      </c>
      <c r="E2257" s="299" t="s">
        <v>10794</v>
      </c>
      <c r="F2257" s="272" t="s">
        <v>9198</v>
      </c>
      <c r="G2257" s="272" t="s">
        <v>9197</v>
      </c>
      <c r="H2257" s="265" t="s">
        <v>10957</v>
      </c>
      <c r="I2257" s="290" t="s">
        <v>10958</v>
      </c>
      <c r="J2257" s="265" t="s">
        <v>10655</v>
      </c>
      <c r="K2257" s="299" t="s">
        <v>10794</v>
      </c>
    </row>
    <row r="2258" spans="1:11" s="75" customFormat="1" ht="14.55" customHeight="1" x14ac:dyDescent="0.25">
      <c r="A2258" s="286" t="s">
        <v>8816</v>
      </c>
      <c r="B2258" s="272" t="s">
        <v>10591</v>
      </c>
      <c r="C2258" s="272" t="s">
        <v>10578</v>
      </c>
      <c r="D2258" s="259" t="s">
        <v>10579</v>
      </c>
      <c r="E2258" s="299" t="s">
        <v>10794</v>
      </c>
      <c r="F2258" s="272" t="s">
        <v>9198</v>
      </c>
      <c r="G2258" s="272" t="s">
        <v>9197</v>
      </c>
      <c r="H2258" s="265" t="s">
        <v>10959</v>
      </c>
      <c r="I2258" s="290" t="s">
        <v>10958</v>
      </c>
      <c r="J2258" s="265" t="s">
        <v>10655</v>
      </c>
      <c r="K2258" s="299" t="s">
        <v>10794</v>
      </c>
    </row>
    <row r="2259" spans="1:11" s="75" customFormat="1" ht="14.55" customHeight="1" x14ac:dyDescent="0.25">
      <c r="A2259" s="286" t="s">
        <v>8816</v>
      </c>
      <c r="B2259" s="272" t="s">
        <v>10591</v>
      </c>
      <c r="C2259" s="272" t="s">
        <v>10578</v>
      </c>
      <c r="D2259" s="259" t="s">
        <v>10579</v>
      </c>
      <c r="E2259" s="299" t="s">
        <v>10794</v>
      </c>
      <c r="F2259" s="272" t="s">
        <v>9198</v>
      </c>
      <c r="G2259" s="272" t="s">
        <v>9197</v>
      </c>
      <c r="H2259" s="265" t="s">
        <v>11020</v>
      </c>
      <c r="I2259" s="290" t="s">
        <v>11021</v>
      </c>
      <c r="J2259" s="265" t="s">
        <v>10655</v>
      </c>
      <c r="K2259" s="299" t="s">
        <v>10794</v>
      </c>
    </row>
    <row r="2260" spans="1:11" s="75" customFormat="1" ht="14.55" customHeight="1" x14ac:dyDescent="0.25">
      <c r="A2260" s="286" t="s">
        <v>8816</v>
      </c>
      <c r="B2260" s="272" t="s">
        <v>10591</v>
      </c>
      <c r="C2260" s="272" t="s">
        <v>10578</v>
      </c>
      <c r="D2260" s="259" t="s">
        <v>10579</v>
      </c>
      <c r="E2260" s="299" t="s">
        <v>10794</v>
      </c>
      <c r="F2260" s="272" t="s">
        <v>9198</v>
      </c>
      <c r="G2260" s="272" t="s">
        <v>9197</v>
      </c>
      <c r="H2260" s="265" t="s">
        <v>11022</v>
      </c>
      <c r="I2260" s="290" t="s">
        <v>11023</v>
      </c>
      <c r="J2260" s="265" t="s">
        <v>10655</v>
      </c>
      <c r="K2260" s="299" t="s">
        <v>10794</v>
      </c>
    </row>
    <row r="2261" spans="1:11" s="75" customFormat="1" ht="14.55" customHeight="1" x14ac:dyDescent="0.25">
      <c r="A2261" s="286" t="s">
        <v>8816</v>
      </c>
      <c r="B2261" s="272" t="s">
        <v>10591</v>
      </c>
      <c r="C2261" s="272" t="s">
        <v>10578</v>
      </c>
      <c r="D2261" s="259" t="s">
        <v>10579</v>
      </c>
      <c r="E2261" s="299" t="s">
        <v>10794</v>
      </c>
      <c r="F2261" s="272" t="s">
        <v>9198</v>
      </c>
      <c r="G2261" s="272" t="s">
        <v>9197</v>
      </c>
      <c r="H2261" s="265" t="s">
        <v>11014</v>
      </c>
      <c r="I2261" s="290" t="s">
        <v>11015</v>
      </c>
      <c r="J2261" s="265" t="s">
        <v>10655</v>
      </c>
      <c r="K2261" s="299" t="s">
        <v>10794</v>
      </c>
    </row>
    <row r="2262" spans="1:11" s="75" customFormat="1" ht="14.55" customHeight="1" x14ac:dyDescent="0.25">
      <c r="A2262" s="286" t="s">
        <v>8816</v>
      </c>
      <c r="B2262" s="272" t="s">
        <v>10591</v>
      </c>
      <c r="C2262" s="272" t="s">
        <v>10578</v>
      </c>
      <c r="D2262" s="259" t="s">
        <v>10579</v>
      </c>
      <c r="E2262" s="299" t="s">
        <v>10794</v>
      </c>
      <c r="F2262" s="272" t="s">
        <v>9198</v>
      </c>
      <c r="G2262" s="272" t="s">
        <v>9197</v>
      </c>
      <c r="H2262" s="265" t="s">
        <v>10960</v>
      </c>
      <c r="I2262" s="290" t="s">
        <v>10961</v>
      </c>
      <c r="J2262" s="265" t="s">
        <v>10655</v>
      </c>
      <c r="K2262" s="299" t="s">
        <v>10794</v>
      </c>
    </row>
    <row r="2263" spans="1:11" s="75" customFormat="1" ht="14.55" customHeight="1" x14ac:dyDescent="0.25">
      <c r="A2263" s="286" t="s">
        <v>8816</v>
      </c>
      <c r="B2263" s="272" t="s">
        <v>10591</v>
      </c>
      <c r="C2263" s="272" t="s">
        <v>10580</v>
      </c>
      <c r="D2263" s="259" t="s">
        <v>10581</v>
      </c>
      <c r="E2263" s="299" t="s">
        <v>10794</v>
      </c>
      <c r="F2263" s="272" t="s">
        <v>9198</v>
      </c>
      <c r="G2263" s="272" t="s">
        <v>9197</v>
      </c>
      <c r="H2263" s="265" t="s">
        <v>10974</v>
      </c>
      <c r="I2263" s="290" t="s">
        <v>10975</v>
      </c>
      <c r="J2263" s="265" t="s">
        <v>10655</v>
      </c>
      <c r="K2263" s="299" t="s">
        <v>10794</v>
      </c>
    </row>
    <row r="2264" spans="1:11" s="75" customFormat="1" ht="14.55" customHeight="1" x14ac:dyDescent="0.25">
      <c r="A2264" s="286" t="s">
        <v>8816</v>
      </c>
      <c r="B2264" s="272" t="s">
        <v>10591</v>
      </c>
      <c r="C2264" s="272" t="s">
        <v>10580</v>
      </c>
      <c r="D2264" s="259" t="s">
        <v>10581</v>
      </c>
      <c r="E2264" s="299" t="s">
        <v>10794</v>
      </c>
      <c r="F2264" s="272" t="s">
        <v>9198</v>
      </c>
      <c r="G2264" s="272" t="s">
        <v>9197</v>
      </c>
      <c r="H2264" s="265" t="s">
        <v>10925</v>
      </c>
      <c r="I2264" s="290" t="s">
        <v>10926</v>
      </c>
      <c r="J2264" s="265" t="s">
        <v>10655</v>
      </c>
      <c r="K2264" s="299" t="s">
        <v>10794</v>
      </c>
    </row>
    <row r="2265" spans="1:11" s="75" customFormat="1" ht="14.55" customHeight="1" x14ac:dyDescent="0.25">
      <c r="A2265" s="286" t="s">
        <v>8816</v>
      </c>
      <c r="B2265" s="272" t="s">
        <v>10591</v>
      </c>
      <c r="C2265" s="272" t="s">
        <v>10580</v>
      </c>
      <c r="D2265" s="259" t="s">
        <v>10581</v>
      </c>
      <c r="E2265" s="299" t="s">
        <v>10794</v>
      </c>
      <c r="F2265" s="272" t="s">
        <v>9198</v>
      </c>
      <c r="G2265" s="272" t="s">
        <v>9197</v>
      </c>
      <c r="H2265" s="265" t="s">
        <v>10966</v>
      </c>
      <c r="I2265" s="290" t="s">
        <v>10967</v>
      </c>
      <c r="J2265" s="265" t="s">
        <v>10655</v>
      </c>
      <c r="K2265" s="299" t="s">
        <v>10794</v>
      </c>
    </row>
    <row r="2266" spans="1:11" s="75" customFormat="1" ht="14.55" customHeight="1" x14ac:dyDescent="0.25">
      <c r="A2266" s="286" t="s">
        <v>8816</v>
      </c>
      <c r="B2266" s="272" t="s">
        <v>10591</v>
      </c>
      <c r="C2266" s="272" t="s">
        <v>10580</v>
      </c>
      <c r="D2266" s="259" t="s">
        <v>10581</v>
      </c>
      <c r="E2266" s="299" t="s">
        <v>10794</v>
      </c>
      <c r="F2266" s="272" t="s">
        <v>9198</v>
      </c>
      <c r="G2266" s="272" t="s">
        <v>9197</v>
      </c>
      <c r="H2266" s="265" t="s">
        <v>10968</v>
      </c>
      <c r="I2266" s="290" t="s">
        <v>10969</v>
      </c>
      <c r="J2266" s="265" t="s">
        <v>10655</v>
      </c>
      <c r="K2266" s="299" t="s">
        <v>10794</v>
      </c>
    </row>
    <row r="2267" spans="1:11" s="75" customFormat="1" ht="14.55" customHeight="1" x14ac:dyDescent="0.25">
      <c r="A2267" s="286" t="s">
        <v>8816</v>
      </c>
      <c r="B2267" s="272" t="s">
        <v>10591</v>
      </c>
      <c r="C2267" s="272" t="s">
        <v>10580</v>
      </c>
      <c r="D2267" s="259" t="s">
        <v>10581</v>
      </c>
      <c r="E2267" s="299" t="s">
        <v>10794</v>
      </c>
      <c r="F2267" s="272" t="s">
        <v>9198</v>
      </c>
      <c r="G2267" s="272" t="s">
        <v>9197</v>
      </c>
      <c r="H2267" s="265" t="s">
        <v>10970</v>
      </c>
      <c r="I2267" s="290" t="s">
        <v>10971</v>
      </c>
      <c r="J2267" s="265" t="s">
        <v>10655</v>
      </c>
      <c r="K2267" s="299" t="s">
        <v>10794</v>
      </c>
    </row>
    <row r="2268" spans="1:11" s="75" customFormat="1" ht="14.55" customHeight="1" x14ac:dyDescent="0.25">
      <c r="A2268" s="286" t="s">
        <v>8816</v>
      </c>
      <c r="B2268" s="272" t="s">
        <v>10591</v>
      </c>
      <c r="C2268" s="272" t="s">
        <v>10580</v>
      </c>
      <c r="D2268" s="259" t="s">
        <v>10581</v>
      </c>
      <c r="E2268" s="299" t="s">
        <v>10794</v>
      </c>
      <c r="F2268" s="272" t="s">
        <v>9198</v>
      </c>
      <c r="G2268" s="272" t="s">
        <v>9197</v>
      </c>
      <c r="H2268" s="265" t="s">
        <v>11026</v>
      </c>
      <c r="I2268" s="290" t="s">
        <v>11027</v>
      </c>
      <c r="J2268" s="265" t="s">
        <v>10655</v>
      </c>
      <c r="K2268" s="299" t="s">
        <v>10794</v>
      </c>
    </row>
    <row r="2269" spans="1:11" s="75" customFormat="1" ht="14.55" customHeight="1" x14ac:dyDescent="0.25">
      <c r="A2269" s="286" t="s">
        <v>8816</v>
      </c>
      <c r="B2269" s="272" t="s">
        <v>10591</v>
      </c>
      <c r="C2269" s="272" t="s">
        <v>10580</v>
      </c>
      <c r="D2269" s="259" t="s">
        <v>10581</v>
      </c>
      <c r="E2269" s="299" t="s">
        <v>10794</v>
      </c>
      <c r="F2269" s="272" t="s">
        <v>9198</v>
      </c>
      <c r="G2269" s="272" t="s">
        <v>9197</v>
      </c>
      <c r="H2269" s="265" t="s">
        <v>11024</v>
      </c>
      <c r="I2269" s="290" t="s">
        <v>11025</v>
      </c>
      <c r="J2269" s="265" t="s">
        <v>10655</v>
      </c>
      <c r="K2269" s="299" t="s">
        <v>10794</v>
      </c>
    </row>
    <row r="2270" spans="1:11" s="75" customFormat="1" ht="14.55" customHeight="1" x14ac:dyDescent="0.25">
      <c r="A2270" s="286" t="s">
        <v>8816</v>
      </c>
      <c r="B2270" s="272" t="s">
        <v>10591</v>
      </c>
      <c r="C2270" s="272" t="s">
        <v>10580</v>
      </c>
      <c r="D2270" s="259" t="s">
        <v>10581</v>
      </c>
      <c r="E2270" s="299" t="s">
        <v>10794</v>
      </c>
      <c r="F2270" s="272" t="s">
        <v>9198</v>
      </c>
      <c r="G2270" s="272" t="s">
        <v>9197</v>
      </c>
      <c r="H2270" s="265" t="s">
        <v>10964</v>
      </c>
      <c r="I2270" s="290" t="s">
        <v>10965</v>
      </c>
      <c r="J2270" s="265" t="s">
        <v>10655</v>
      </c>
      <c r="K2270" s="299" t="s">
        <v>10794</v>
      </c>
    </row>
    <row r="2271" spans="1:11" s="75" customFormat="1" ht="14.55" customHeight="1" x14ac:dyDescent="0.25">
      <c r="A2271" s="286" t="s">
        <v>8816</v>
      </c>
      <c r="B2271" s="272" t="s">
        <v>10591</v>
      </c>
      <c r="C2271" s="272" t="s">
        <v>10580</v>
      </c>
      <c r="D2271" s="259" t="s">
        <v>10581</v>
      </c>
      <c r="E2271" s="299" t="s">
        <v>10794</v>
      </c>
      <c r="F2271" s="272" t="s">
        <v>9198</v>
      </c>
      <c r="G2271" s="272" t="s">
        <v>9197</v>
      </c>
      <c r="H2271" s="265" t="s">
        <v>10972</v>
      </c>
      <c r="I2271" s="290" t="s">
        <v>10973</v>
      </c>
      <c r="J2271" s="265" t="s">
        <v>10655</v>
      </c>
      <c r="K2271" s="299" t="s">
        <v>10794</v>
      </c>
    </row>
    <row r="2272" spans="1:11" s="75" customFormat="1" ht="14.55" customHeight="1" x14ac:dyDescent="0.25">
      <c r="A2272" s="286" t="s">
        <v>8816</v>
      </c>
      <c r="B2272" s="272" t="s">
        <v>10591</v>
      </c>
      <c r="C2272" s="272" t="s">
        <v>10580</v>
      </c>
      <c r="D2272" s="259" t="s">
        <v>10581</v>
      </c>
      <c r="E2272" s="299" t="s">
        <v>10794</v>
      </c>
      <c r="F2272" s="272" t="s">
        <v>9198</v>
      </c>
      <c r="G2272" s="272" t="s">
        <v>9197</v>
      </c>
      <c r="H2272" s="265" t="s">
        <v>10923</v>
      </c>
      <c r="I2272" s="290" t="s">
        <v>10924</v>
      </c>
      <c r="J2272" s="265" t="s">
        <v>10655</v>
      </c>
      <c r="K2272" s="299" t="s">
        <v>10794</v>
      </c>
    </row>
    <row r="2273" spans="1:11" s="75" customFormat="1" ht="14.55" customHeight="1" x14ac:dyDescent="0.25">
      <c r="A2273" s="286" t="s">
        <v>8816</v>
      </c>
      <c r="B2273" s="272" t="s">
        <v>10591</v>
      </c>
      <c r="C2273" s="272" t="s">
        <v>10580</v>
      </c>
      <c r="D2273" s="259" t="s">
        <v>10581</v>
      </c>
      <c r="E2273" s="299" t="s">
        <v>10794</v>
      </c>
      <c r="F2273" s="272" t="s">
        <v>9198</v>
      </c>
      <c r="G2273" s="272" t="s">
        <v>9197</v>
      </c>
      <c r="H2273" s="265" t="s">
        <v>11028</v>
      </c>
      <c r="I2273" s="290" t="s">
        <v>11029</v>
      </c>
      <c r="J2273" s="265" t="s">
        <v>10655</v>
      </c>
      <c r="K2273" s="299" t="s">
        <v>10794</v>
      </c>
    </row>
    <row r="2274" spans="1:11" s="75" customFormat="1" ht="14.55" customHeight="1" x14ac:dyDescent="0.25">
      <c r="A2274" s="286" t="s">
        <v>8816</v>
      </c>
      <c r="B2274" s="272" t="s">
        <v>10591</v>
      </c>
      <c r="C2274" s="272" t="s">
        <v>10580</v>
      </c>
      <c r="D2274" s="259" t="s">
        <v>10581</v>
      </c>
      <c r="E2274" s="299" t="s">
        <v>10794</v>
      </c>
      <c r="F2274" s="272" t="s">
        <v>9198</v>
      </c>
      <c r="G2274" s="272" t="s">
        <v>9197</v>
      </c>
      <c r="H2274" s="265" t="s">
        <v>10927</v>
      </c>
      <c r="I2274" s="290" t="s">
        <v>10928</v>
      </c>
      <c r="J2274" s="265" t="s">
        <v>10655</v>
      </c>
      <c r="K2274" s="299" t="s">
        <v>10794</v>
      </c>
    </row>
    <row r="2275" spans="1:11" s="75" customFormat="1" ht="14.55" customHeight="1" x14ac:dyDescent="0.25">
      <c r="A2275" s="286" t="s">
        <v>8816</v>
      </c>
      <c r="B2275" s="272" t="s">
        <v>10591</v>
      </c>
      <c r="C2275" s="272" t="s">
        <v>10580</v>
      </c>
      <c r="D2275" s="259" t="s">
        <v>10581</v>
      </c>
      <c r="E2275" s="299" t="s">
        <v>10794</v>
      </c>
      <c r="F2275" s="272" t="s">
        <v>9198</v>
      </c>
      <c r="G2275" s="272" t="s">
        <v>9197</v>
      </c>
      <c r="H2275" s="265" t="s">
        <v>10929</v>
      </c>
      <c r="I2275" s="290" t="s">
        <v>10930</v>
      </c>
      <c r="J2275" s="265" t="s">
        <v>10655</v>
      </c>
      <c r="K2275" s="299" t="s">
        <v>10794</v>
      </c>
    </row>
    <row r="2276" spans="1:11" s="75" customFormat="1" ht="14.55" customHeight="1" x14ac:dyDescent="0.25">
      <c r="A2276" s="286" t="s">
        <v>8816</v>
      </c>
      <c r="B2276" s="272" t="s">
        <v>10591</v>
      </c>
      <c r="C2276" s="272" t="s">
        <v>10580</v>
      </c>
      <c r="D2276" s="259" t="s">
        <v>10581</v>
      </c>
      <c r="E2276" s="299" t="s">
        <v>10794</v>
      </c>
      <c r="F2276" s="272" t="s">
        <v>9198</v>
      </c>
      <c r="G2276" s="272" t="s">
        <v>9197</v>
      </c>
      <c r="H2276" s="265" t="s">
        <v>11012</v>
      </c>
      <c r="I2276" s="290" t="s">
        <v>11013</v>
      </c>
      <c r="J2276" s="265" t="s">
        <v>10655</v>
      </c>
      <c r="K2276" s="299" t="s">
        <v>10794</v>
      </c>
    </row>
    <row r="2277" spans="1:11" s="75" customFormat="1" ht="14.55" customHeight="1" x14ac:dyDescent="0.25">
      <c r="A2277" s="286" t="s">
        <v>8816</v>
      </c>
      <c r="B2277" s="272" t="s">
        <v>10591</v>
      </c>
      <c r="C2277" s="272" t="s">
        <v>10582</v>
      </c>
      <c r="D2277" s="259" t="s">
        <v>10583</v>
      </c>
      <c r="E2277" s="299" t="s">
        <v>10794</v>
      </c>
      <c r="F2277" s="272" t="s">
        <v>9198</v>
      </c>
      <c r="G2277" s="272" t="s">
        <v>9197</v>
      </c>
      <c r="H2277" s="265" t="s">
        <v>10931</v>
      </c>
      <c r="I2277" s="290" t="s">
        <v>10932</v>
      </c>
      <c r="J2277" s="265" t="s">
        <v>10655</v>
      </c>
      <c r="K2277" s="299" t="s">
        <v>10794</v>
      </c>
    </row>
    <row r="2278" spans="1:11" s="75" customFormat="1" ht="14.55" customHeight="1" x14ac:dyDescent="0.25">
      <c r="A2278" s="286" t="s">
        <v>8816</v>
      </c>
      <c r="B2278" s="272" t="s">
        <v>10591</v>
      </c>
      <c r="C2278" s="272" t="s">
        <v>10582</v>
      </c>
      <c r="D2278" s="259" t="s">
        <v>10583</v>
      </c>
      <c r="E2278" s="299" t="s">
        <v>10794</v>
      </c>
      <c r="F2278" s="272" t="s">
        <v>9198</v>
      </c>
      <c r="G2278" s="272" t="s">
        <v>9197</v>
      </c>
      <c r="H2278" s="265" t="s">
        <v>10933</v>
      </c>
      <c r="I2278" s="290" t="s">
        <v>10934</v>
      </c>
      <c r="J2278" s="265" t="s">
        <v>10655</v>
      </c>
      <c r="K2278" s="299" t="s">
        <v>10794</v>
      </c>
    </row>
    <row r="2279" spans="1:11" s="75" customFormat="1" ht="14.55" customHeight="1" x14ac:dyDescent="0.25">
      <c r="A2279" s="286" t="s">
        <v>8816</v>
      </c>
      <c r="B2279" s="272" t="s">
        <v>10591</v>
      </c>
      <c r="C2279" s="272" t="s">
        <v>10582</v>
      </c>
      <c r="D2279" s="259" t="s">
        <v>10583</v>
      </c>
      <c r="E2279" s="299" t="s">
        <v>10794</v>
      </c>
      <c r="F2279" s="272" t="s">
        <v>9198</v>
      </c>
      <c r="G2279" s="272" t="s">
        <v>9197</v>
      </c>
      <c r="H2279" s="265" t="s">
        <v>10935</v>
      </c>
      <c r="I2279" s="290" t="s">
        <v>10936</v>
      </c>
      <c r="J2279" s="265" t="s">
        <v>10655</v>
      </c>
      <c r="K2279" s="299" t="s">
        <v>10794</v>
      </c>
    </row>
    <row r="2280" spans="1:11" s="75" customFormat="1" ht="14.55" customHeight="1" x14ac:dyDescent="0.25">
      <c r="A2280" s="286" t="s">
        <v>8816</v>
      </c>
      <c r="B2280" s="272" t="s">
        <v>10591</v>
      </c>
      <c r="C2280" s="272" t="s">
        <v>10582</v>
      </c>
      <c r="D2280" s="259" t="s">
        <v>10583</v>
      </c>
      <c r="E2280" s="299" t="s">
        <v>10794</v>
      </c>
      <c r="F2280" s="272" t="s">
        <v>9198</v>
      </c>
      <c r="G2280" s="272" t="s">
        <v>9197</v>
      </c>
      <c r="H2280" s="265" t="s">
        <v>10937</v>
      </c>
      <c r="I2280" s="290" t="s">
        <v>10938</v>
      </c>
      <c r="J2280" s="265" t="s">
        <v>10655</v>
      </c>
      <c r="K2280" s="299" t="s">
        <v>10794</v>
      </c>
    </row>
    <row r="2281" spans="1:11" s="75" customFormat="1" ht="14.55" customHeight="1" x14ac:dyDescent="0.25">
      <c r="A2281" s="286" t="s">
        <v>8816</v>
      </c>
      <c r="B2281" s="272" t="s">
        <v>10591</v>
      </c>
      <c r="C2281" s="272" t="s">
        <v>10582</v>
      </c>
      <c r="D2281" s="259" t="s">
        <v>10583</v>
      </c>
      <c r="E2281" s="299" t="s">
        <v>10794</v>
      </c>
      <c r="F2281" s="272" t="s">
        <v>9198</v>
      </c>
      <c r="G2281" s="272" t="s">
        <v>9197</v>
      </c>
      <c r="H2281" s="265" t="s">
        <v>10939</v>
      </c>
      <c r="I2281" s="290" t="s">
        <v>10940</v>
      </c>
      <c r="J2281" s="265" t="s">
        <v>10655</v>
      </c>
      <c r="K2281" s="299" t="s">
        <v>10794</v>
      </c>
    </row>
    <row r="2282" spans="1:11" s="75" customFormat="1" ht="14.55" customHeight="1" x14ac:dyDescent="0.25">
      <c r="A2282" s="286" t="s">
        <v>8816</v>
      </c>
      <c r="B2282" s="272" t="s">
        <v>10591</v>
      </c>
      <c r="C2282" s="272" t="s">
        <v>10582</v>
      </c>
      <c r="D2282" s="259" t="s">
        <v>10583</v>
      </c>
      <c r="E2282" s="299" t="s">
        <v>10794</v>
      </c>
      <c r="F2282" s="272" t="s">
        <v>9198</v>
      </c>
      <c r="G2282" s="272" t="s">
        <v>9197</v>
      </c>
      <c r="H2282" s="265" t="s">
        <v>10941</v>
      </c>
      <c r="I2282" s="290" t="s">
        <v>10942</v>
      </c>
      <c r="J2282" s="265" t="s">
        <v>10655</v>
      </c>
      <c r="K2282" s="299" t="s">
        <v>10794</v>
      </c>
    </row>
    <row r="2283" spans="1:11" s="75" customFormat="1" ht="14.55" customHeight="1" x14ac:dyDescent="0.25">
      <c r="A2283" s="286" t="s">
        <v>8816</v>
      </c>
      <c r="B2283" s="272" t="s">
        <v>10591</v>
      </c>
      <c r="C2283" s="272" t="s">
        <v>10582</v>
      </c>
      <c r="D2283" s="259" t="s">
        <v>10583</v>
      </c>
      <c r="E2283" s="299" t="s">
        <v>10794</v>
      </c>
      <c r="F2283" s="272" t="s">
        <v>9198</v>
      </c>
      <c r="G2283" s="272" t="s">
        <v>9197</v>
      </c>
      <c r="H2283" s="265" t="s">
        <v>10943</v>
      </c>
      <c r="I2283" s="290" t="s">
        <v>10944</v>
      </c>
      <c r="J2283" s="265" t="s">
        <v>10655</v>
      </c>
      <c r="K2283" s="299" t="s">
        <v>10794</v>
      </c>
    </row>
    <row r="2284" spans="1:11" s="75" customFormat="1" ht="14.55" customHeight="1" x14ac:dyDescent="0.25">
      <c r="A2284" s="286" t="s">
        <v>8816</v>
      </c>
      <c r="B2284" s="272" t="s">
        <v>10591</v>
      </c>
      <c r="C2284" s="272" t="s">
        <v>10582</v>
      </c>
      <c r="D2284" s="259" t="s">
        <v>10583</v>
      </c>
      <c r="E2284" s="299" t="s">
        <v>10794</v>
      </c>
      <c r="F2284" s="272" t="s">
        <v>9198</v>
      </c>
      <c r="G2284" s="272" t="s">
        <v>9197</v>
      </c>
      <c r="H2284" s="265" t="s">
        <v>10945</v>
      </c>
      <c r="I2284" s="290" t="s">
        <v>10946</v>
      </c>
      <c r="J2284" s="265" t="s">
        <v>10655</v>
      </c>
      <c r="K2284" s="299" t="s">
        <v>10794</v>
      </c>
    </row>
    <row r="2285" spans="1:11" s="75" customFormat="1" ht="14.55" customHeight="1" x14ac:dyDescent="0.25">
      <c r="A2285" s="286" t="s">
        <v>8816</v>
      </c>
      <c r="B2285" s="272" t="s">
        <v>10591</v>
      </c>
      <c r="C2285" s="272" t="s">
        <v>10582</v>
      </c>
      <c r="D2285" s="259" t="s">
        <v>10583</v>
      </c>
      <c r="E2285" s="299" t="s">
        <v>10794</v>
      </c>
      <c r="F2285" s="272" t="s">
        <v>9198</v>
      </c>
      <c r="G2285" s="272" t="s">
        <v>9197</v>
      </c>
      <c r="H2285" s="265" t="s">
        <v>10947</v>
      </c>
      <c r="I2285" s="290" t="s">
        <v>10948</v>
      </c>
      <c r="J2285" s="265" t="s">
        <v>10655</v>
      </c>
      <c r="K2285" s="299" t="s">
        <v>10794</v>
      </c>
    </row>
    <row r="2286" spans="1:11" s="75" customFormat="1" ht="14.55" customHeight="1" x14ac:dyDescent="0.25">
      <c r="A2286" s="286" t="s">
        <v>8816</v>
      </c>
      <c r="B2286" s="272" t="s">
        <v>10591</v>
      </c>
      <c r="C2286" s="272" t="s">
        <v>10582</v>
      </c>
      <c r="D2286" s="259" t="s">
        <v>10583</v>
      </c>
      <c r="E2286" s="299" t="s">
        <v>10794</v>
      </c>
      <c r="F2286" s="272" t="s">
        <v>9198</v>
      </c>
      <c r="G2286" s="272" t="s">
        <v>9197</v>
      </c>
      <c r="H2286" s="265" t="s">
        <v>10951</v>
      </c>
      <c r="I2286" s="290" t="s">
        <v>10952</v>
      </c>
      <c r="J2286" s="265" t="s">
        <v>10655</v>
      </c>
      <c r="K2286" s="299" t="s">
        <v>10794</v>
      </c>
    </row>
    <row r="2287" spans="1:11" s="75" customFormat="1" ht="14.55" customHeight="1" x14ac:dyDescent="0.25">
      <c r="A2287" s="286" t="s">
        <v>8816</v>
      </c>
      <c r="B2287" s="272" t="s">
        <v>10591</v>
      </c>
      <c r="C2287" s="272" t="s">
        <v>10582</v>
      </c>
      <c r="D2287" s="259" t="s">
        <v>10583</v>
      </c>
      <c r="E2287" s="299" t="s">
        <v>10794</v>
      </c>
      <c r="F2287" s="272" t="s">
        <v>9198</v>
      </c>
      <c r="G2287" s="272" t="s">
        <v>9197</v>
      </c>
      <c r="H2287" s="265" t="s">
        <v>10953</v>
      </c>
      <c r="I2287" s="290" t="s">
        <v>10954</v>
      </c>
      <c r="J2287" s="265" t="s">
        <v>10655</v>
      </c>
      <c r="K2287" s="299" t="s">
        <v>10794</v>
      </c>
    </row>
  </sheetData>
  <autoFilter ref="A1:K2287" xr:uid="{55FF82A7-7959-47B1-9108-1DC90618AFDC}"/>
  <sortState xmlns:xlrd2="http://schemas.microsoft.com/office/spreadsheetml/2017/richdata2" ref="B2:J2287">
    <sortCondition ref="C2:C2287"/>
    <sortCondition ref="H2:H2287"/>
  </sortState>
  <phoneticPr fontId="73"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036"/>
  <sheetViews>
    <sheetView zoomScaleNormal="100" workbookViewId="0">
      <pane ySplit="1" topLeftCell="A2" activePane="bottomLeft" state="frozen"/>
      <selection pane="bottomLeft"/>
    </sheetView>
  </sheetViews>
  <sheetFormatPr defaultColWidth="9.21875" defaultRowHeight="14.1" customHeight="1" x14ac:dyDescent="0.25"/>
  <cols>
    <col min="1" max="1" width="16.109375" style="229" bestFit="1" customWidth="1"/>
    <col min="2" max="2" width="38.77734375" style="75" customWidth="1"/>
    <col min="3" max="3" width="15.77734375" style="229" bestFit="1" customWidth="1"/>
    <col min="4" max="4" width="62.77734375" style="75" customWidth="1"/>
    <col min="5" max="16384" width="9.21875" style="303"/>
  </cols>
  <sheetData>
    <row r="1" spans="1:4" s="302" customFormat="1" ht="14.1" customHeight="1" x14ac:dyDescent="0.25">
      <c r="A1" s="301" t="s">
        <v>11048</v>
      </c>
      <c r="B1" s="301" t="s">
        <v>11049</v>
      </c>
      <c r="C1" s="300" t="s">
        <v>11050</v>
      </c>
      <c r="D1" s="301" t="s">
        <v>11051</v>
      </c>
    </row>
    <row r="2" spans="1:4" ht="14.1" customHeight="1" x14ac:dyDescent="0.25">
      <c r="A2" s="303" t="s">
        <v>11052</v>
      </c>
      <c r="B2" s="304" t="s">
        <v>11053</v>
      </c>
      <c r="C2" s="303" t="s">
        <v>11054</v>
      </c>
      <c r="D2" s="304" t="s">
        <v>11055</v>
      </c>
    </row>
    <row r="3" spans="1:4" ht="14.1" customHeight="1" x14ac:dyDescent="0.25">
      <c r="A3" s="303" t="s">
        <v>11052</v>
      </c>
      <c r="B3" s="304" t="s">
        <v>11053</v>
      </c>
      <c r="C3" s="303" t="s">
        <v>11056</v>
      </c>
      <c r="D3" s="304" t="s">
        <v>11057</v>
      </c>
    </row>
    <row r="4" spans="1:4" ht="14.1" customHeight="1" x14ac:dyDescent="0.25">
      <c r="A4" s="303" t="s">
        <v>11052</v>
      </c>
      <c r="B4" s="304" t="s">
        <v>11053</v>
      </c>
      <c r="C4" s="303" t="s">
        <v>11058</v>
      </c>
      <c r="D4" s="304" t="s">
        <v>11059</v>
      </c>
    </row>
    <row r="5" spans="1:4" ht="14.1" customHeight="1" x14ac:dyDescent="0.25">
      <c r="A5" s="303" t="s">
        <v>11052</v>
      </c>
      <c r="B5" s="304" t="s">
        <v>11053</v>
      </c>
      <c r="C5" s="303" t="s">
        <v>11060</v>
      </c>
      <c r="D5" s="304" t="s">
        <v>11061</v>
      </c>
    </row>
    <row r="6" spans="1:4" ht="14.1" customHeight="1" x14ac:dyDescent="0.25">
      <c r="A6" s="303" t="s">
        <v>11062</v>
      </c>
      <c r="B6" s="304" t="s">
        <v>11063</v>
      </c>
      <c r="C6" s="303" t="s">
        <v>11064</v>
      </c>
      <c r="D6" s="304" t="s">
        <v>11065</v>
      </c>
    </row>
    <row r="7" spans="1:4" ht="14.1" customHeight="1" x14ac:dyDescent="0.25">
      <c r="A7" s="303" t="s">
        <v>11066</v>
      </c>
      <c r="B7" s="304" t="s">
        <v>11067</v>
      </c>
      <c r="C7" s="303" t="s">
        <v>11068</v>
      </c>
      <c r="D7" s="304" t="s">
        <v>11069</v>
      </c>
    </row>
    <row r="8" spans="1:4" ht="14.1" customHeight="1" x14ac:dyDescent="0.25">
      <c r="A8" s="303" t="s">
        <v>11070</v>
      </c>
      <c r="B8" s="304" t="s">
        <v>11071</v>
      </c>
      <c r="C8" s="303" t="s">
        <v>11072</v>
      </c>
      <c r="D8" s="304" t="s">
        <v>11073</v>
      </c>
    </row>
    <row r="9" spans="1:4" ht="14.1" customHeight="1" x14ac:dyDescent="0.25">
      <c r="A9" s="303" t="s">
        <v>11070</v>
      </c>
      <c r="B9" s="304" t="s">
        <v>11071</v>
      </c>
      <c r="C9" s="303" t="s">
        <v>11074</v>
      </c>
      <c r="D9" s="304" t="s">
        <v>11075</v>
      </c>
    </row>
    <row r="10" spans="1:4" ht="14.1" customHeight="1" x14ac:dyDescent="0.25">
      <c r="A10" s="303" t="s">
        <v>11070</v>
      </c>
      <c r="B10" s="304" t="s">
        <v>11071</v>
      </c>
      <c r="C10" s="303" t="s">
        <v>11076</v>
      </c>
      <c r="D10" s="304" t="s">
        <v>11077</v>
      </c>
    </row>
    <row r="11" spans="1:4" ht="14.1" customHeight="1" x14ac:dyDescent="0.25">
      <c r="A11" s="303" t="s">
        <v>11070</v>
      </c>
      <c r="B11" s="304" t="s">
        <v>11071</v>
      </c>
      <c r="C11" s="303" t="s">
        <v>11078</v>
      </c>
      <c r="D11" s="304" t="s">
        <v>11079</v>
      </c>
    </row>
    <row r="12" spans="1:4" ht="14.1" customHeight="1" x14ac:dyDescent="0.25">
      <c r="A12" s="303" t="s">
        <v>11070</v>
      </c>
      <c r="B12" s="304" t="s">
        <v>11071</v>
      </c>
      <c r="C12" s="303" t="s">
        <v>11080</v>
      </c>
      <c r="D12" s="304" t="s">
        <v>11081</v>
      </c>
    </row>
    <row r="13" spans="1:4" ht="14.1" customHeight="1" x14ac:dyDescent="0.25">
      <c r="A13" s="303" t="s">
        <v>11070</v>
      </c>
      <c r="B13" s="304" t="s">
        <v>11071</v>
      </c>
      <c r="C13" s="303" t="s">
        <v>11082</v>
      </c>
      <c r="D13" s="304" t="s">
        <v>11083</v>
      </c>
    </row>
    <row r="14" spans="1:4" ht="14.1" customHeight="1" x14ac:dyDescent="0.25">
      <c r="A14" s="303" t="s">
        <v>11070</v>
      </c>
      <c r="B14" s="304" t="s">
        <v>11071</v>
      </c>
      <c r="C14" s="303" t="s">
        <v>11084</v>
      </c>
      <c r="D14" s="304" t="s">
        <v>11085</v>
      </c>
    </row>
    <row r="15" spans="1:4" ht="14.1" customHeight="1" x14ac:dyDescent="0.25">
      <c r="A15" s="303" t="s">
        <v>11086</v>
      </c>
      <c r="B15" s="304" t="s">
        <v>11087</v>
      </c>
      <c r="C15" s="303" t="s">
        <v>11088</v>
      </c>
      <c r="D15" s="304" t="s">
        <v>11089</v>
      </c>
    </row>
    <row r="16" spans="1:4" ht="14.1" customHeight="1" x14ac:dyDescent="0.25">
      <c r="A16" s="303" t="s">
        <v>11090</v>
      </c>
      <c r="B16" s="304" t="s">
        <v>11091</v>
      </c>
      <c r="C16" s="303" t="s">
        <v>11092</v>
      </c>
      <c r="D16" s="304" t="s">
        <v>11093</v>
      </c>
    </row>
    <row r="17" spans="1:4" ht="14.1" customHeight="1" x14ac:dyDescent="0.25">
      <c r="A17" s="303" t="s">
        <v>11094</v>
      </c>
      <c r="B17" s="304" t="s">
        <v>11095</v>
      </c>
      <c r="C17" s="303" t="s">
        <v>11096</v>
      </c>
      <c r="D17" s="304" t="s">
        <v>11097</v>
      </c>
    </row>
    <row r="18" spans="1:4" ht="14.1" customHeight="1" x14ac:dyDescent="0.25">
      <c r="A18" s="303" t="s">
        <v>11094</v>
      </c>
      <c r="B18" s="304" t="s">
        <v>11095</v>
      </c>
      <c r="C18" s="303" t="s">
        <v>11098</v>
      </c>
      <c r="D18" s="304" t="s">
        <v>11099</v>
      </c>
    </row>
    <row r="19" spans="1:4" ht="14.1" customHeight="1" x14ac:dyDescent="0.25">
      <c r="A19" s="303" t="s">
        <v>11100</v>
      </c>
      <c r="B19" s="304" t="s">
        <v>11101</v>
      </c>
      <c r="C19" s="303" t="s">
        <v>11102</v>
      </c>
      <c r="D19" s="304" t="s">
        <v>11103</v>
      </c>
    </row>
    <row r="20" spans="1:4" ht="14.1" customHeight="1" x14ac:dyDescent="0.25">
      <c r="A20" s="303" t="s">
        <v>11100</v>
      </c>
      <c r="B20" s="304" t="s">
        <v>11101</v>
      </c>
      <c r="C20" s="303" t="s">
        <v>11104</v>
      </c>
      <c r="D20" s="304" t="s">
        <v>11105</v>
      </c>
    </row>
    <row r="21" spans="1:4" ht="14.1" customHeight="1" x14ac:dyDescent="0.25">
      <c r="A21" s="303" t="s">
        <v>11106</v>
      </c>
      <c r="B21" s="304" t="s">
        <v>11107</v>
      </c>
      <c r="C21" s="303" t="s">
        <v>11108</v>
      </c>
      <c r="D21" s="304" t="s">
        <v>11109</v>
      </c>
    </row>
    <row r="22" spans="1:4" ht="14.1" customHeight="1" x14ac:dyDescent="0.25">
      <c r="A22" s="303" t="s">
        <v>11106</v>
      </c>
      <c r="B22" s="304" t="s">
        <v>11107</v>
      </c>
      <c r="C22" s="303" t="s">
        <v>11110</v>
      </c>
      <c r="D22" s="304" t="s">
        <v>11111</v>
      </c>
    </row>
    <row r="23" spans="1:4" ht="14.1" customHeight="1" x14ac:dyDescent="0.25">
      <c r="A23" s="303" t="s">
        <v>11106</v>
      </c>
      <c r="B23" s="304" t="s">
        <v>11107</v>
      </c>
      <c r="C23" s="303" t="s">
        <v>11112</v>
      </c>
      <c r="D23" s="304" t="s">
        <v>11113</v>
      </c>
    </row>
    <row r="24" spans="1:4" ht="14.1" customHeight="1" x14ac:dyDescent="0.25">
      <c r="A24" s="303" t="s">
        <v>11114</v>
      </c>
      <c r="B24" s="304" t="s">
        <v>11115</v>
      </c>
      <c r="C24" s="303" t="s">
        <v>11116</v>
      </c>
      <c r="D24" s="304" t="s">
        <v>11117</v>
      </c>
    </row>
    <row r="25" spans="1:4" ht="14.1" customHeight="1" x14ac:dyDescent="0.25">
      <c r="A25" s="303" t="s">
        <v>11114</v>
      </c>
      <c r="B25" s="304" t="s">
        <v>11115</v>
      </c>
      <c r="C25" s="303" t="s">
        <v>11118</v>
      </c>
      <c r="D25" s="304" t="s">
        <v>11119</v>
      </c>
    </row>
    <row r="26" spans="1:4" ht="14.1" customHeight="1" x14ac:dyDescent="0.25">
      <c r="A26" s="303" t="s">
        <v>11114</v>
      </c>
      <c r="B26" s="304" t="s">
        <v>11115</v>
      </c>
      <c r="C26" s="303" t="s">
        <v>11120</v>
      </c>
      <c r="D26" s="304" t="s">
        <v>11121</v>
      </c>
    </row>
    <row r="27" spans="1:4" ht="14.1" customHeight="1" x14ac:dyDescent="0.25">
      <c r="A27" s="303" t="s">
        <v>11114</v>
      </c>
      <c r="B27" s="304" t="s">
        <v>11115</v>
      </c>
      <c r="C27" s="303" t="s">
        <v>11122</v>
      </c>
      <c r="D27" s="304" t="s">
        <v>11123</v>
      </c>
    </row>
    <row r="28" spans="1:4" ht="14.1" customHeight="1" x14ac:dyDescent="0.25">
      <c r="A28" s="303" t="s">
        <v>11114</v>
      </c>
      <c r="B28" s="304" t="s">
        <v>11115</v>
      </c>
      <c r="C28" s="303" t="s">
        <v>11124</v>
      </c>
      <c r="D28" s="304" t="s">
        <v>11125</v>
      </c>
    </row>
    <row r="29" spans="1:4" ht="14.1" customHeight="1" x14ac:dyDescent="0.25">
      <c r="A29" s="303" t="s">
        <v>11114</v>
      </c>
      <c r="B29" s="304" t="s">
        <v>11115</v>
      </c>
      <c r="C29" s="303" t="s">
        <v>11126</v>
      </c>
      <c r="D29" s="304" t="s">
        <v>11127</v>
      </c>
    </row>
    <row r="30" spans="1:4" ht="14.1" customHeight="1" x14ac:dyDescent="0.25">
      <c r="A30" s="303" t="s">
        <v>11114</v>
      </c>
      <c r="B30" s="304" t="s">
        <v>11115</v>
      </c>
      <c r="C30" s="303" t="s">
        <v>11128</v>
      </c>
      <c r="D30" s="304" t="s">
        <v>11129</v>
      </c>
    </row>
    <row r="31" spans="1:4" ht="14.1" customHeight="1" x14ac:dyDescent="0.25">
      <c r="A31" s="303" t="s">
        <v>11114</v>
      </c>
      <c r="B31" s="304" t="s">
        <v>11115</v>
      </c>
      <c r="C31" s="303" t="s">
        <v>11130</v>
      </c>
      <c r="D31" s="304" t="s">
        <v>11131</v>
      </c>
    </row>
    <row r="32" spans="1:4" ht="14.1" customHeight="1" x14ac:dyDescent="0.25">
      <c r="A32" s="303" t="s">
        <v>11132</v>
      </c>
      <c r="B32" s="304" t="s">
        <v>11133</v>
      </c>
      <c r="C32" s="303" t="s">
        <v>11134</v>
      </c>
      <c r="D32" s="304" t="s">
        <v>11135</v>
      </c>
    </row>
    <row r="33" spans="1:4" ht="14.1" customHeight="1" x14ac:dyDescent="0.25">
      <c r="A33" s="303" t="s">
        <v>7672</v>
      </c>
      <c r="B33" s="304" t="s">
        <v>11136</v>
      </c>
      <c r="C33" s="303" t="s">
        <v>11137</v>
      </c>
      <c r="D33" s="304" t="s">
        <v>11138</v>
      </c>
    </row>
    <row r="34" spans="1:4" ht="14.1" customHeight="1" x14ac:dyDescent="0.25">
      <c r="A34" s="303" t="s">
        <v>7672</v>
      </c>
      <c r="B34" s="304" t="s">
        <v>11136</v>
      </c>
      <c r="C34" s="303" t="s">
        <v>11139</v>
      </c>
      <c r="D34" s="304" t="s">
        <v>11140</v>
      </c>
    </row>
    <row r="35" spans="1:4" ht="14.1" customHeight="1" x14ac:dyDescent="0.25">
      <c r="A35" s="303" t="s">
        <v>7672</v>
      </c>
      <c r="B35" s="304" t="s">
        <v>11136</v>
      </c>
      <c r="C35" s="303" t="s">
        <v>11141</v>
      </c>
      <c r="D35" s="304" t="s">
        <v>11142</v>
      </c>
    </row>
    <row r="36" spans="1:4" ht="14.1" customHeight="1" x14ac:dyDescent="0.25">
      <c r="A36" s="303" t="s">
        <v>7672</v>
      </c>
      <c r="B36" s="304" t="s">
        <v>11136</v>
      </c>
      <c r="C36" s="303" t="s">
        <v>11143</v>
      </c>
      <c r="D36" s="304" t="s">
        <v>11144</v>
      </c>
    </row>
    <row r="37" spans="1:4" ht="14.1" customHeight="1" x14ac:dyDescent="0.25">
      <c r="A37" s="303" t="s">
        <v>7672</v>
      </c>
      <c r="B37" s="304" t="s">
        <v>11136</v>
      </c>
      <c r="C37" s="303" t="s">
        <v>11145</v>
      </c>
      <c r="D37" s="304" t="s">
        <v>11146</v>
      </c>
    </row>
    <row r="38" spans="1:4" ht="14.1" customHeight="1" x14ac:dyDescent="0.25">
      <c r="A38" s="303" t="s">
        <v>7672</v>
      </c>
      <c r="B38" s="304" t="s">
        <v>11136</v>
      </c>
      <c r="C38" s="303" t="s">
        <v>11147</v>
      </c>
      <c r="D38" s="304" t="s">
        <v>11148</v>
      </c>
    </row>
    <row r="39" spans="1:4" ht="14.1" customHeight="1" x14ac:dyDescent="0.25">
      <c r="A39" s="303" t="s">
        <v>7672</v>
      </c>
      <c r="B39" s="304" t="s">
        <v>11136</v>
      </c>
      <c r="C39" s="303" t="s">
        <v>11149</v>
      </c>
      <c r="D39" s="304" t="s">
        <v>11150</v>
      </c>
    </row>
    <row r="40" spans="1:4" ht="14.1" customHeight="1" x14ac:dyDescent="0.25">
      <c r="A40" s="303" t="s">
        <v>7672</v>
      </c>
      <c r="B40" s="304" t="s">
        <v>11136</v>
      </c>
      <c r="C40" s="303" t="s">
        <v>11151</v>
      </c>
      <c r="D40" s="304" t="s">
        <v>11152</v>
      </c>
    </row>
    <row r="41" spans="1:4" ht="14.1" customHeight="1" x14ac:dyDescent="0.25">
      <c r="A41" s="303" t="s">
        <v>7672</v>
      </c>
      <c r="B41" s="304" t="s">
        <v>11136</v>
      </c>
      <c r="C41" s="303" t="s">
        <v>11153</v>
      </c>
      <c r="D41" s="304" t="s">
        <v>11154</v>
      </c>
    </row>
    <row r="42" spans="1:4" ht="14.1" customHeight="1" x14ac:dyDescent="0.25">
      <c r="A42" s="303" t="s">
        <v>7672</v>
      </c>
      <c r="B42" s="304" t="s">
        <v>11136</v>
      </c>
      <c r="C42" s="303" t="s">
        <v>11155</v>
      </c>
      <c r="D42" s="304" t="s">
        <v>11156</v>
      </c>
    </row>
    <row r="43" spans="1:4" ht="14.1" customHeight="1" x14ac:dyDescent="0.25">
      <c r="A43" s="303" t="s">
        <v>7672</v>
      </c>
      <c r="B43" s="304" t="s">
        <v>11136</v>
      </c>
      <c r="C43" s="303" t="s">
        <v>11157</v>
      </c>
      <c r="D43" s="304" t="s">
        <v>11158</v>
      </c>
    </row>
    <row r="44" spans="1:4" ht="14.1" customHeight="1" x14ac:dyDescent="0.25">
      <c r="A44" s="303" t="s">
        <v>7672</v>
      </c>
      <c r="B44" s="304" t="s">
        <v>11136</v>
      </c>
      <c r="C44" s="303" t="s">
        <v>11159</v>
      </c>
      <c r="D44" s="304" t="s">
        <v>11160</v>
      </c>
    </row>
    <row r="45" spans="1:4" ht="14.1" customHeight="1" x14ac:dyDescent="0.25">
      <c r="A45" s="303" t="s">
        <v>7672</v>
      </c>
      <c r="B45" s="304" t="s">
        <v>11136</v>
      </c>
      <c r="C45" s="303" t="s">
        <v>11161</v>
      </c>
      <c r="D45" s="304" t="s">
        <v>11162</v>
      </c>
    </row>
    <row r="46" spans="1:4" ht="14.1" customHeight="1" x14ac:dyDescent="0.25">
      <c r="A46" s="303" t="s">
        <v>7672</v>
      </c>
      <c r="B46" s="304" t="s">
        <v>11136</v>
      </c>
      <c r="C46" s="303" t="s">
        <v>11163</v>
      </c>
      <c r="D46" s="304" t="s">
        <v>11164</v>
      </c>
    </row>
    <row r="47" spans="1:4" ht="14.1" customHeight="1" x14ac:dyDescent="0.25">
      <c r="A47" s="303" t="s">
        <v>11165</v>
      </c>
      <c r="B47" s="304" t="s">
        <v>11166</v>
      </c>
      <c r="C47" s="303" t="s">
        <v>11167</v>
      </c>
      <c r="D47" s="304" t="s">
        <v>11168</v>
      </c>
    </row>
    <row r="48" spans="1:4" ht="14.1" customHeight="1" x14ac:dyDescent="0.25">
      <c r="A48" s="303" t="s">
        <v>11165</v>
      </c>
      <c r="B48" s="304" t="s">
        <v>11166</v>
      </c>
      <c r="C48" s="303" t="s">
        <v>11169</v>
      </c>
      <c r="D48" s="304" t="s">
        <v>11170</v>
      </c>
    </row>
    <row r="49" spans="1:4" ht="14.1" customHeight="1" x14ac:dyDescent="0.25">
      <c r="A49" s="303" t="s">
        <v>11165</v>
      </c>
      <c r="B49" s="304" t="s">
        <v>11166</v>
      </c>
      <c r="C49" s="303" t="s">
        <v>11171</v>
      </c>
      <c r="D49" s="304" t="s">
        <v>11172</v>
      </c>
    </row>
    <row r="50" spans="1:4" ht="14.1" customHeight="1" x14ac:dyDescent="0.25">
      <c r="A50" s="303" t="s">
        <v>11165</v>
      </c>
      <c r="B50" s="304" t="s">
        <v>11166</v>
      </c>
      <c r="C50" s="303" t="s">
        <v>11173</v>
      </c>
      <c r="D50" s="304" t="s">
        <v>11174</v>
      </c>
    </row>
    <row r="51" spans="1:4" ht="14.1" customHeight="1" x14ac:dyDescent="0.25">
      <c r="A51" s="303" t="s">
        <v>11165</v>
      </c>
      <c r="B51" s="304" t="s">
        <v>11166</v>
      </c>
      <c r="C51" s="303" t="s">
        <v>11175</v>
      </c>
      <c r="D51" s="304" t="s">
        <v>11176</v>
      </c>
    </row>
    <row r="52" spans="1:4" ht="14.1" customHeight="1" x14ac:dyDescent="0.25">
      <c r="A52" s="303" t="s">
        <v>11165</v>
      </c>
      <c r="B52" s="304" t="s">
        <v>11166</v>
      </c>
      <c r="C52" s="303" t="s">
        <v>11177</v>
      </c>
      <c r="D52" s="304" t="s">
        <v>11178</v>
      </c>
    </row>
    <row r="53" spans="1:4" ht="14.1" customHeight="1" x14ac:dyDescent="0.25">
      <c r="A53" s="303" t="s">
        <v>11165</v>
      </c>
      <c r="B53" s="304" t="s">
        <v>11166</v>
      </c>
      <c r="C53" s="303" t="s">
        <v>11179</v>
      </c>
      <c r="D53" s="304" t="s">
        <v>11180</v>
      </c>
    </row>
    <row r="54" spans="1:4" ht="14.1" customHeight="1" x14ac:dyDescent="0.25">
      <c r="A54" s="303" t="s">
        <v>11165</v>
      </c>
      <c r="B54" s="304" t="s">
        <v>11166</v>
      </c>
      <c r="C54" s="303" t="s">
        <v>11181</v>
      </c>
      <c r="D54" s="304" t="s">
        <v>11182</v>
      </c>
    </row>
    <row r="55" spans="1:4" ht="14.1" customHeight="1" x14ac:dyDescent="0.25">
      <c r="A55" s="303" t="s">
        <v>11165</v>
      </c>
      <c r="B55" s="304" t="s">
        <v>11166</v>
      </c>
      <c r="C55" s="303" t="s">
        <v>11183</v>
      </c>
      <c r="D55" s="304" t="s">
        <v>11184</v>
      </c>
    </row>
    <row r="56" spans="1:4" ht="14.1" customHeight="1" x14ac:dyDescent="0.25">
      <c r="A56" s="303" t="s">
        <v>7469</v>
      </c>
      <c r="B56" s="304" t="s">
        <v>11185</v>
      </c>
      <c r="C56" s="303" t="s">
        <v>11186</v>
      </c>
      <c r="D56" s="304" t="s">
        <v>11187</v>
      </c>
    </row>
    <row r="57" spans="1:4" ht="14.1" customHeight="1" x14ac:dyDescent="0.25">
      <c r="A57" s="303" t="s">
        <v>7469</v>
      </c>
      <c r="B57" s="304" t="s">
        <v>11185</v>
      </c>
      <c r="C57" s="303" t="s">
        <v>11188</v>
      </c>
      <c r="D57" s="304" t="s">
        <v>11189</v>
      </c>
    </row>
    <row r="58" spans="1:4" ht="14.1" customHeight="1" x14ac:dyDescent="0.25">
      <c r="A58" s="303" t="s">
        <v>11190</v>
      </c>
      <c r="B58" s="304" t="s">
        <v>11191</v>
      </c>
      <c r="C58" s="303" t="s">
        <v>11192</v>
      </c>
      <c r="D58" s="304" t="s">
        <v>11193</v>
      </c>
    </row>
    <row r="59" spans="1:4" ht="14.1" customHeight="1" x14ac:dyDescent="0.25">
      <c r="A59" s="303" t="s">
        <v>11190</v>
      </c>
      <c r="B59" s="304" t="s">
        <v>11191</v>
      </c>
      <c r="C59" s="303" t="s">
        <v>11194</v>
      </c>
      <c r="D59" s="304" t="s">
        <v>11195</v>
      </c>
    </row>
    <row r="60" spans="1:4" ht="14.1" customHeight="1" x14ac:dyDescent="0.25">
      <c r="A60" s="303" t="s">
        <v>11190</v>
      </c>
      <c r="B60" s="304" t="s">
        <v>11191</v>
      </c>
      <c r="C60" s="303" t="s">
        <v>11196</v>
      </c>
      <c r="D60" s="304" t="s">
        <v>11197</v>
      </c>
    </row>
    <row r="61" spans="1:4" ht="14.1" customHeight="1" x14ac:dyDescent="0.25">
      <c r="A61" s="303" t="s">
        <v>11190</v>
      </c>
      <c r="B61" s="304" t="s">
        <v>11191</v>
      </c>
      <c r="C61" s="303" t="s">
        <v>11198</v>
      </c>
      <c r="D61" s="304" t="s">
        <v>11199</v>
      </c>
    </row>
    <row r="62" spans="1:4" ht="14.1" customHeight="1" x14ac:dyDescent="0.25">
      <c r="A62" s="303" t="s">
        <v>11190</v>
      </c>
      <c r="B62" s="304" t="s">
        <v>11191</v>
      </c>
      <c r="C62" s="303" t="s">
        <v>11200</v>
      </c>
      <c r="D62" s="304" t="s">
        <v>11201</v>
      </c>
    </row>
    <row r="63" spans="1:4" ht="14.1" customHeight="1" x14ac:dyDescent="0.25">
      <c r="A63" s="303" t="s">
        <v>11190</v>
      </c>
      <c r="B63" s="304" t="s">
        <v>11191</v>
      </c>
      <c r="C63" s="303" t="s">
        <v>11202</v>
      </c>
      <c r="D63" s="304" t="s">
        <v>11203</v>
      </c>
    </row>
    <row r="64" spans="1:4" ht="14.1" customHeight="1" x14ac:dyDescent="0.25">
      <c r="A64" s="303" t="s">
        <v>11190</v>
      </c>
      <c r="B64" s="304" t="s">
        <v>11191</v>
      </c>
      <c r="C64" s="303" t="s">
        <v>11204</v>
      </c>
      <c r="D64" s="304" t="s">
        <v>11205</v>
      </c>
    </row>
    <row r="65" spans="1:4" ht="14.1" customHeight="1" x14ac:dyDescent="0.25">
      <c r="A65" s="303" t="s">
        <v>11190</v>
      </c>
      <c r="B65" s="304" t="s">
        <v>11191</v>
      </c>
      <c r="C65" s="303" t="s">
        <v>11206</v>
      </c>
      <c r="D65" s="304" t="s">
        <v>11207</v>
      </c>
    </row>
    <row r="66" spans="1:4" ht="14.1" customHeight="1" x14ac:dyDescent="0.25">
      <c r="A66" s="303" t="s">
        <v>11190</v>
      </c>
      <c r="B66" s="304" t="s">
        <v>11191</v>
      </c>
      <c r="C66" s="303" t="s">
        <v>11208</v>
      </c>
      <c r="D66" s="304" t="s">
        <v>11209</v>
      </c>
    </row>
    <row r="67" spans="1:4" ht="14.1" customHeight="1" x14ac:dyDescent="0.25">
      <c r="A67" s="303" t="s">
        <v>11190</v>
      </c>
      <c r="B67" s="304" t="s">
        <v>11191</v>
      </c>
      <c r="C67" s="303" t="s">
        <v>11210</v>
      </c>
      <c r="D67" s="304" t="s">
        <v>11211</v>
      </c>
    </row>
    <row r="68" spans="1:4" ht="14.1" customHeight="1" x14ac:dyDescent="0.25">
      <c r="A68" s="303" t="s">
        <v>11190</v>
      </c>
      <c r="B68" s="304" t="s">
        <v>11191</v>
      </c>
      <c r="C68" s="303" t="s">
        <v>11212</v>
      </c>
      <c r="D68" s="304" t="s">
        <v>11213</v>
      </c>
    </row>
    <row r="69" spans="1:4" ht="14.1" customHeight="1" x14ac:dyDescent="0.25">
      <c r="A69" s="303" t="s">
        <v>11190</v>
      </c>
      <c r="B69" s="304" t="s">
        <v>11191</v>
      </c>
      <c r="C69" s="303" t="s">
        <v>11214</v>
      </c>
      <c r="D69" s="304" t="s">
        <v>11215</v>
      </c>
    </row>
    <row r="70" spans="1:4" ht="14.1" customHeight="1" x14ac:dyDescent="0.25">
      <c r="A70" s="303" t="s">
        <v>11190</v>
      </c>
      <c r="B70" s="304" t="s">
        <v>11191</v>
      </c>
      <c r="C70" s="303" t="s">
        <v>11216</v>
      </c>
      <c r="D70" s="304" t="s">
        <v>11217</v>
      </c>
    </row>
    <row r="71" spans="1:4" ht="14.1" customHeight="1" x14ac:dyDescent="0.25">
      <c r="A71" s="303" t="s">
        <v>11190</v>
      </c>
      <c r="B71" s="304" t="s">
        <v>11191</v>
      </c>
      <c r="C71" s="303" t="s">
        <v>11218</v>
      </c>
      <c r="D71" s="304" t="s">
        <v>11219</v>
      </c>
    </row>
    <row r="72" spans="1:4" ht="14.1" customHeight="1" x14ac:dyDescent="0.25">
      <c r="A72" s="303" t="s">
        <v>11190</v>
      </c>
      <c r="B72" s="304" t="s">
        <v>11191</v>
      </c>
      <c r="C72" s="303" t="s">
        <v>11220</v>
      </c>
      <c r="D72" s="304" t="s">
        <v>11221</v>
      </c>
    </row>
    <row r="73" spans="1:4" ht="14.1" customHeight="1" x14ac:dyDescent="0.25">
      <c r="A73" s="303" t="s">
        <v>11190</v>
      </c>
      <c r="B73" s="304" t="s">
        <v>11191</v>
      </c>
      <c r="C73" s="303" t="s">
        <v>11222</v>
      </c>
      <c r="D73" s="304" t="s">
        <v>11223</v>
      </c>
    </row>
    <row r="74" spans="1:4" ht="14.1" customHeight="1" x14ac:dyDescent="0.25">
      <c r="A74" s="303" t="s">
        <v>11190</v>
      </c>
      <c r="B74" s="304" t="s">
        <v>11191</v>
      </c>
      <c r="C74" s="303" t="s">
        <v>11224</v>
      </c>
      <c r="D74" s="304" t="s">
        <v>11225</v>
      </c>
    </row>
    <row r="75" spans="1:4" ht="14.1" customHeight="1" x14ac:dyDescent="0.25">
      <c r="A75" s="303" t="s">
        <v>11190</v>
      </c>
      <c r="B75" s="304" t="s">
        <v>11191</v>
      </c>
      <c r="C75" s="303" t="s">
        <v>11226</v>
      </c>
      <c r="D75" s="304" t="s">
        <v>11227</v>
      </c>
    </row>
    <row r="76" spans="1:4" ht="14.1" customHeight="1" x14ac:dyDescent="0.25">
      <c r="A76" s="303" t="s">
        <v>11190</v>
      </c>
      <c r="B76" s="304" t="s">
        <v>11191</v>
      </c>
      <c r="C76" s="303" t="s">
        <v>11228</v>
      </c>
      <c r="D76" s="304" t="s">
        <v>11229</v>
      </c>
    </row>
    <row r="77" spans="1:4" ht="14.1" customHeight="1" x14ac:dyDescent="0.25">
      <c r="A77" s="303" t="s">
        <v>11190</v>
      </c>
      <c r="B77" s="304" t="s">
        <v>11191</v>
      </c>
      <c r="C77" s="303" t="s">
        <v>11230</v>
      </c>
      <c r="D77" s="304" t="s">
        <v>11079</v>
      </c>
    </row>
    <row r="78" spans="1:4" ht="14.1" customHeight="1" x14ac:dyDescent="0.25">
      <c r="A78" s="303" t="s">
        <v>11190</v>
      </c>
      <c r="B78" s="304" t="s">
        <v>11191</v>
      </c>
      <c r="C78" s="303" t="s">
        <v>11231</v>
      </c>
      <c r="D78" s="304" t="s">
        <v>11232</v>
      </c>
    </row>
    <row r="79" spans="1:4" ht="14.1" customHeight="1" x14ac:dyDescent="0.25">
      <c r="A79" s="303" t="s">
        <v>11190</v>
      </c>
      <c r="B79" s="304" t="s">
        <v>11191</v>
      </c>
      <c r="C79" s="303" t="s">
        <v>11233</v>
      </c>
      <c r="D79" s="304" t="s">
        <v>11234</v>
      </c>
    </row>
    <row r="80" spans="1:4" ht="14.1" customHeight="1" x14ac:dyDescent="0.25">
      <c r="A80" s="303" t="s">
        <v>11190</v>
      </c>
      <c r="B80" s="304" t="s">
        <v>11191</v>
      </c>
      <c r="C80" s="303" t="s">
        <v>11235</v>
      </c>
      <c r="D80" s="304" t="s">
        <v>11236</v>
      </c>
    </row>
    <row r="81" spans="1:4" ht="14.1" customHeight="1" x14ac:dyDescent="0.25">
      <c r="A81" s="303" t="s">
        <v>11190</v>
      </c>
      <c r="B81" s="304" t="s">
        <v>11191</v>
      </c>
      <c r="C81" s="303" t="s">
        <v>11237</v>
      </c>
      <c r="D81" s="304" t="s">
        <v>11238</v>
      </c>
    </row>
    <row r="82" spans="1:4" ht="14.1" customHeight="1" x14ac:dyDescent="0.25">
      <c r="A82" s="303" t="s">
        <v>11190</v>
      </c>
      <c r="B82" s="304" t="s">
        <v>11191</v>
      </c>
      <c r="C82" s="303" t="s">
        <v>11239</v>
      </c>
      <c r="D82" s="304" t="s">
        <v>11240</v>
      </c>
    </row>
    <row r="83" spans="1:4" ht="14.1" customHeight="1" x14ac:dyDescent="0.25">
      <c r="A83" s="303" t="s">
        <v>11190</v>
      </c>
      <c r="B83" s="304" t="s">
        <v>11191</v>
      </c>
      <c r="C83" s="303" t="s">
        <v>11241</v>
      </c>
      <c r="D83" s="304" t="s">
        <v>11242</v>
      </c>
    </row>
    <row r="84" spans="1:4" ht="14.1" customHeight="1" x14ac:dyDescent="0.25">
      <c r="A84" s="303" t="s">
        <v>11190</v>
      </c>
      <c r="B84" s="304" t="s">
        <v>11191</v>
      </c>
      <c r="C84" s="303" t="s">
        <v>11243</v>
      </c>
      <c r="D84" s="304" t="s">
        <v>11244</v>
      </c>
    </row>
    <row r="85" spans="1:4" ht="14.1" customHeight="1" x14ac:dyDescent="0.25">
      <c r="A85" s="303" t="s">
        <v>11190</v>
      </c>
      <c r="B85" s="304" t="s">
        <v>11191</v>
      </c>
      <c r="C85" s="303" t="s">
        <v>11245</v>
      </c>
      <c r="D85" s="304" t="s">
        <v>11246</v>
      </c>
    </row>
    <row r="86" spans="1:4" ht="14.1" customHeight="1" x14ac:dyDescent="0.25">
      <c r="A86" s="303" t="s">
        <v>11190</v>
      </c>
      <c r="B86" s="304" t="s">
        <v>11191</v>
      </c>
      <c r="C86" s="303" t="s">
        <v>11247</v>
      </c>
      <c r="D86" s="304" t="s">
        <v>11248</v>
      </c>
    </row>
    <row r="87" spans="1:4" ht="14.1" customHeight="1" x14ac:dyDescent="0.25">
      <c r="A87" s="303" t="s">
        <v>11190</v>
      </c>
      <c r="B87" s="304" t="s">
        <v>11191</v>
      </c>
      <c r="C87" s="303" t="s">
        <v>11249</v>
      </c>
      <c r="D87" s="304" t="s">
        <v>11250</v>
      </c>
    </row>
    <row r="88" spans="1:4" ht="14.1" customHeight="1" x14ac:dyDescent="0.25">
      <c r="A88" s="303" t="s">
        <v>11190</v>
      </c>
      <c r="B88" s="304" t="s">
        <v>11191</v>
      </c>
      <c r="C88" s="303" t="s">
        <v>11251</v>
      </c>
      <c r="D88" s="304" t="s">
        <v>11252</v>
      </c>
    </row>
    <row r="89" spans="1:4" ht="14.1" customHeight="1" x14ac:dyDescent="0.25">
      <c r="A89" s="303" t="s">
        <v>11190</v>
      </c>
      <c r="B89" s="304" t="s">
        <v>11191</v>
      </c>
      <c r="C89" s="303" t="s">
        <v>11253</v>
      </c>
      <c r="D89" s="304" t="s">
        <v>11254</v>
      </c>
    </row>
    <row r="90" spans="1:4" ht="14.1" customHeight="1" x14ac:dyDescent="0.25">
      <c r="A90" s="303" t="s">
        <v>11190</v>
      </c>
      <c r="B90" s="304" t="s">
        <v>11191</v>
      </c>
      <c r="C90" s="303" t="s">
        <v>11255</v>
      </c>
      <c r="D90" s="304" t="s">
        <v>11256</v>
      </c>
    </row>
    <row r="91" spans="1:4" ht="14.1" customHeight="1" x14ac:dyDescent="0.25">
      <c r="A91" s="303" t="s">
        <v>11190</v>
      </c>
      <c r="B91" s="304" t="s">
        <v>11191</v>
      </c>
      <c r="C91" s="303" t="s">
        <v>11257</v>
      </c>
      <c r="D91" s="304" t="s">
        <v>11258</v>
      </c>
    </row>
    <row r="92" spans="1:4" ht="14.1" customHeight="1" x14ac:dyDescent="0.25">
      <c r="A92" s="303" t="s">
        <v>11190</v>
      </c>
      <c r="B92" s="304" t="s">
        <v>11191</v>
      </c>
      <c r="C92" s="303" t="s">
        <v>11259</v>
      </c>
      <c r="D92" s="304" t="s">
        <v>11260</v>
      </c>
    </row>
    <row r="93" spans="1:4" ht="14.1" customHeight="1" x14ac:dyDescent="0.25">
      <c r="A93" s="303" t="s">
        <v>11190</v>
      </c>
      <c r="B93" s="304" t="s">
        <v>11191</v>
      </c>
      <c r="C93" s="303" t="s">
        <v>11261</v>
      </c>
      <c r="D93" s="304" t="s">
        <v>11262</v>
      </c>
    </row>
    <row r="94" spans="1:4" ht="14.1" customHeight="1" x14ac:dyDescent="0.25">
      <c r="A94" s="303" t="s">
        <v>11190</v>
      </c>
      <c r="B94" s="304" t="s">
        <v>11191</v>
      </c>
      <c r="C94" s="303" t="s">
        <v>11263</v>
      </c>
      <c r="D94" s="304" t="s">
        <v>11264</v>
      </c>
    </row>
    <row r="95" spans="1:4" ht="14.1" customHeight="1" x14ac:dyDescent="0.25">
      <c r="A95" s="303" t="s">
        <v>11190</v>
      </c>
      <c r="B95" s="304" t="s">
        <v>11191</v>
      </c>
      <c r="C95" s="303" t="s">
        <v>11265</v>
      </c>
      <c r="D95" s="304" t="s">
        <v>11266</v>
      </c>
    </row>
    <row r="96" spans="1:4" ht="14.1" customHeight="1" x14ac:dyDescent="0.25">
      <c r="A96" s="303" t="s">
        <v>11190</v>
      </c>
      <c r="B96" s="304" t="s">
        <v>11191</v>
      </c>
      <c r="C96" s="303" t="s">
        <v>11267</v>
      </c>
      <c r="D96" s="304" t="s">
        <v>11268</v>
      </c>
    </row>
    <row r="97" spans="1:4" ht="14.1" customHeight="1" x14ac:dyDescent="0.25">
      <c r="A97" s="303" t="s">
        <v>11190</v>
      </c>
      <c r="B97" s="304" t="s">
        <v>11191</v>
      </c>
      <c r="C97" s="303" t="s">
        <v>11269</v>
      </c>
      <c r="D97" s="304" t="s">
        <v>11270</v>
      </c>
    </row>
    <row r="98" spans="1:4" ht="14.1" customHeight="1" x14ac:dyDescent="0.25">
      <c r="A98" s="303" t="s">
        <v>11190</v>
      </c>
      <c r="B98" s="304" t="s">
        <v>11191</v>
      </c>
      <c r="C98" s="303" t="s">
        <v>11271</v>
      </c>
      <c r="D98" s="304" t="s">
        <v>11272</v>
      </c>
    </row>
    <row r="99" spans="1:4" ht="14.1" customHeight="1" x14ac:dyDescent="0.25">
      <c r="A99" s="303" t="s">
        <v>11190</v>
      </c>
      <c r="B99" s="304" t="s">
        <v>11191</v>
      </c>
      <c r="C99" s="303" t="s">
        <v>11273</v>
      </c>
      <c r="D99" s="304" t="s">
        <v>11274</v>
      </c>
    </row>
    <row r="100" spans="1:4" ht="14.1" customHeight="1" x14ac:dyDescent="0.25">
      <c r="A100" s="303" t="s">
        <v>11190</v>
      </c>
      <c r="B100" s="304" t="s">
        <v>11191</v>
      </c>
      <c r="C100" s="303" t="s">
        <v>11275</v>
      </c>
      <c r="D100" s="304" t="s">
        <v>11276</v>
      </c>
    </row>
    <row r="101" spans="1:4" ht="14.1" customHeight="1" x14ac:dyDescent="0.25">
      <c r="A101" s="303" t="s">
        <v>11190</v>
      </c>
      <c r="B101" s="304" t="s">
        <v>11191</v>
      </c>
      <c r="C101" s="303" t="s">
        <v>11277</v>
      </c>
      <c r="D101" s="304" t="s">
        <v>11278</v>
      </c>
    </row>
    <row r="102" spans="1:4" ht="14.1" customHeight="1" x14ac:dyDescent="0.25">
      <c r="A102" s="303" t="s">
        <v>11190</v>
      </c>
      <c r="B102" s="304" t="s">
        <v>11191</v>
      </c>
      <c r="C102" s="303" t="s">
        <v>11279</v>
      </c>
      <c r="D102" s="304" t="s">
        <v>11280</v>
      </c>
    </row>
    <row r="103" spans="1:4" ht="14.1" customHeight="1" x14ac:dyDescent="0.25">
      <c r="A103" s="303" t="s">
        <v>11190</v>
      </c>
      <c r="B103" s="304" t="s">
        <v>11191</v>
      </c>
      <c r="C103" s="303" t="s">
        <v>11281</v>
      </c>
      <c r="D103" s="304" t="s">
        <v>11282</v>
      </c>
    </row>
    <row r="104" spans="1:4" ht="14.1" customHeight="1" x14ac:dyDescent="0.25">
      <c r="A104" s="303" t="s">
        <v>11190</v>
      </c>
      <c r="B104" s="304" t="s">
        <v>11191</v>
      </c>
      <c r="C104" s="303" t="s">
        <v>11283</v>
      </c>
      <c r="D104" s="304" t="s">
        <v>11284</v>
      </c>
    </row>
    <row r="105" spans="1:4" ht="14.1" customHeight="1" x14ac:dyDescent="0.25">
      <c r="A105" s="303" t="s">
        <v>11190</v>
      </c>
      <c r="B105" s="304" t="s">
        <v>11191</v>
      </c>
      <c r="C105" s="303" t="s">
        <v>11285</v>
      </c>
      <c r="D105" s="304" t="s">
        <v>11286</v>
      </c>
    </row>
    <row r="106" spans="1:4" ht="14.1" customHeight="1" x14ac:dyDescent="0.25">
      <c r="A106" s="303" t="s">
        <v>11190</v>
      </c>
      <c r="B106" s="304" t="s">
        <v>11191</v>
      </c>
      <c r="C106" s="303" t="s">
        <v>11287</v>
      </c>
      <c r="D106" s="304" t="s">
        <v>11288</v>
      </c>
    </row>
    <row r="107" spans="1:4" ht="14.1" customHeight="1" x14ac:dyDescent="0.25">
      <c r="A107" s="303" t="s">
        <v>11190</v>
      </c>
      <c r="B107" s="304" t="s">
        <v>11191</v>
      </c>
      <c r="C107" s="303" t="s">
        <v>11289</v>
      </c>
      <c r="D107" s="304" t="s">
        <v>11290</v>
      </c>
    </row>
    <row r="108" spans="1:4" ht="14.1" customHeight="1" x14ac:dyDescent="0.25">
      <c r="A108" s="303" t="s">
        <v>11190</v>
      </c>
      <c r="B108" s="304" t="s">
        <v>11191</v>
      </c>
      <c r="C108" s="303" t="s">
        <v>11291</v>
      </c>
      <c r="D108" s="304" t="s">
        <v>11292</v>
      </c>
    </row>
    <row r="109" spans="1:4" ht="14.1" customHeight="1" x14ac:dyDescent="0.25">
      <c r="A109" s="303" t="s">
        <v>11190</v>
      </c>
      <c r="B109" s="304" t="s">
        <v>11191</v>
      </c>
      <c r="C109" s="303" t="s">
        <v>11293</v>
      </c>
      <c r="D109" s="304" t="s">
        <v>11294</v>
      </c>
    </row>
    <row r="110" spans="1:4" ht="14.1" customHeight="1" x14ac:dyDescent="0.25">
      <c r="A110" s="303" t="s">
        <v>11190</v>
      </c>
      <c r="B110" s="304" t="s">
        <v>11191</v>
      </c>
      <c r="C110" s="303" t="s">
        <v>11295</v>
      </c>
      <c r="D110" s="304" t="s">
        <v>11296</v>
      </c>
    </row>
    <row r="111" spans="1:4" ht="14.1" customHeight="1" x14ac:dyDescent="0.25">
      <c r="A111" s="303" t="s">
        <v>11190</v>
      </c>
      <c r="B111" s="304" t="s">
        <v>11191</v>
      </c>
      <c r="C111" s="303" t="s">
        <v>11297</v>
      </c>
      <c r="D111" s="304" t="s">
        <v>11298</v>
      </c>
    </row>
    <row r="112" spans="1:4" ht="14.1" customHeight="1" x14ac:dyDescent="0.25">
      <c r="A112" s="303" t="s">
        <v>11190</v>
      </c>
      <c r="B112" s="304" t="s">
        <v>11191</v>
      </c>
      <c r="C112" s="303" t="s">
        <v>11299</v>
      </c>
      <c r="D112" s="304" t="s">
        <v>11300</v>
      </c>
    </row>
    <row r="113" spans="1:4" ht="14.1" customHeight="1" x14ac:dyDescent="0.25">
      <c r="A113" s="303" t="s">
        <v>11301</v>
      </c>
      <c r="B113" s="304" t="s">
        <v>11302</v>
      </c>
      <c r="C113" s="303" t="s">
        <v>11045</v>
      </c>
      <c r="D113" s="304" t="s">
        <v>11303</v>
      </c>
    </row>
    <row r="114" spans="1:4" ht="14.1" customHeight="1" x14ac:dyDescent="0.25">
      <c r="A114" s="303" t="s">
        <v>11301</v>
      </c>
      <c r="B114" s="304" t="s">
        <v>11302</v>
      </c>
      <c r="C114" s="303" t="s">
        <v>11304</v>
      </c>
      <c r="D114" s="304" t="s">
        <v>11305</v>
      </c>
    </row>
    <row r="115" spans="1:4" ht="14.1" customHeight="1" x14ac:dyDescent="0.25">
      <c r="A115" s="303" t="s">
        <v>11301</v>
      </c>
      <c r="B115" s="304" t="s">
        <v>11302</v>
      </c>
      <c r="C115" s="303" t="s">
        <v>11306</v>
      </c>
      <c r="D115" s="304" t="s">
        <v>11307</v>
      </c>
    </row>
    <row r="116" spans="1:4" ht="14.1" customHeight="1" x14ac:dyDescent="0.25">
      <c r="A116" s="303" t="s">
        <v>11301</v>
      </c>
      <c r="B116" s="304" t="s">
        <v>11302</v>
      </c>
      <c r="C116" s="303" t="s">
        <v>11308</v>
      </c>
      <c r="D116" s="304" t="s">
        <v>11309</v>
      </c>
    </row>
    <row r="117" spans="1:4" ht="14.1" customHeight="1" x14ac:dyDescent="0.25">
      <c r="A117" s="303" t="s">
        <v>11301</v>
      </c>
      <c r="B117" s="304" t="s">
        <v>11302</v>
      </c>
      <c r="C117" s="303" t="s">
        <v>11310</v>
      </c>
      <c r="D117" s="304" t="s">
        <v>11311</v>
      </c>
    </row>
    <row r="118" spans="1:4" ht="14.1" customHeight="1" x14ac:dyDescent="0.25">
      <c r="A118" s="303" t="s">
        <v>11301</v>
      </c>
      <c r="B118" s="304" t="s">
        <v>11302</v>
      </c>
      <c r="C118" s="303" t="s">
        <v>11312</v>
      </c>
      <c r="D118" s="304" t="s">
        <v>11313</v>
      </c>
    </row>
    <row r="119" spans="1:4" ht="14.1" customHeight="1" x14ac:dyDescent="0.25">
      <c r="A119" s="303" t="s">
        <v>11301</v>
      </c>
      <c r="B119" s="304" t="s">
        <v>11302</v>
      </c>
      <c r="C119" s="303" t="s">
        <v>11314</v>
      </c>
      <c r="D119" s="304" t="s">
        <v>11315</v>
      </c>
    </row>
    <row r="120" spans="1:4" ht="14.1" customHeight="1" x14ac:dyDescent="0.25">
      <c r="A120" s="303" t="s">
        <v>11301</v>
      </c>
      <c r="B120" s="304" t="s">
        <v>11302</v>
      </c>
      <c r="C120" s="303" t="s">
        <v>11316</v>
      </c>
      <c r="D120" s="304" t="s">
        <v>11317</v>
      </c>
    </row>
    <row r="121" spans="1:4" ht="14.1" customHeight="1" x14ac:dyDescent="0.25">
      <c r="A121" s="303" t="s">
        <v>11301</v>
      </c>
      <c r="B121" s="304" t="s">
        <v>11302</v>
      </c>
      <c r="C121" s="303" t="s">
        <v>11318</v>
      </c>
      <c r="D121" s="304" t="s">
        <v>11319</v>
      </c>
    </row>
    <row r="122" spans="1:4" ht="14.1" customHeight="1" x14ac:dyDescent="0.25">
      <c r="A122" s="303" t="s">
        <v>11301</v>
      </c>
      <c r="B122" s="304" t="s">
        <v>11302</v>
      </c>
      <c r="C122" s="303" t="s">
        <v>11320</v>
      </c>
      <c r="D122" s="304" t="s">
        <v>11321</v>
      </c>
    </row>
    <row r="123" spans="1:4" ht="14.1" customHeight="1" x14ac:dyDescent="0.25">
      <c r="A123" s="303" t="s">
        <v>11301</v>
      </c>
      <c r="B123" s="304" t="s">
        <v>11302</v>
      </c>
      <c r="C123" s="303" t="s">
        <v>11322</v>
      </c>
      <c r="D123" s="304" t="s">
        <v>11323</v>
      </c>
    </row>
    <row r="124" spans="1:4" ht="14.1" customHeight="1" x14ac:dyDescent="0.25">
      <c r="A124" s="303" t="s">
        <v>11301</v>
      </c>
      <c r="B124" s="304" t="s">
        <v>11302</v>
      </c>
      <c r="C124" s="303" t="s">
        <v>11324</v>
      </c>
      <c r="D124" s="304" t="s">
        <v>11325</v>
      </c>
    </row>
    <row r="125" spans="1:4" ht="14.1" customHeight="1" x14ac:dyDescent="0.25">
      <c r="A125" s="303" t="s">
        <v>11301</v>
      </c>
      <c r="B125" s="304" t="s">
        <v>11302</v>
      </c>
      <c r="C125" s="303" t="s">
        <v>11326</v>
      </c>
      <c r="D125" s="304" t="s">
        <v>11327</v>
      </c>
    </row>
    <row r="126" spans="1:4" ht="14.1" customHeight="1" x14ac:dyDescent="0.25">
      <c r="A126" s="303" t="s">
        <v>11301</v>
      </c>
      <c r="B126" s="304" t="s">
        <v>11302</v>
      </c>
      <c r="C126" s="303" t="s">
        <v>11328</v>
      </c>
      <c r="D126" s="304" t="s">
        <v>11329</v>
      </c>
    </row>
    <row r="127" spans="1:4" ht="14.1" customHeight="1" x14ac:dyDescent="0.25">
      <c r="A127" s="303" t="s">
        <v>11301</v>
      </c>
      <c r="B127" s="304" t="s">
        <v>11302</v>
      </c>
      <c r="C127" s="303" t="s">
        <v>11330</v>
      </c>
      <c r="D127" s="304" t="s">
        <v>11331</v>
      </c>
    </row>
    <row r="128" spans="1:4" ht="14.1" customHeight="1" x14ac:dyDescent="0.25">
      <c r="A128" s="303" t="s">
        <v>11301</v>
      </c>
      <c r="B128" s="304" t="s">
        <v>11302</v>
      </c>
      <c r="C128" s="303" t="s">
        <v>11332</v>
      </c>
      <c r="D128" s="304" t="s">
        <v>11333</v>
      </c>
    </row>
    <row r="129" spans="1:4" ht="14.1" customHeight="1" x14ac:dyDescent="0.25">
      <c r="A129" s="303" t="s">
        <v>11301</v>
      </c>
      <c r="B129" s="304" t="s">
        <v>11302</v>
      </c>
      <c r="C129" s="303" t="s">
        <v>11334</v>
      </c>
      <c r="D129" s="304" t="s">
        <v>11335</v>
      </c>
    </row>
    <row r="130" spans="1:4" ht="14.1" customHeight="1" x14ac:dyDescent="0.25">
      <c r="A130" s="303" t="s">
        <v>11301</v>
      </c>
      <c r="B130" s="304" t="s">
        <v>11302</v>
      </c>
      <c r="C130" s="303" t="s">
        <v>11336</v>
      </c>
      <c r="D130" s="304" t="s">
        <v>11337</v>
      </c>
    </row>
    <row r="131" spans="1:4" ht="14.1" customHeight="1" x14ac:dyDescent="0.25">
      <c r="A131" s="303" t="s">
        <v>11301</v>
      </c>
      <c r="B131" s="304" t="s">
        <v>11302</v>
      </c>
      <c r="C131" s="303" t="s">
        <v>11338</v>
      </c>
      <c r="D131" s="304" t="s">
        <v>11339</v>
      </c>
    </row>
    <row r="132" spans="1:4" ht="14.1" customHeight="1" x14ac:dyDescent="0.25">
      <c r="A132" s="303" t="s">
        <v>11301</v>
      </c>
      <c r="B132" s="304" t="s">
        <v>11302</v>
      </c>
      <c r="C132" s="303" t="s">
        <v>11340</v>
      </c>
      <c r="D132" s="304" t="s">
        <v>11341</v>
      </c>
    </row>
    <row r="133" spans="1:4" ht="14.1" customHeight="1" x14ac:dyDescent="0.25">
      <c r="A133" s="303" t="s">
        <v>11301</v>
      </c>
      <c r="B133" s="304" t="s">
        <v>11302</v>
      </c>
      <c r="C133" s="303" t="s">
        <v>11342</v>
      </c>
      <c r="D133" s="304" t="s">
        <v>11343</v>
      </c>
    </row>
    <row r="134" spans="1:4" ht="14.1" customHeight="1" x14ac:dyDescent="0.25">
      <c r="A134" s="303" t="s">
        <v>11301</v>
      </c>
      <c r="B134" s="304" t="s">
        <v>11302</v>
      </c>
      <c r="C134" s="303" t="s">
        <v>11344</v>
      </c>
      <c r="D134" s="304" t="s">
        <v>11345</v>
      </c>
    </row>
    <row r="135" spans="1:4" ht="14.1" customHeight="1" x14ac:dyDescent="0.25">
      <c r="A135" s="303" t="s">
        <v>11301</v>
      </c>
      <c r="B135" s="304" t="s">
        <v>11302</v>
      </c>
      <c r="C135" s="303" t="s">
        <v>11346</v>
      </c>
      <c r="D135" s="304" t="s">
        <v>11347</v>
      </c>
    </row>
    <row r="136" spans="1:4" ht="14.1" customHeight="1" x14ac:dyDescent="0.25">
      <c r="A136" s="303" t="s">
        <v>11301</v>
      </c>
      <c r="B136" s="304" t="s">
        <v>11302</v>
      </c>
      <c r="C136" s="303" t="s">
        <v>11348</v>
      </c>
      <c r="D136" s="304" t="s">
        <v>11349</v>
      </c>
    </row>
    <row r="137" spans="1:4" s="386" customFormat="1" ht="14.1" customHeight="1" x14ac:dyDescent="0.25">
      <c r="A137" s="305" t="s">
        <v>11301</v>
      </c>
      <c r="B137" s="387" t="s">
        <v>11302</v>
      </c>
      <c r="C137" s="307" t="s">
        <v>13543</v>
      </c>
      <c r="D137" s="306" t="s">
        <v>13544</v>
      </c>
    </row>
    <row r="138" spans="1:4" ht="14.1" customHeight="1" x14ac:dyDescent="0.25">
      <c r="A138" s="303" t="s">
        <v>11301</v>
      </c>
      <c r="B138" s="304" t="s">
        <v>11302</v>
      </c>
      <c r="C138" s="303" t="s">
        <v>11350</v>
      </c>
      <c r="D138" s="304" t="s">
        <v>11351</v>
      </c>
    </row>
    <row r="139" spans="1:4" ht="14.1" customHeight="1" x14ac:dyDescent="0.25">
      <c r="A139" s="303" t="s">
        <v>11301</v>
      </c>
      <c r="B139" s="304" t="s">
        <v>11302</v>
      </c>
      <c r="C139" s="303" t="s">
        <v>11352</v>
      </c>
      <c r="D139" s="304" t="s">
        <v>11353</v>
      </c>
    </row>
    <row r="140" spans="1:4" ht="14.1" customHeight="1" x14ac:dyDescent="0.25">
      <c r="A140" s="303" t="s">
        <v>11301</v>
      </c>
      <c r="B140" s="304" t="s">
        <v>11302</v>
      </c>
      <c r="C140" s="303" t="s">
        <v>11354</v>
      </c>
      <c r="D140" s="304" t="s">
        <v>11355</v>
      </c>
    </row>
    <row r="141" spans="1:4" ht="14.1" customHeight="1" x14ac:dyDescent="0.25">
      <c r="A141" s="303" t="s">
        <v>916</v>
      </c>
      <c r="B141" s="304" t="s">
        <v>11356</v>
      </c>
      <c r="C141" s="303" t="s">
        <v>11357</v>
      </c>
      <c r="D141" s="304" t="s">
        <v>11358</v>
      </c>
    </row>
    <row r="142" spans="1:4" ht="14.1" customHeight="1" x14ac:dyDescent="0.25">
      <c r="A142" s="303" t="s">
        <v>916</v>
      </c>
      <c r="B142" s="304" t="s">
        <v>11356</v>
      </c>
      <c r="C142" s="303" t="s">
        <v>11359</v>
      </c>
      <c r="D142" s="304" t="s">
        <v>11360</v>
      </c>
    </row>
    <row r="143" spans="1:4" ht="14.1" customHeight="1" x14ac:dyDescent="0.25">
      <c r="A143" s="303" t="s">
        <v>916</v>
      </c>
      <c r="B143" s="304" t="s">
        <v>11356</v>
      </c>
      <c r="C143" s="303" t="s">
        <v>11361</v>
      </c>
      <c r="D143" s="304" t="s">
        <v>11362</v>
      </c>
    </row>
    <row r="144" spans="1:4" ht="14.1" customHeight="1" x14ac:dyDescent="0.25">
      <c r="A144" s="303" t="s">
        <v>916</v>
      </c>
      <c r="B144" s="304" t="s">
        <v>11356</v>
      </c>
      <c r="C144" s="303" t="s">
        <v>11363</v>
      </c>
      <c r="D144" s="304" t="s">
        <v>11364</v>
      </c>
    </row>
    <row r="145" spans="1:4" ht="14.1" customHeight="1" x14ac:dyDescent="0.25">
      <c r="A145" s="303" t="s">
        <v>916</v>
      </c>
      <c r="B145" s="304" t="s">
        <v>11356</v>
      </c>
      <c r="C145" s="303" t="s">
        <v>11365</v>
      </c>
      <c r="D145" s="304" t="s">
        <v>11250</v>
      </c>
    </row>
    <row r="146" spans="1:4" ht="14.1" customHeight="1" x14ac:dyDescent="0.25">
      <c r="A146" s="303" t="s">
        <v>916</v>
      </c>
      <c r="B146" s="304" t="s">
        <v>11356</v>
      </c>
      <c r="C146" s="303" t="s">
        <v>11366</v>
      </c>
      <c r="D146" s="304" t="s">
        <v>11367</v>
      </c>
    </row>
    <row r="147" spans="1:4" ht="14.1" customHeight="1" x14ac:dyDescent="0.25">
      <c r="A147" s="303" t="s">
        <v>916</v>
      </c>
      <c r="B147" s="304" t="s">
        <v>11356</v>
      </c>
      <c r="C147" s="303" t="s">
        <v>11368</v>
      </c>
      <c r="D147" s="304" t="s">
        <v>11369</v>
      </c>
    </row>
    <row r="148" spans="1:4" ht="14.1" customHeight="1" x14ac:dyDescent="0.25">
      <c r="A148" s="303" t="s">
        <v>11370</v>
      </c>
      <c r="B148" s="304" t="s">
        <v>11371</v>
      </c>
      <c r="C148" s="303" t="s">
        <v>11372</v>
      </c>
      <c r="D148" s="304" t="s">
        <v>11373</v>
      </c>
    </row>
    <row r="149" spans="1:4" ht="14.1" customHeight="1" x14ac:dyDescent="0.25">
      <c r="A149" s="303" t="s">
        <v>11370</v>
      </c>
      <c r="B149" s="304" t="s">
        <v>11371</v>
      </c>
      <c r="C149" s="303" t="s">
        <v>11374</v>
      </c>
      <c r="D149" s="304" t="s">
        <v>11375</v>
      </c>
    </row>
    <row r="150" spans="1:4" ht="14.1" customHeight="1" x14ac:dyDescent="0.25">
      <c r="A150" s="303" t="s">
        <v>11370</v>
      </c>
      <c r="B150" s="304" t="s">
        <v>11371</v>
      </c>
      <c r="C150" s="303" t="s">
        <v>11376</v>
      </c>
      <c r="D150" s="304" t="s">
        <v>11377</v>
      </c>
    </row>
    <row r="151" spans="1:4" ht="14.1" customHeight="1" x14ac:dyDescent="0.25">
      <c r="A151" s="303" t="s">
        <v>11370</v>
      </c>
      <c r="B151" s="304" t="s">
        <v>11371</v>
      </c>
      <c r="C151" s="303" t="s">
        <v>11378</v>
      </c>
      <c r="D151" s="304" t="s">
        <v>11379</v>
      </c>
    </row>
    <row r="152" spans="1:4" ht="14.1" customHeight="1" x14ac:dyDescent="0.25">
      <c r="A152" s="303" t="s">
        <v>11380</v>
      </c>
      <c r="B152" s="304" t="s">
        <v>11381</v>
      </c>
      <c r="C152" s="303" t="s">
        <v>11382</v>
      </c>
      <c r="D152" s="304" t="s">
        <v>11383</v>
      </c>
    </row>
    <row r="153" spans="1:4" ht="14.1" customHeight="1" x14ac:dyDescent="0.25">
      <c r="A153" s="303" t="s">
        <v>11380</v>
      </c>
      <c r="B153" s="304" t="s">
        <v>11381</v>
      </c>
      <c r="C153" s="303" t="s">
        <v>11384</v>
      </c>
      <c r="D153" s="304" t="s">
        <v>11385</v>
      </c>
    </row>
    <row r="154" spans="1:4" ht="14.1" customHeight="1" x14ac:dyDescent="0.25">
      <c r="A154" s="303" t="s">
        <v>11380</v>
      </c>
      <c r="B154" s="304" t="s">
        <v>11381</v>
      </c>
      <c r="C154" s="303" t="s">
        <v>11386</v>
      </c>
      <c r="D154" s="304" t="s">
        <v>11387</v>
      </c>
    </row>
    <row r="155" spans="1:4" ht="14.1" customHeight="1" x14ac:dyDescent="0.25">
      <c r="A155" s="305" t="s">
        <v>11380</v>
      </c>
      <c r="B155" s="378" t="s">
        <v>11381</v>
      </c>
      <c r="C155" s="307" t="s">
        <v>13532</v>
      </c>
      <c r="D155" s="306" t="s">
        <v>13517</v>
      </c>
    </row>
    <row r="156" spans="1:4" ht="14.1" customHeight="1" x14ac:dyDescent="0.25">
      <c r="A156" s="303" t="s">
        <v>11380</v>
      </c>
      <c r="B156" s="304" t="s">
        <v>11381</v>
      </c>
      <c r="C156" s="303" t="s">
        <v>11390</v>
      </c>
      <c r="D156" s="304" t="s">
        <v>11391</v>
      </c>
    </row>
    <row r="157" spans="1:4" ht="14.1" customHeight="1" x14ac:dyDescent="0.25">
      <c r="A157" s="305" t="s">
        <v>11460</v>
      </c>
      <c r="B157" s="378" t="s">
        <v>11461</v>
      </c>
      <c r="C157" s="307" t="s">
        <v>13515</v>
      </c>
      <c r="D157" s="306" t="s">
        <v>13516</v>
      </c>
    </row>
    <row r="158" spans="1:4" ht="14.1" customHeight="1" x14ac:dyDescent="0.25">
      <c r="A158" s="303" t="s">
        <v>11380</v>
      </c>
      <c r="B158" s="304" t="s">
        <v>11381</v>
      </c>
      <c r="C158" s="303" t="s">
        <v>11392</v>
      </c>
      <c r="D158" s="304" t="s">
        <v>11393</v>
      </c>
    </row>
    <row r="159" spans="1:4" ht="14.1" customHeight="1" x14ac:dyDescent="0.25">
      <c r="A159" s="303" t="s">
        <v>949</v>
      </c>
      <c r="B159" s="304" t="s">
        <v>11394</v>
      </c>
      <c r="C159" s="303" t="s">
        <v>11395</v>
      </c>
      <c r="D159" s="304" t="s">
        <v>11396</v>
      </c>
    </row>
    <row r="160" spans="1:4" ht="14.1" customHeight="1" x14ac:dyDescent="0.25">
      <c r="A160" s="303" t="s">
        <v>949</v>
      </c>
      <c r="B160" s="304" t="s">
        <v>11394</v>
      </c>
      <c r="C160" s="303" t="s">
        <v>11397</v>
      </c>
      <c r="D160" s="304" t="s">
        <v>11398</v>
      </c>
    </row>
    <row r="161" spans="1:4" ht="14.1" customHeight="1" x14ac:dyDescent="0.25">
      <c r="A161" s="303" t="s">
        <v>949</v>
      </c>
      <c r="B161" s="304" t="s">
        <v>11394</v>
      </c>
      <c r="C161" s="303" t="s">
        <v>11399</v>
      </c>
      <c r="D161" s="304" t="s">
        <v>11400</v>
      </c>
    </row>
    <row r="162" spans="1:4" ht="14.1" customHeight="1" x14ac:dyDescent="0.25">
      <c r="A162" s="303" t="s">
        <v>949</v>
      </c>
      <c r="B162" s="304" t="s">
        <v>11394</v>
      </c>
      <c r="C162" s="303" t="s">
        <v>11401</v>
      </c>
      <c r="D162" s="304" t="s">
        <v>11402</v>
      </c>
    </row>
    <row r="163" spans="1:4" ht="14.1" customHeight="1" x14ac:dyDescent="0.25">
      <c r="A163" s="303" t="s">
        <v>949</v>
      </c>
      <c r="B163" s="304" t="s">
        <v>11394</v>
      </c>
      <c r="C163" s="303" t="s">
        <v>11403</v>
      </c>
      <c r="D163" s="304" t="s">
        <v>11404</v>
      </c>
    </row>
    <row r="164" spans="1:4" ht="14.1" customHeight="1" x14ac:dyDescent="0.25">
      <c r="A164" s="303" t="s">
        <v>949</v>
      </c>
      <c r="B164" s="304" t="s">
        <v>11394</v>
      </c>
      <c r="C164" s="303" t="s">
        <v>11405</v>
      </c>
      <c r="D164" s="304" t="s">
        <v>11406</v>
      </c>
    </row>
    <row r="165" spans="1:4" ht="14.1" customHeight="1" x14ac:dyDescent="0.25">
      <c r="A165" s="303" t="s">
        <v>11407</v>
      </c>
      <c r="B165" s="304" t="s">
        <v>11408</v>
      </c>
      <c r="C165" s="303" t="s">
        <v>11409</v>
      </c>
      <c r="D165" s="304" t="s">
        <v>11410</v>
      </c>
    </row>
    <row r="166" spans="1:4" ht="14.1" customHeight="1" x14ac:dyDescent="0.25">
      <c r="A166" s="303" t="s">
        <v>11407</v>
      </c>
      <c r="B166" s="304" t="s">
        <v>11408</v>
      </c>
      <c r="C166" s="303" t="s">
        <v>11411</v>
      </c>
      <c r="D166" s="304" t="s">
        <v>11412</v>
      </c>
    </row>
    <row r="167" spans="1:4" ht="14.1" customHeight="1" x14ac:dyDescent="0.25">
      <c r="A167" s="303" t="s">
        <v>11407</v>
      </c>
      <c r="B167" s="304" t="s">
        <v>11408</v>
      </c>
      <c r="C167" s="303" t="s">
        <v>11413</v>
      </c>
      <c r="D167" s="304" t="s">
        <v>11414</v>
      </c>
    </row>
    <row r="168" spans="1:4" ht="14.1" customHeight="1" x14ac:dyDescent="0.25">
      <c r="A168" s="303" t="s">
        <v>11407</v>
      </c>
      <c r="B168" s="304" t="s">
        <v>11408</v>
      </c>
      <c r="C168" s="303" t="s">
        <v>11415</v>
      </c>
      <c r="D168" s="304" t="s">
        <v>11416</v>
      </c>
    </row>
    <row r="169" spans="1:4" ht="14.1" customHeight="1" x14ac:dyDescent="0.25">
      <c r="A169" s="303" t="s">
        <v>11407</v>
      </c>
      <c r="B169" s="304" t="s">
        <v>11408</v>
      </c>
      <c r="C169" s="303" t="s">
        <v>11417</v>
      </c>
      <c r="D169" s="304" t="s">
        <v>11418</v>
      </c>
    </row>
    <row r="170" spans="1:4" ht="14.1" customHeight="1" x14ac:dyDescent="0.25">
      <c r="A170" s="303" t="s">
        <v>11407</v>
      </c>
      <c r="B170" s="304" t="s">
        <v>11408</v>
      </c>
      <c r="C170" s="303" t="s">
        <v>11419</v>
      </c>
      <c r="D170" s="304" t="s">
        <v>11227</v>
      </c>
    </row>
    <row r="171" spans="1:4" ht="14.1" customHeight="1" x14ac:dyDescent="0.25">
      <c r="A171" s="303" t="s">
        <v>11407</v>
      </c>
      <c r="B171" s="304" t="s">
        <v>11408</v>
      </c>
      <c r="C171" s="303" t="s">
        <v>11420</v>
      </c>
      <c r="D171" s="304" t="s">
        <v>11421</v>
      </c>
    </row>
    <row r="172" spans="1:4" ht="14.1" customHeight="1" x14ac:dyDescent="0.25">
      <c r="A172" s="303" t="s">
        <v>11407</v>
      </c>
      <c r="B172" s="304" t="s">
        <v>11408</v>
      </c>
      <c r="C172" s="303" t="s">
        <v>11422</v>
      </c>
      <c r="D172" s="304" t="s">
        <v>11423</v>
      </c>
    </row>
    <row r="173" spans="1:4" ht="14.1" customHeight="1" x14ac:dyDescent="0.25">
      <c r="A173" s="303" t="s">
        <v>11407</v>
      </c>
      <c r="B173" s="304" t="s">
        <v>11408</v>
      </c>
      <c r="C173" s="303" t="s">
        <v>11424</v>
      </c>
      <c r="D173" s="304" t="s">
        <v>11425</v>
      </c>
    </row>
    <row r="174" spans="1:4" ht="14.1" customHeight="1" x14ac:dyDescent="0.25">
      <c r="A174" s="303" t="s">
        <v>11407</v>
      </c>
      <c r="B174" s="304" t="s">
        <v>11408</v>
      </c>
      <c r="C174" s="303" t="s">
        <v>10885</v>
      </c>
      <c r="D174" s="304" t="s">
        <v>11426</v>
      </c>
    </row>
    <row r="175" spans="1:4" ht="14.1" customHeight="1" x14ac:dyDescent="0.25">
      <c r="A175" s="303" t="s">
        <v>11407</v>
      </c>
      <c r="B175" s="304" t="s">
        <v>11408</v>
      </c>
      <c r="C175" s="303" t="s">
        <v>11427</v>
      </c>
      <c r="D175" s="304" t="s">
        <v>11428</v>
      </c>
    </row>
    <row r="176" spans="1:4" ht="14.1" customHeight="1" x14ac:dyDescent="0.25">
      <c r="A176" s="303" t="s">
        <v>11407</v>
      </c>
      <c r="B176" s="304" t="s">
        <v>11408</v>
      </c>
      <c r="C176" s="303" t="s">
        <v>11429</v>
      </c>
      <c r="D176" s="304" t="s">
        <v>11430</v>
      </c>
    </row>
    <row r="177" spans="1:4" ht="14.1" customHeight="1" x14ac:dyDescent="0.25">
      <c r="A177" s="303" t="s">
        <v>11407</v>
      </c>
      <c r="B177" s="304" t="s">
        <v>11408</v>
      </c>
      <c r="C177" s="303" t="s">
        <v>11431</v>
      </c>
      <c r="D177" s="304" t="s">
        <v>11432</v>
      </c>
    </row>
    <row r="178" spans="1:4" ht="14.1" customHeight="1" x14ac:dyDescent="0.25">
      <c r="A178" s="303" t="s">
        <v>11407</v>
      </c>
      <c r="B178" s="304" t="s">
        <v>11408</v>
      </c>
      <c r="C178" s="303" t="s">
        <v>11433</v>
      </c>
      <c r="D178" s="304" t="s">
        <v>11434</v>
      </c>
    </row>
    <row r="179" spans="1:4" ht="14.1" customHeight="1" x14ac:dyDescent="0.25">
      <c r="A179" s="303" t="s">
        <v>983</v>
      </c>
      <c r="B179" s="304" t="s">
        <v>11435</v>
      </c>
      <c r="C179" s="303" t="s">
        <v>11436</v>
      </c>
      <c r="D179" s="304" t="s">
        <v>11437</v>
      </c>
    </row>
    <row r="180" spans="1:4" ht="14.1" customHeight="1" x14ac:dyDescent="0.25">
      <c r="A180" s="303" t="s">
        <v>983</v>
      </c>
      <c r="B180" s="304" t="s">
        <v>11435</v>
      </c>
      <c r="C180" s="303" t="s">
        <v>11438</v>
      </c>
      <c r="D180" s="304" t="s">
        <v>11439</v>
      </c>
    </row>
    <row r="181" spans="1:4" ht="14.1" customHeight="1" x14ac:dyDescent="0.25">
      <c r="A181" s="303" t="s">
        <v>983</v>
      </c>
      <c r="B181" s="304" t="s">
        <v>11435</v>
      </c>
      <c r="C181" s="303" t="s">
        <v>11440</v>
      </c>
      <c r="D181" s="304" t="s">
        <v>11441</v>
      </c>
    </row>
    <row r="182" spans="1:4" ht="14.1" customHeight="1" x14ac:dyDescent="0.25">
      <c r="A182" s="303" t="s">
        <v>11442</v>
      </c>
      <c r="B182" s="304" t="s">
        <v>11443</v>
      </c>
      <c r="C182" s="303" t="s">
        <v>11444</v>
      </c>
      <c r="D182" s="304" t="s">
        <v>11445</v>
      </c>
    </row>
    <row r="183" spans="1:4" ht="14.1" customHeight="1" x14ac:dyDescent="0.25">
      <c r="A183" s="303" t="s">
        <v>11442</v>
      </c>
      <c r="B183" s="304" t="s">
        <v>11443</v>
      </c>
      <c r="C183" s="303" t="s">
        <v>11446</v>
      </c>
      <c r="D183" s="304" t="s">
        <v>11447</v>
      </c>
    </row>
    <row r="184" spans="1:4" ht="14.1" customHeight="1" x14ac:dyDescent="0.25">
      <c r="A184" s="303" t="s">
        <v>11442</v>
      </c>
      <c r="B184" s="304" t="s">
        <v>11443</v>
      </c>
      <c r="C184" s="303" t="s">
        <v>11448</v>
      </c>
      <c r="D184" s="304" t="s">
        <v>11449</v>
      </c>
    </row>
    <row r="185" spans="1:4" ht="14.1" customHeight="1" x14ac:dyDescent="0.25">
      <c r="A185" s="303" t="s">
        <v>11450</v>
      </c>
      <c r="B185" s="304" t="s">
        <v>11451</v>
      </c>
      <c r="C185" s="303" t="s">
        <v>11452</v>
      </c>
      <c r="D185" s="304" t="s">
        <v>11453</v>
      </c>
    </row>
    <row r="186" spans="1:4" ht="14.1" customHeight="1" x14ac:dyDescent="0.25">
      <c r="A186" s="303" t="s">
        <v>11450</v>
      </c>
      <c r="B186" s="304" t="s">
        <v>11451</v>
      </c>
      <c r="C186" s="303" t="s">
        <v>11454</v>
      </c>
      <c r="D186" s="304" t="s">
        <v>11455</v>
      </c>
    </row>
    <row r="187" spans="1:4" ht="14.1" customHeight="1" x14ac:dyDescent="0.25">
      <c r="A187" s="303" t="s">
        <v>11450</v>
      </c>
      <c r="B187" s="304" t="s">
        <v>11451</v>
      </c>
      <c r="C187" s="303" t="s">
        <v>11456</v>
      </c>
      <c r="D187" s="304" t="s">
        <v>11457</v>
      </c>
    </row>
    <row r="188" spans="1:4" ht="14.1" customHeight="1" x14ac:dyDescent="0.25">
      <c r="A188" s="303" t="s">
        <v>11450</v>
      </c>
      <c r="B188" s="304" t="s">
        <v>11451</v>
      </c>
      <c r="C188" s="303" t="s">
        <v>11458</v>
      </c>
      <c r="D188" s="304" t="s">
        <v>11459</v>
      </c>
    </row>
    <row r="189" spans="1:4" ht="14.1" customHeight="1" x14ac:dyDescent="0.25">
      <c r="A189" s="303" t="s">
        <v>11460</v>
      </c>
      <c r="B189" s="304" t="s">
        <v>11461</v>
      </c>
      <c r="C189" s="303" t="s">
        <v>11462</v>
      </c>
      <c r="D189" s="304" t="s">
        <v>11463</v>
      </c>
    </row>
    <row r="190" spans="1:4" ht="14.1" customHeight="1" x14ac:dyDescent="0.25">
      <c r="A190" s="305" t="s">
        <v>7524</v>
      </c>
      <c r="B190" s="378" t="s">
        <v>11550</v>
      </c>
      <c r="C190" s="307" t="s">
        <v>11590</v>
      </c>
      <c r="D190" s="306" t="s">
        <v>11591</v>
      </c>
    </row>
    <row r="191" spans="1:4" ht="14.1" customHeight="1" x14ac:dyDescent="0.25">
      <c r="A191" s="303" t="s">
        <v>11464</v>
      </c>
      <c r="B191" s="304" t="s">
        <v>11465</v>
      </c>
      <c r="C191" s="303" t="s">
        <v>11466</v>
      </c>
      <c r="D191" s="304" t="s">
        <v>11467</v>
      </c>
    </row>
    <row r="192" spans="1:4" ht="14.1" customHeight="1" x14ac:dyDescent="0.25">
      <c r="A192" s="303" t="s">
        <v>11464</v>
      </c>
      <c r="B192" s="304" t="s">
        <v>11465</v>
      </c>
      <c r="C192" s="303" t="s">
        <v>11468</v>
      </c>
      <c r="D192" s="304" t="s">
        <v>11469</v>
      </c>
    </row>
    <row r="193" spans="1:4" ht="14.1" customHeight="1" x14ac:dyDescent="0.25">
      <c r="A193" s="303" t="s">
        <v>11464</v>
      </c>
      <c r="B193" s="304" t="s">
        <v>11465</v>
      </c>
      <c r="C193" s="303" t="s">
        <v>11470</v>
      </c>
      <c r="D193" s="304" t="s">
        <v>11471</v>
      </c>
    </row>
    <row r="194" spans="1:4" ht="14.1" customHeight="1" x14ac:dyDescent="0.25">
      <c r="A194" s="303" t="s">
        <v>11472</v>
      </c>
      <c r="B194" s="304" t="s">
        <v>11473</v>
      </c>
      <c r="C194" s="303" t="s">
        <v>11474</v>
      </c>
      <c r="D194" s="304" t="s">
        <v>11475</v>
      </c>
    </row>
    <row r="195" spans="1:4" ht="14.1" customHeight="1" x14ac:dyDescent="0.25">
      <c r="A195" s="303" t="s">
        <v>11472</v>
      </c>
      <c r="B195" s="304" t="s">
        <v>11473</v>
      </c>
      <c r="C195" s="303" t="s">
        <v>11476</v>
      </c>
      <c r="D195" s="304" t="s">
        <v>11477</v>
      </c>
    </row>
    <row r="196" spans="1:4" ht="14.1" customHeight="1" x14ac:dyDescent="0.25">
      <c r="A196" s="303" t="s">
        <v>11472</v>
      </c>
      <c r="B196" s="304" t="s">
        <v>11473</v>
      </c>
      <c r="C196" s="303" t="s">
        <v>11478</v>
      </c>
      <c r="D196" s="304" t="s">
        <v>11479</v>
      </c>
    </row>
    <row r="197" spans="1:4" ht="14.1" customHeight="1" x14ac:dyDescent="0.25">
      <c r="A197" s="303" t="s">
        <v>11472</v>
      </c>
      <c r="B197" s="304" t="s">
        <v>11473</v>
      </c>
      <c r="C197" s="303" t="s">
        <v>11480</v>
      </c>
      <c r="D197" s="304" t="s">
        <v>11481</v>
      </c>
    </row>
    <row r="198" spans="1:4" ht="14.1" customHeight="1" x14ac:dyDescent="0.25">
      <c r="A198" s="303" t="s">
        <v>11472</v>
      </c>
      <c r="B198" s="304" t="s">
        <v>11473</v>
      </c>
      <c r="C198" s="303" t="s">
        <v>11482</v>
      </c>
      <c r="D198" s="304" t="s">
        <v>11483</v>
      </c>
    </row>
    <row r="199" spans="1:4" ht="14.1" customHeight="1" x14ac:dyDescent="0.25">
      <c r="A199" s="303" t="s">
        <v>11472</v>
      </c>
      <c r="B199" s="304" t="s">
        <v>11473</v>
      </c>
      <c r="C199" s="303" t="s">
        <v>11484</v>
      </c>
      <c r="D199" s="304" t="s">
        <v>11485</v>
      </c>
    </row>
    <row r="200" spans="1:4" ht="14.1" customHeight="1" x14ac:dyDescent="0.25">
      <c r="A200" s="305" t="s">
        <v>11637</v>
      </c>
      <c r="B200" s="306" t="s">
        <v>11638</v>
      </c>
      <c r="C200" s="307" t="s">
        <v>11639</v>
      </c>
      <c r="D200" s="306" t="s">
        <v>11640</v>
      </c>
    </row>
    <row r="201" spans="1:4" ht="14.1" customHeight="1" x14ac:dyDescent="0.25">
      <c r="A201" s="303" t="s">
        <v>11472</v>
      </c>
      <c r="B201" s="304" t="s">
        <v>11473</v>
      </c>
      <c r="C201" s="303" t="s">
        <v>11488</v>
      </c>
      <c r="D201" s="304" t="s">
        <v>11489</v>
      </c>
    </row>
    <row r="202" spans="1:4" ht="14.1" customHeight="1" x14ac:dyDescent="0.25">
      <c r="A202" s="303" t="s">
        <v>11472</v>
      </c>
      <c r="B202" s="304" t="s">
        <v>11473</v>
      </c>
      <c r="C202" s="303" t="s">
        <v>11490</v>
      </c>
      <c r="D202" s="304" t="s">
        <v>11491</v>
      </c>
    </row>
    <row r="203" spans="1:4" ht="14.1" customHeight="1" x14ac:dyDescent="0.25">
      <c r="A203" s="305" t="s">
        <v>11637</v>
      </c>
      <c r="B203" s="306" t="s">
        <v>11638</v>
      </c>
      <c r="C203" s="307" t="s">
        <v>13501</v>
      </c>
      <c r="D203" s="306" t="s">
        <v>13502</v>
      </c>
    </row>
    <row r="204" spans="1:4" ht="14.1" customHeight="1" x14ac:dyDescent="0.25">
      <c r="A204" s="303" t="s">
        <v>11472</v>
      </c>
      <c r="B204" s="304" t="s">
        <v>11473</v>
      </c>
      <c r="C204" s="303" t="s">
        <v>11494</v>
      </c>
      <c r="D204" s="304" t="s">
        <v>11495</v>
      </c>
    </row>
    <row r="205" spans="1:4" ht="14.1" customHeight="1" x14ac:dyDescent="0.25">
      <c r="A205" s="303" t="s">
        <v>11472</v>
      </c>
      <c r="B205" s="304" t="s">
        <v>11473</v>
      </c>
      <c r="C205" s="303" t="s">
        <v>11496</v>
      </c>
      <c r="D205" s="304" t="s">
        <v>11497</v>
      </c>
    </row>
    <row r="206" spans="1:4" ht="14.1" customHeight="1" x14ac:dyDescent="0.25">
      <c r="A206" s="303" t="s">
        <v>11472</v>
      </c>
      <c r="B206" s="304" t="s">
        <v>11473</v>
      </c>
      <c r="C206" s="303" t="s">
        <v>11498</v>
      </c>
      <c r="D206" s="304" t="s">
        <v>11499</v>
      </c>
    </row>
    <row r="207" spans="1:4" ht="14.1" customHeight="1" x14ac:dyDescent="0.25">
      <c r="A207" s="303" t="s">
        <v>11472</v>
      </c>
      <c r="B207" s="304" t="s">
        <v>11473</v>
      </c>
      <c r="C207" s="303" t="s">
        <v>11500</v>
      </c>
      <c r="D207" s="304" t="s">
        <v>11501</v>
      </c>
    </row>
    <row r="208" spans="1:4" ht="14.1" customHeight="1" x14ac:dyDescent="0.25">
      <c r="A208" s="303" t="s">
        <v>11472</v>
      </c>
      <c r="B208" s="304" t="s">
        <v>11473</v>
      </c>
      <c r="C208" s="303" t="s">
        <v>11502</v>
      </c>
      <c r="D208" s="304" t="s">
        <v>11503</v>
      </c>
    </row>
    <row r="209" spans="1:4" ht="14.1" customHeight="1" x14ac:dyDescent="0.25">
      <c r="A209" s="303" t="s">
        <v>11472</v>
      </c>
      <c r="B209" s="304" t="s">
        <v>11473</v>
      </c>
      <c r="C209" s="303" t="s">
        <v>11504</v>
      </c>
      <c r="D209" s="304" t="s">
        <v>11505</v>
      </c>
    </row>
    <row r="210" spans="1:4" ht="14.1" customHeight="1" x14ac:dyDescent="0.25">
      <c r="A210" s="303" t="s">
        <v>11472</v>
      </c>
      <c r="B210" s="304" t="s">
        <v>11473</v>
      </c>
      <c r="C210" s="303" t="s">
        <v>11506</v>
      </c>
      <c r="D210" s="304" t="s">
        <v>11507</v>
      </c>
    </row>
    <row r="211" spans="1:4" ht="14.1" customHeight="1" x14ac:dyDescent="0.25">
      <c r="A211" s="303" t="s">
        <v>11472</v>
      </c>
      <c r="B211" s="304" t="s">
        <v>11473</v>
      </c>
      <c r="C211" s="303" t="s">
        <v>11508</v>
      </c>
      <c r="D211" s="304" t="s">
        <v>11509</v>
      </c>
    </row>
    <row r="212" spans="1:4" ht="14.1" customHeight="1" x14ac:dyDescent="0.25">
      <c r="A212" s="305" t="s">
        <v>11641</v>
      </c>
      <c r="B212" s="306" t="s">
        <v>11642</v>
      </c>
      <c r="C212" s="307" t="s">
        <v>11643</v>
      </c>
      <c r="D212" s="306" t="s">
        <v>11644</v>
      </c>
    </row>
    <row r="213" spans="1:4" ht="14.1" customHeight="1" x14ac:dyDescent="0.25">
      <c r="A213" s="303" t="s">
        <v>11472</v>
      </c>
      <c r="B213" s="304" t="s">
        <v>11473</v>
      </c>
      <c r="C213" s="303" t="s">
        <v>11512</v>
      </c>
      <c r="D213" s="304" t="s">
        <v>11513</v>
      </c>
    </row>
    <row r="214" spans="1:4" ht="14.1" customHeight="1" x14ac:dyDescent="0.25">
      <c r="A214" s="303" t="s">
        <v>11472</v>
      </c>
      <c r="B214" s="304" t="s">
        <v>11473</v>
      </c>
      <c r="C214" s="303" t="s">
        <v>11514</v>
      </c>
      <c r="D214" s="304" t="s">
        <v>11515</v>
      </c>
    </row>
    <row r="215" spans="1:4" ht="14.1" customHeight="1" x14ac:dyDescent="0.25">
      <c r="A215" s="303" t="s">
        <v>11472</v>
      </c>
      <c r="B215" s="304" t="s">
        <v>11473</v>
      </c>
      <c r="C215" s="303" t="s">
        <v>11516</v>
      </c>
      <c r="D215" s="304" t="s">
        <v>11517</v>
      </c>
    </row>
    <row r="216" spans="1:4" ht="14.1" customHeight="1" x14ac:dyDescent="0.25">
      <c r="A216" s="303" t="s">
        <v>11518</v>
      </c>
      <c r="B216" s="304" t="s">
        <v>11519</v>
      </c>
      <c r="C216" s="303" t="s">
        <v>11520</v>
      </c>
      <c r="D216" s="304" t="s">
        <v>11521</v>
      </c>
    </row>
    <row r="217" spans="1:4" ht="14.1" customHeight="1" x14ac:dyDescent="0.25">
      <c r="A217" s="303" t="s">
        <v>11518</v>
      </c>
      <c r="B217" s="304" t="s">
        <v>11519</v>
      </c>
      <c r="C217" s="303" t="s">
        <v>11522</v>
      </c>
      <c r="D217" s="304" t="s">
        <v>11523</v>
      </c>
    </row>
    <row r="218" spans="1:4" ht="14.1" customHeight="1" x14ac:dyDescent="0.25">
      <c r="A218" s="303" t="s">
        <v>11524</v>
      </c>
      <c r="B218" s="304" t="s">
        <v>11525</v>
      </c>
      <c r="C218" s="303" t="s">
        <v>11526</v>
      </c>
      <c r="D218" s="304" t="s">
        <v>11527</v>
      </c>
    </row>
    <row r="219" spans="1:4" ht="14.1" customHeight="1" x14ac:dyDescent="0.25">
      <c r="A219" s="303" t="s">
        <v>11524</v>
      </c>
      <c r="B219" s="304" t="s">
        <v>11525</v>
      </c>
      <c r="C219" s="303" t="s">
        <v>11528</v>
      </c>
      <c r="D219" s="304" t="s">
        <v>11529</v>
      </c>
    </row>
    <row r="220" spans="1:4" ht="14.1" customHeight="1" x14ac:dyDescent="0.25">
      <c r="A220" s="303" t="s">
        <v>11524</v>
      </c>
      <c r="B220" s="304" t="s">
        <v>11525</v>
      </c>
      <c r="C220" s="303" t="s">
        <v>11530</v>
      </c>
      <c r="D220" s="304" t="s">
        <v>11531</v>
      </c>
    </row>
    <row r="221" spans="1:4" ht="14.1" customHeight="1" x14ac:dyDescent="0.25">
      <c r="A221" s="303" t="s">
        <v>11524</v>
      </c>
      <c r="B221" s="304" t="s">
        <v>11525</v>
      </c>
      <c r="C221" s="303" t="s">
        <v>11532</v>
      </c>
      <c r="D221" s="304" t="s">
        <v>11533</v>
      </c>
    </row>
    <row r="222" spans="1:4" ht="14.1" customHeight="1" x14ac:dyDescent="0.25">
      <c r="A222" s="303" t="s">
        <v>11524</v>
      </c>
      <c r="B222" s="304" t="s">
        <v>11525</v>
      </c>
      <c r="C222" s="303" t="s">
        <v>11534</v>
      </c>
      <c r="D222" s="304" t="s">
        <v>11535</v>
      </c>
    </row>
    <row r="223" spans="1:4" ht="14.1" customHeight="1" x14ac:dyDescent="0.25">
      <c r="A223" s="303" t="s">
        <v>11536</v>
      </c>
      <c r="B223" s="304" t="s">
        <v>11537</v>
      </c>
      <c r="C223" s="303" t="s">
        <v>11538</v>
      </c>
      <c r="D223" s="304" t="s">
        <v>11539</v>
      </c>
    </row>
    <row r="224" spans="1:4" ht="14.1" customHeight="1" x14ac:dyDescent="0.25">
      <c r="A224" s="303" t="s">
        <v>11540</v>
      </c>
      <c r="B224" s="304" t="s">
        <v>11541</v>
      </c>
      <c r="C224" s="303" t="s">
        <v>11542</v>
      </c>
      <c r="D224" s="304" t="s">
        <v>11543</v>
      </c>
    </row>
    <row r="225" spans="1:4" ht="14.1" customHeight="1" x14ac:dyDescent="0.25">
      <c r="A225" s="303" t="s">
        <v>11540</v>
      </c>
      <c r="B225" s="304" t="s">
        <v>11541</v>
      </c>
      <c r="C225" s="303" t="s">
        <v>11544</v>
      </c>
      <c r="D225" s="304" t="s">
        <v>11545</v>
      </c>
    </row>
    <row r="226" spans="1:4" ht="14.1" customHeight="1" x14ac:dyDescent="0.25">
      <c r="A226" s="303" t="s">
        <v>11546</v>
      </c>
      <c r="B226" s="304" t="s">
        <v>11547</v>
      </c>
      <c r="C226" s="303" t="s">
        <v>11548</v>
      </c>
      <c r="D226" s="304" t="s">
        <v>11549</v>
      </c>
    </row>
    <row r="227" spans="1:4" ht="14.1" customHeight="1" x14ac:dyDescent="0.25">
      <c r="A227" s="303" t="s">
        <v>7524</v>
      </c>
      <c r="B227" s="304" t="s">
        <v>11550</v>
      </c>
      <c r="C227" s="303" t="s">
        <v>10984</v>
      </c>
      <c r="D227" s="304" t="s">
        <v>11551</v>
      </c>
    </row>
    <row r="228" spans="1:4" ht="14.1" customHeight="1" x14ac:dyDescent="0.25">
      <c r="A228" s="303" t="s">
        <v>7524</v>
      </c>
      <c r="B228" s="304" t="s">
        <v>11550</v>
      </c>
      <c r="C228" s="303" t="s">
        <v>11552</v>
      </c>
      <c r="D228" s="304" t="s">
        <v>11553</v>
      </c>
    </row>
    <row r="229" spans="1:4" ht="14.1" customHeight="1" x14ac:dyDescent="0.25">
      <c r="A229" s="303" t="s">
        <v>7524</v>
      </c>
      <c r="B229" s="304" t="s">
        <v>11550</v>
      </c>
      <c r="C229" s="303" t="s">
        <v>11554</v>
      </c>
      <c r="D229" s="304" t="s">
        <v>11555</v>
      </c>
    </row>
    <row r="230" spans="1:4" ht="14.1" customHeight="1" x14ac:dyDescent="0.25">
      <c r="A230" s="303" t="s">
        <v>7524</v>
      </c>
      <c r="B230" s="304" t="s">
        <v>11550</v>
      </c>
      <c r="C230" s="303" t="s">
        <v>11556</v>
      </c>
      <c r="D230" s="304" t="s">
        <v>11557</v>
      </c>
    </row>
    <row r="231" spans="1:4" ht="14.1" customHeight="1" x14ac:dyDescent="0.25">
      <c r="A231" s="303" t="s">
        <v>7524</v>
      </c>
      <c r="B231" s="304" t="s">
        <v>11550</v>
      </c>
      <c r="C231" s="303" t="s">
        <v>11558</v>
      </c>
      <c r="D231" s="304" t="s">
        <v>11559</v>
      </c>
    </row>
    <row r="232" spans="1:4" ht="14.1" customHeight="1" x14ac:dyDescent="0.25">
      <c r="A232" s="303" t="s">
        <v>7524</v>
      </c>
      <c r="B232" s="304" t="s">
        <v>11550</v>
      </c>
      <c r="C232" s="303" t="s">
        <v>11560</v>
      </c>
      <c r="D232" s="304" t="s">
        <v>11561</v>
      </c>
    </row>
    <row r="233" spans="1:4" ht="14.1" customHeight="1" x14ac:dyDescent="0.25">
      <c r="A233" s="303" t="s">
        <v>7524</v>
      </c>
      <c r="B233" s="304" t="s">
        <v>11550</v>
      </c>
      <c r="C233" s="303" t="s">
        <v>11562</v>
      </c>
      <c r="D233" s="304" t="s">
        <v>11563</v>
      </c>
    </row>
    <row r="234" spans="1:4" ht="14.1" customHeight="1" x14ac:dyDescent="0.25">
      <c r="A234" s="303" t="s">
        <v>7524</v>
      </c>
      <c r="B234" s="304" t="s">
        <v>11550</v>
      </c>
      <c r="C234" s="303" t="s">
        <v>11564</v>
      </c>
      <c r="D234" s="304" t="s">
        <v>11565</v>
      </c>
    </row>
    <row r="235" spans="1:4" ht="14.1" customHeight="1" x14ac:dyDescent="0.25">
      <c r="A235" s="303" t="s">
        <v>7524</v>
      </c>
      <c r="B235" s="304" t="s">
        <v>11550</v>
      </c>
      <c r="C235" s="303" t="s">
        <v>11566</v>
      </c>
      <c r="D235" s="304" t="s">
        <v>11567</v>
      </c>
    </row>
    <row r="236" spans="1:4" ht="14.1" customHeight="1" x14ac:dyDescent="0.25">
      <c r="A236" s="303" t="s">
        <v>7524</v>
      </c>
      <c r="B236" s="304" t="s">
        <v>11550</v>
      </c>
      <c r="C236" s="303" t="s">
        <v>11568</v>
      </c>
      <c r="D236" s="304" t="s">
        <v>11569</v>
      </c>
    </row>
    <row r="237" spans="1:4" ht="14.1" customHeight="1" x14ac:dyDescent="0.25">
      <c r="A237" s="303" t="s">
        <v>7524</v>
      </c>
      <c r="B237" s="304" t="s">
        <v>11550</v>
      </c>
      <c r="C237" s="303" t="s">
        <v>11570</v>
      </c>
      <c r="D237" s="304" t="s">
        <v>11571</v>
      </c>
    </row>
    <row r="238" spans="1:4" ht="14.1" customHeight="1" x14ac:dyDescent="0.25">
      <c r="A238" s="303" t="s">
        <v>7524</v>
      </c>
      <c r="B238" s="304" t="s">
        <v>11550</v>
      </c>
      <c r="C238" s="303" t="s">
        <v>11572</v>
      </c>
      <c r="D238" s="304" t="s">
        <v>11573</v>
      </c>
    </row>
    <row r="239" spans="1:4" ht="14.1" customHeight="1" x14ac:dyDescent="0.25">
      <c r="A239" s="303" t="s">
        <v>7524</v>
      </c>
      <c r="B239" s="304" t="s">
        <v>11550</v>
      </c>
      <c r="C239" s="303" t="s">
        <v>11574</v>
      </c>
      <c r="D239" s="304" t="s">
        <v>11575</v>
      </c>
    </row>
    <row r="240" spans="1:4" ht="14.1" customHeight="1" x14ac:dyDescent="0.25">
      <c r="A240" s="303" t="s">
        <v>7524</v>
      </c>
      <c r="B240" s="304" t="s">
        <v>11550</v>
      </c>
      <c r="C240" s="303" t="s">
        <v>11576</v>
      </c>
      <c r="D240" s="304" t="s">
        <v>11577</v>
      </c>
    </row>
    <row r="241" spans="1:4" ht="14.1" customHeight="1" x14ac:dyDescent="0.25">
      <c r="A241" s="303" t="s">
        <v>7524</v>
      </c>
      <c r="B241" s="304" t="s">
        <v>11550</v>
      </c>
      <c r="C241" s="303" t="s">
        <v>11578</v>
      </c>
      <c r="D241" s="304" t="s">
        <v>11579</v>
      </c>
    </row>
    <row r="242" spans="1:4" ht="14.1" customHeight="1" x14ac:dyDescent="0.25">
      <c r="A242" s="303" t="s">
        <v>7524</v>
      </c>
      <c r="B242" s="304" t="s">
        <v>11550</v>
      </c>
      <c r="C242" s="303" t="s">
        <v>11580</v>
      </c>
      <c r="D242" s="304" t="s">
        <v>11581</v>
      </c>
    </row>
    <row r="243" spans="1:4" ht="14.1" customHeight="1" x14ac:dyDescent="0.25">
      <c r="A243" s="303" t="s">
        <v>7524</v>
      </c>
      <c r="B243" s="304" t="s">
        <v>11550</v>
      </c>
      <c r="C243" s="303" t="s">
        <v>11582</v>
      </c>
      <c r="D243" s="304" t="s">
        <v>11583</v>
      </c>
    </row>
    <row r="244" spans="1:4" ht="14.1" customHeight="1" x14ac:dyDescent="0.25">
      <c r="A244" s="303" t="s">
        <v>7524</v>
      </c>
      <c r="B244" s="304" t="s">
        <v>11550</v>
      </c>
      <c r="C244" s="303" t="s">
        <v>11584</v>
      </c>
      <c r="D244" s="304" t="s">
        <v>11585</v>
      </c>
    </row>
    <row r="245" spans="1:4" ht="14.1" customHeight="1" x14ac:dyDescent="0.25">
      <c r="A245" s="303" t="s">
        <v>7524</v>
      </c>
      <c r="B245" s="304" t="s">
        <v>11550</v>
      </c>
      <c r="C245" s="303" t="s">
        <v>11586</v>
      </c>
      <c r="D245" s="304" t="s">
        <v>11587</v>
      </c>
    </row>
    <row r="246" spans="1:4" ht="14.1" customHeight="1" x14ac:dyDescent="0.25">
      <c r="A246" s="303" t="s">
        <v>7524</v>
      </c>
      <c r="B246" s="304" t="s">
        <v>11550</v>
      </c>
      <c r="C246" s="303" t="s">
        <v>11588</v>
      </c>
      <c r="D246" s="304" t="s">
        <v>11589</v>
      </c>
    </row>
    <row r="247" spans="1:4" ht="14.1" customHeight="1" x14ac:dyDescent="0.25">
      <c r="A247" s="305" t="s">
        <v>11641</v>
      </c>
      <c r="B247" s="306" t="s">
        <v>11642</v>
      </c>
      <c r="C247" s="307" t="s">
        <v>13540</v>
      </c>
      <c r="D247" s="306" t="s">
        <v>13541</v>
      </c>
    </row>
    <row r="248" spans="1:4" ht="14.1" customHeight="1" x14ac:dyDescent="0.25">
      <c r="A248" s="303" t="s">
        <v>7524</v>
      </c>
      <c r="B248" s="304" t="s">
        <v>11550</v>
      </c>
      <c r="C248" s="303" t="s">
        <v>11592</v>
      </c>
      <c r="D248" s="304" t="s">
        <v>11593</v>
      </c>
    </row>
    <row r="249" spans="1:4" ht="14.1" customHeight="1" x14ac:dyDescent="0.25">
      <c r="A249" s="303" t="s">
        <v>11594</v>
      </c>
      <c r="B249" s="304" t="s">
        <v>11595</v>
      </c>
      <c r="C249" s="303" t="s">
        <v>11596</v>
      </c>
      <c r="D249" s="304" t="s">
        <v>11597</v>
      </c>
    </row>
    <row r="250" spans="1:4" ht="14.1" customHeight="1" x14ac:dyDescent="0.25">
      <c r="A250" s="305" t="s">
        <v>11756</v>
      </c>
      <c r="B250" s="306" t="s">
        <v>11757</v>
      </c>
      <c r="C250" s="307" t="s">
        <v>11758</v>
      </c>
      <c r="D250" s="306" t="s">
        <v>11759</v>
      </c>
    </row>
    <row r="251" spans="1:4" ht="14.1" customHeight="1" x14ac:dyDescent="0.25">
      <c r="A251" s="303" t="s">
        <v>7479</v>
      </c>
      <c r="B251" s="304" t="s">
        <v>11600</v>
      </c>
      <c r="C251" s="303" t="s">
        <v>11601</v>
      </c>
      <c r="D251" s="304" t="s">
        <v>11602</v>
      </c>
    </row>
    <row r="252" spans="1:4" ht="14.1" customHeight="1" x14ac:dyDescent="0.25">
      <c r="A252" s="303" t="s">
        <v>7479</v>
      </c>
      <c r="B252" s="304" t="s">
        <v>11600</v>
      </c>
      <c r="C252" s="303" t="s">
        <v>11603</v>
      </c>
      <c r="D252" s="304" t="s">
        <v>11604</v>
      </c>
    </row>
    <row r="253" spans="1:4" ht="14.1" customHeight="1" x14ac:dyDescent="0.25">
      <c r="A253" s="303" t="s">
        <v>7479</v>
      </c>
      <c r="B253" s="304" t="s">
        <v>11600</v>
      </c>
      <c r="C253" s="303" t="s">
        <v>11605</v>
      </c>
      <c r="D253" s="304" t="s">
        <v>11606</v>
      </c>
    </row>
    <row r="254" spans="1:4" ht="14.1" customHeight="1" x14ac:dyDescent="0.25">
      <c r="A254" s="303" t="s">
        <v>11607</v>
      </c>
      <c r="B254" s="304" t="s">
        <v>11608</v>
      </c>
      <c r="C254" s="303" t="s">
        <v>11609</v>
      </c>
      <c r="D254" s="304" t="s">
        <v>11610</v>
      </c>
    </row>
    <row r="255" spans="1:4" ht="14.1" customHeight="1" x14ac:dyDescent="0.25">
      <c r="A255" s="303" t="s">
        <v>11607</v>
      </c>
      <c r="B255" s="304" t="s">
        <v>11608</v>
      </c>
      <c r="C255" s="303" t="s">
        <v>11611</v>
      </c>
      <c r="D255" s="304" t="s">
        <v>11612</v>
      </c>
    </row>
    <row r="256" spans="1:4" ht="14.1" customHeight="1" x14ac:dyDescent="0.25">
      <c r="A256" s="303" t="s">
        <v>11607</v>
      </c>
      <c r="B256" s="304" t="s">
        <v>11608</v>
      </c>
      <c r="C256" s="303" t="s">
        <v>11613</v>
      </c>
      <c r="D256" s="304" t="s">
        <v>11614</v>
      </c>
    </row>
    <row r="257" spans="1:4" ht="14.1" customHeight="1" x14ac:dyDescent="0.25">
      <c r="A257" s="303" t="s">
        <v>11615</v>
      </c>
      <c r="B257" s="304" t="s">
        <v>11616</v>
      </c>
      <c r="C257" s="303" t="s">
        <v>11617</v>
      </c>
      <c r="D257" s="304" t="s">
        <v>11618</v>
      </c>
    </row>
    <row r="258" spans="1:4" ht="14.1" customHeight="1" x14ac:dyDescent="0.25">
      <c r="A258" s="303" t="s">
        <v>11615</v>
      </c>
      <c r="B258" s="304" t="s">
        <v>11616</v>
      </c>
      <c r="C258" s="303" t="s">
        <v>11619</v>
      </c>
      <c r="D258" s="304" t="s">
        <v>11620</v>
      </c>
    </row>
    <row r="259" spans="1:4" ht="14.1" customHeight="1" x14ac:dyDescent="0.25">
      <c r="A259" s="303" t="s">
        <v>11621</v>
      </c>
      <c r="B259" s="304" t="s">
        <v>11622</v>
      </c>
      <c r="C259" s="303" t="s">
        <v>11623</v>
      </c>
      <c r="D259" s="304" t="s">
        <v>11624</v>
      </c>
    </row>
    <row r="260" spans="1:4" ht="14.1" customHeight="1" x14ac:dyDescent="0.25">
      <c r="A260" s="303" t="s">
        <v>11621</v>
      </c>
      <c r="B260" s="304" t="s">
        <v>11622</v>
      </c>
      <c r="C260" s="303" t="s">
        <v>11625</v>
      </c>
      <c r="D260" s="304" t="s">
        <v>11626</v>
      </c>
    </row>
    <row r="261" spans="1:4" ht="14.1" customHeight="1" x14ac:dyDescent="0.25">
      <c r="A261" s="303" t="s">
        <v>11627</v>
      </c>
      <c r="B261" s="304" t="s">
        <v>11628</v>
      </c>
      <c r="C261" s="303" t="s">
        <v>11629</v>
      </c>
      <c r="D261" s="304" t="s">
        <v>11630</v>
      </c>
    </row>
    <row r="262" spans="1:4" ht="14.1" customHeight="1" x14ac:dyDescent="0.25">
      <c r="A262" s="303" t="s">
        <v>11631</v>
      </c>
      <c r="B262" s="304" t="s">
        <v>11632</v>
      </c>
      <c r="C262" s="303" t="s">
        <v>11633</v>
      </c>
      <c r="D262" s="304" t="s">
        <v>11634</v>
      </c>
    </row>
    <row r="263" spans="1:4" ht="14.1" customHeight="1" x14ac:dyDescent="0.25">
      <c r="A263" s="303" t="s">
        <v>11631</v>
      </c>
      <c r="B263" s="304" t="s">
        <v>11632</v>
      </c>
      <c r="C263" s="303" t="s">
        <v>11635</v>
      </c>
      <c r="D263" s="304" t="s">
        <v>11636</v>
      </c>
    </row>
    <row r="264" spans="1:4" ht="14.1" customHeight="1" x14ac:dyDescent="0.25">
      <c r="A264" s="305" t="s">
        <v>7466</v>
      </c>
      <c r="B264" s="378" t="s">
        <v>11786</v>
      </c>
      <c r="C264" s="307" t="s">
        <v>13525</v>
      </c>
      <c r="D264" s="306" t="s">
        <v>13524</v>
      </c>
    </row>
    <row r="265" spans="1:4" ht="14.1" customHeight="1" x14ac:dyDescent="0.25">
      <c r="A265" s="305" t="s">
        <v>11891</v>
      </c>
      <c r="B265" s="378" t="s">
        <v>11892</v>
      </c>
      <c r="C265" s="307" t="s">
        <v>13511</v>
      </c>
      <c r="D265" s="306" t="s">
        <v>13512</v>
      </c>
    </row>
    <row r="266" spans="1:4" ht="14.1" customHeight="1" x14ac:dyDescent="0.25">
      <c r="A266" s="305" t="s">
        <v>11891</v>
      </c>
      <c r="B266" s="378" t="s">
        <v>11892</v>
      </c>
      <c r="C266" s="307" t="s">
        <v>13513</v>
      </c>
      <c r="D266" s="306" t="s">
        <v>13514</v>
      </c>
    </row>
    <row r="267" spans="1:4" ht="14.1" customHeight="1" x14ac:dyDescent="0.25">
      <c r="A267" s="305" t="s">
        <v>12038</v>
      </c>
      <c r="B267" s="378" t="s">
        <v>12039</v>
      </c>
      <c r="C267" s="307" t="s">
        <v>13509</v>
      </c>
      <c r="D267" s="306" t="s">
        <v>13510</v>
      </c>
    </row>
    <row r="268" spans="1:4" ht="14.1" customHeight="1" x14ac:dyDescent="0.25">
      <c r="A268" s="303" t="s">
        <v>11645</v>
      </c>
      <c r="B268" s="304" t="s">
        <v>11646</v>
      </c>
      <c r="C268" s="303" t="s">
        <v>11647</v>
      </c>
      <c r="D268" s="304" t="s">
        <v>11648</v>
      </c>
    </row>
    <row r="269" spans="1:4" ht="14.1" customHeight="1" x14ac:dyDescent="0.25">
      <c r="A269" s="303" t="s">
        <v>11645</v>
      </c>
      <c r="B269" s="304" t="s">
        <v>11646</v>
      </c>
      <c r="C269" s="303" t="s">
        <v>11649</v>
      </c>
      <c r="D269" s="304" t="s">
        <v>11650</v>
      </c>
    </row>
    <row r="270" spans="1:4" ht="14.1" customHeight="1" x14ac:dyDescent="0.25">
      <c r="A270" s="303" t="s">
        <v>11645</v>
      </c>
      <c r="B270" s="304" t="s">
        <v>11646</v>
      </c>
      <c r="C270" s="303" t="s">
        <v>11651</v>
      </c>
      <c r="D270" s="304" t="s">
        <v>11652</v>
      </c>
    </row>
    <row r="271" spans="1:4" ht="14.1" customHeight="1" x14ac:dyDescent="0.25">
      <c r="A271" s="303" t="s">
        <v>11645</v>
      </c>
      <c r="B271" s="304" t="s">
        <v>11646</v>
      </c>
      <c r="C271" s="303" t="s">
        <v>11653</v>
      </c>
      <c r="D271" s="304" t="s">
        <v>11654</v>
      </c>
    </row>
    <row r="272" spans="1:4" ht="14.1" customHeight="1" x14ac:dyDescent="0.25">
      <c r="A272" s="303" t="s">
        <v>11645</v>
      </c>
      <c r="B272" s="304" t="s">
        <v>11646</v>
      </c>
      <c r="C272" s="303" t="s">
        <v>11655</v>
      </c>
      <c r="D272" s="304" t="s">
        <v>11656</v>
      </c>
    </row>
    <row r="273" spans="1:4" ht="14.1" customHeight="1" x14ac:dyDescent="0.25">
      <c r="A273" s="303" t="s">
        <v>11645</v>
      </c>
      <c r="B273" s="304" t="s">
        <v>11646</v>
      </c>
      <c r="C273" s="303" t="s">
        <v>11657</v>
      </c>
      <c r="D273" s="304" t="s">
        <v>11658</v>
      </c>
    </row>
    <row r="274" spans="1:4" ht="14.1" customHeight="1" x14ac:dyDescent="0.25">
      <c r="A274" s="303" t="s">
        <v>11645</v>
      </c>
      <c r="B274" s="304" t="s">
        <v>11646</v>
      </c>
      <c r="C274" s="303" t="s">
        <v>11659</v>
      </c>
      <c r="D274" s="304" t="s">
        <v>11660</v>
      </c>
    </row>
    <row r="275" spans="1:4" ht="14.1" customHeight="1" x14ac:dyDescent="0.25">
      <c r="A275" s="303" t="s">
        <v>11645</v>
      </c>
      <c r="B275" s="304" t="s">
        <v>11646</v>
      </c>
      <c r="C275" s="303" t="s">
        <v>11661</v>
      </c>
      <c r="D275" s="304" t="s">
        <v>11662</v>
      </c>
    </row>
    <row r="276" spans="1:4" ht="14.1" customHeight="1" x14ac:dyDescent="0.25">
      <c r="A276" s="303" t="s">
        <v>11645</v>
      </c>
      <c r="B276" s="304" t="s">
        <v>11646</v>
      </c>
      <c r="C276" s="303" t="s">
        <v>11663</v>
      </c>
      <c r="D276" s="304" t="s">
        <v>11664</v>
      </c>
    </row>
    <row r="277" spans="1:4" ht="14.1" customHeight="1" x14ac:dyDescent="0.25">
      <c r="A277" s="303" t="s">
        <v>11645</v>
      </c>
      <c r="B277" s="304" t="s">
        <v>11646</v>
      </c>
      <c r="C277" s="303" t="s">
        <v>11665</v>
      </c>
      <c r="D277" s="304" t="s">
        <v>11666</v>
      </c>
    </row>
    <row r="278" spans="1:4" ht="14.1" customHeight="1" x14ac:dyDescent="0.25">
      <c r="A278" s="303" t="s">
        <v>11667</v>
      </c>
      <c r="B278" s="304" t="s">
        <v>11668</v>
      </c>
      <c r="C278" s="303" t="s">
        <v>11669</v>
      </c>
      <c r="D278" s="304" t="s">
        <v>11670</v>
      </c>
    </row>
    <row r="279" spans="1:4" ht="14.1" customHeight="1" x14ac:dyDescent="0.25">
      <c r="A279" s="303" t="s">
        <v>7393</v>
      </c>
      <c r="B279" s="304" t="s">
        <v>11671</v>
      </c>
      <c r="C279" s="303" t="s">
        <v>11672</v>
      </c>
      <c r="D279" s="304" t="s">
        <v>11673</v>
      </c>
    </row>
    <row r="280" spans="1:4" ht="14.1" customHeight="1" x14ac:dyDescent="0.25">
      <c r="A280" s="303" t="s">
        <v>11674</v>
      </c>
      <c r="B280" s="304" t="s">
        <v>11675</v>
      </c>
      <c r="C280" s="303" t="s">
        <v>11676</v>
      </c>
      <c r="D280" s="304" t="s">
        <v>11677</v>
      </c>
    </row>
    <row r="281" spans="1:4" ht="14.1" customHeight="1" x14ac:dyDescent="0.25">
      <c r="A281" s="303" t="s">
        <v>11674</v>
      </c>
      <c r="B281" s="304" t="s">
        <v>11675</v>
      </c>
      <c r="C281" s="303" t="s">
        <v>11678</v>
      </c>
      <c r="D281" s="304" t="s">
        <v>11679</v>
      </c>
    </row>
    <row r="282" spans="1:4" ht="14.1" customHeight="1" x14ac:dyDescent="0.25">
      <c r="A282" s="303" t="s">
        <v>11674</v>
      </c>
      <c r="B282" s="304" t="s">
        <v>11675</v>
      </c>
      <c r="C282" s="303" t="s">
        <v>11680</v>
      </c>
      <c r="D282" s="304" t="s">
        <v>11681</v>
      </c>
    </row>
    <row r="283" spans="1:4" ht="14.1" customHeight="1" x14ac:dyDescent="0.25">
      <c r="A283" s="303" t="s">
        <v>11674</v>
      </c>
      <c r="B283" s="304" t="s">
        <v>11675</v>
      </c>
      <c r="C283" s="303" t="s">
        <v>11682</v>
      </c>
      <c r="D283" s="304" t="s">
        <v>11683</v>
      </c>
    </row>
    <row r="284" spans="1:4" ht="14.1" customHeight="1" x14ac:dyDescent="0.25">
      <c r="A284" s="303" t="s">
        <v>11674</v>
      </c>
      <c r="B284" s="304" t="s">
        <v>11675</v>
      </c>
      <c r="C284" s="303" t="s">
        <v>11684</v>
      </c>
      <c r="D284" s="304" t="s">
        <v>11685</v>
      </c>
    </row>
    <row r="285" spans="1:4" ht="14.1" customHeight="1" x14ac:dyDescent="0.25">
      <c r="A285" s="303" t="s">
        <v>11674</v>
      </c>
      <c r="B285" s="304" t="s">
        <v>11675</v>
      </c>
      <c r="C285" s="303" t="s">
        <v>11686</v>
      </c>
      <c r="D285" s="304" t="s">
        <v>11687</v>
      </c>
    </row>
    <row r="286" spans="1:4" ht="14.1" customHeight="1" x14ac:dyDescent="0.25">
      <c r="A286" s="303" t="s">
        <v>11688</v>
      </c>
      <c r="B286" s="304" t="s">
        <v>11689</v>
      </c>
      <c r="C286" s="303" t="s">
        <v>11690</v>
      </c>
      <c r="D286" s="304" t="s">
        <v>11691</v>
      </c>
    </row>
    <row r="287" spans="1:4" ht="14.1" customHeight="1" x14ac:dyDescent="0.25">
      <c r="A287" s="303" t="s">
        <v>11688</v>
      </c>
      <c r="B287" s="304" t="s">
        <v>11689</v>
      </c>
      <c r="C287" s="303" t="s">
        <v>11692</v>
      </c>
      <c r="D287" s="304" t="s">
        <v>11693</v>
      </c>
    </row>
    <row r="288" spans="1:4" ht="14.1" customHeight="1" x14ac:dyDescent="0.25">
      <c r="A288" s="303" t="s">
        <v>11688</v>
      </c>
      <c r="B288" s="304" t="s">
        <v>11689</v>
      </c>
      <c r="C288" s="303" t="s">
        <v>11694</v>
      </c>
      <c r="D288" s="304" t="s">
        <v>11695</v>
      </c>
    </row>
    <row r="289" spans="1:4" ht="14.1" customHeight="1" x14ac:dyDescent="0.25">
      <c r="A289" s="303" t="s">
        <v>11688</v>
      </c>
      <c r="B289" s="304" t="s">
        <v>11689</v>
      </c>
      <c r="C289" s="303" t="s">
        <v>11696</v>
      </c>
      <c r="D289" s="304" t="s">
        <v>11697</v>
      </c>
    </row>
    <row r="290" spans="1:4" ht="14.1" customHeight="1" x14ac:dyDescent="0.25">
      <c r="A290" s="303" t="s">
        <v>11698</v>
      </c>
      <c r="B290" s="304" t="s">
        <v>11699</v>
      </c>
      <c r="C290" s="303" t="s">
        <v>11700</v>
      </c>
      <c r="D290" s="304" t="s">
        <v>11701</v>
      </c>
    </row>
    <row r="291" spans="1:4" ht="14.1" customHeight="1" x14ac:dyDescent="0.25">
      <c r="A291" s="303" t="s">
        <v>11702</v>
      </c>
      <c r="B291" s="304" t="s">
        <v>11703</v>
      </c>
      <c r="C291" s="303" t="s">
        <v>11704</v>
      </c>
      <c r="D291" s="304" t="s">
        <v>11705</v>
      </c>
    </row>
    <row r="292" spans="1:4" ht="14.1" customHeight="1" x14ac:dyDescent="0.25">
      <c r="A292" s="303" t="s">
        <v>11702</v>
      </c>
      <c r="B292" s="304" t="s">
        <v>11703</v>
      </c>
      <c r="C292" s="303" t="s">
        <v>10906</v>
      </c>
      <c r="D292" s="304" t="s">
        <v>11706</v>
      </c>
    </row>
    <row r="293" spans="1:4" ht="14.1" customHeight="1" x14ac:dyDescent="0.25">
      <c r="A293" s="303" t="s">
        <v>11702</v>
      </c>
      <c r="B293" s="304" t="s">
        <v>11703</v>
      </c>
      <c r="C293" s="303" t="s">
        <v>11707</v>
      </c>
      <c r="D293" s="304" t="s">
        <v>11708</v>
      </c>
    </row>
    <row r="294" spans="1:4" ht="14.1" customHeight="1" x14ac:dyDescent="0.25">
      <c r="A294" s="303" t="s">
        <v>11702</v>
      </c>
      <c r="B294" s="304" t="s">
        <v>11703</v>
      </c>
      <c r="C294" s="303" t="s">
        <v>11709</v>
      </c>
      <c r="D294" s="304" t="s">
        <v>11710</v>
      </c>
    </row>
    <row r="295" spans="1:4" ht="14.1" customHeight="1" x14ac:dyDescent="0.25">
      <c r="A295" s="303" t="s">
        <v>11702</v>
      </c>
      <c r="B295" s="304" t="s">
        <v>11703</v>
      </c>
      <c r="C295" s="303" t="s">
        <v>11711</v>
      </c>
      <c r="D295" s="304" t="s">
        <v>11712</v>
      </c>
    </row>
    <row r="296" spans="1:4" ht="14.1" customHeight="1" x14ac:dyDescent="0.25">
      <c r="A296" s="303" t="s">
        <v>11702</v>
      </c>
      <c r="B296" s="304" t="s">
        <v>11703</v>
      </c>
      <c r="C296" s="303" t="s">
        <v>11713</v>
      </c>
      <c r="D296" s="304" t="s">
        <v>11714</v>
      </c>
    </row>
    <row r="297" spans="1:4" ht="14.1" customHeight="1" x14ac:dyDescent="0.25">
      <c r="A297" s="303" t="s">
        <v>11702</v>
      </c>
      <c r="B297" s="304" t="s">
        <v>11703</v>
      </c>
      <c r="C297" s="303" t="s">
        <v>11715</v>
      </c>
      <c r="D297" s="304" t="s">
        <v>11716</v>
      </c>
    </row>
    <row r="298" spans="1:4" ht="14.1" customHeight="1" x14ac:dyDescent="0.25">
      <c r="A298" s="303" t="s">
        <v>11702</v>
      </c>
      <c r="B298" s="304" t="s">
        <v>11703</v>
      </c>
      <c r="C298" s="303" t="s">
        <v>11717</v>
      </c>
      <c r="D298" s="304" t="s">
        <v>11718</v>
      </c>
    </row>
    <row r="299" spans="1:4" ht="14.1" customHeight="1" x14ac:dyDescent="0.25">
      <c r="A299" s="303" t="s">
        <v>11702</v>
      </c>
      <c r="B299" s="304" t="s">
        <v>11703</v>
      </c>
      <c r="C299" s="303" t="s">
        <v>11719</v>
      </c>
      <c r="D299" s="304" t="s">
        <v>11718</v>
      </c>
    </row>
    <row r="300" spans="1:4" ht="14.1" customHeight="1" x14ac:dyDescent="0.25">
      <c r="A300" s="303" t="s">
        <v>11702</v>
      </c>
      <c r="B300" s="304" t="s">
        <v>11703</v>
      </c>
      <c r="C300" s="303" t="s">
        <v>11720</v>
      </c>
      <c r="D300" s="304" t="s">
        <v>11721</v>
      </c>
    </row>
    <row r="301" spans="1:4" ht="14.1" customHeight="1" x14ac:dyDescent="0.25">
      <c r="A301" s="303" t="s">
        <v>11722</v>
      </c>
      <c r="B301" s="304" t="s">
        <v>11723</v>
      </c>
      <c r="C301" s="303" t="s">
        <v>11724</v>
      </c>
      <c r="D301" s="304" t="s">
        <v>11725</v>
      </c>
    </row>
    <row r="302" spans="1:4" ht="14.1" customHeight="1" x14ac:dyDescent="0.25">
      <c r="A302" s="303" t="s">
        <v>11722</v>
      </c>
      <c r="B302" s="304" t="s">
        <v>11723</v>
      </c>
      <c r="C302" s="303" t="s">
        <v>11726</v>
      </c>
      <c r="D302" s="304" t="s">
        <v>11727</v>
      </c>
    </row>
    <row r="303" spans="1:4" ht="14.1" customHeight="1" x14ac:dyDescent="0.25">
      <c r="A303" s="303" t="s">
        <v>11722</v>
      </c>
      <c r="B303" s="304" t="s">
        <v>11723</v>
      </c>
      <c r="C303" s="303" t="s">
        <v>11728</v>
      </c>
      <c r="D303" s="304" t="s">
        <v>11729</v>
      </c>
    </row>
    <row r="304" spans="1:4" ht="14.1" customHeight="1" x14ac:dyDescent="0.25">
      <c r="A304" s="303" t="s">
        <v>11722</v>
      </c>
      <c r="B304" s="304" t="s">
        <v>11723</v>
      </c>
      <c r="C304" s="303" t="s">
        <v>11730</v>
      </c>
      <c r="D304" s="304" t="s">
        <v>11731</v>
      </c>
    </row>
    <row r="305" spans="1:4" ht="14.1" customHeight="1" x14ac:dyDescent="0.25">
      <c r="A305" s="303" t="s">
        <v>11722</v>
      </c>
      <c r="B305" s="304" t="s">
        <v>11723</v>
      </c>
      <c r="C305" s="303" t="s">
        <v>11732</v>
      </c>
      <c r="D305" s="304" t="s">
        <v>11733</v>
      </c>
    </row>
    <row r="306" spans="1:4" ht="14.1" customHeight="1" x14ac:dyDescent="0.25">
      <c r="A306" s="303" t="s">
        <v>11722</v>
      </c>
      <c r="B306" s="304" t="s">
        <v>11723</v>
      </c>
      <c r="C306" s="303" t="s">
        <v>11734</v>
      </c>
      <c r="D306" s="304" t="s">
        <v>11735</v>
      </c>
    </row>
    <row r="307" spans="1:4" ht="14.1" customHeight="1" x14ac:dyDescent="0.25">
      <c r="A307" s="303" t="s">
        <v>11736</v>
      </c>
      <c r="B307" s="304" t="s">
        <v>11737</v>
      </c>
      <c r="C307" s="303" t="s">
        <v>11738</v>
      </c>
      <c r="D307" s="304" t="s">
        <v>11739</v>
      </c>
    </row>
    <row r="308" spans="1:4" ht="14.1" customHeight="1" x14ac:dyDescent="0.25">
      <c r="A308" s="303" t="s">
        <v>11740</v>
      </c>
      <c r="B308" s="304" t="s">
        <v>11741</v>
      </c>
      <c r="C308" s="303" t="s">
        <v>11742</v>
      </c>
      <c r="D308" s="304" t="s">
        <v>11743</v>
      </c>
    </row>
    <row r="309" spans="1:4" ht="14.1" customHeight="1" x14ac:dyDescent="0.25">
      <c r="A309" s="303" t="s">
        <v>11740</v>
      </c>
      <c r="B309" s="304" t="s">
        <v>11741</v>
      </c>
      <c r="C309" s="303" t="s">
        <v>11744</v>
      </c>
      <c r="D309" s="304" t="s">
        <v>11745</v>
      </c>
    </row>
    <row r="310" spans="1:4" ht="14.1" customHeight="1" x14ac:dyDescent="0.25">
      <c r="A310" s="303" t="s">
        <v>11740</v>
      </c>
      <c r="B310" s="304" t="s">
        <v>11741</v>
      </c>
      <c r="C310" s="303" t="s">
        <v>11746</v>
      </c>
      <c r="D310" s="304" t="s">
        <v>11747</v>
      </c>
    </row>
    <row r="311" spans="1:4" ht="14.1" customHeight="1" x14ac:dyDescent="0.25">
      <c r="A311" s="303" t="s">
        <v>11748</v>
      </c>
      <c r="B311" s="304" t="s">
        <v>11749</v>
      </c>
      <c r="C311" s="303" t="s">
        <v>11750</v>
      </c>
      <c r="D311" s="304" t="s">
        <v>11751</v>
      </c>
    </row>
    <row r="312" spans="1:4" ht="14.1" customHeight="1" x14ac:dyDescent="0.25">
      <c r="A312" s="303" t="s">
        <v>11752</v>
      </c>
      <c r="B312" s="304" t="s">
        <v>11753</v>
      </c>
      <c r="C312" s="303" t="s">
        <v>11754</v>
      </c>
      <c r="D312" s="304" t="s">
        <v>11755</v>
      </c>
    </row>
    <row r="313" spans="1:4" ht="14.1" customHeight="1" x14ac:dyDescent="0.25">
      <c r="A313" s="305" t="s">
        <v>12038</v>
      </c>
      <c r="B313" s="378" t="s">
        <v>12039</v>
      </c>
      <c r="C313" s="307" t="s">
        <v>13520</v>
      </c>
      <c r="D313" s="306" t="s">
        <v>13521</v>
      </c>
    </row>
    <row r="314" spans="1:4" ht="14.1" customHeight="1" x14ac:dyDescent="0.25">
      <c r="A314" s="303" t="s">
        <v>11760</v>
      </c>
      <c r="B314" s="304" t="s">
        <v>11761</v>
      </c>
      <c r="C314" s="303" t="s">
        <v>11762</v>
      </c>
      <c r="D314" s="304" t="s">
        <v>11763</v>
      </c>
    </row>
    <row r="315" spans="1:4" ht="14.1" customHeight="1" x14ac:dyDescent="0.25">
      <c r="A315" s="303" t="s">
        <v>11764</v>
      </c>
      <c r="B315" s="304" t="s">
        <v>11765</v>
      </c>
      <c r="C315" s="303" t="s">
        <v>11766</v>
      </c>
      <c r="D315" s="304" t="s">
        <v>11767</v>
      </c>
    </row>
    <row r="316" spans="1:4" ht="14.1" customHeight="1" x14ac:dyDescent="0.25">
      <c r="A316" s="303" t="s">
        <v>11768</v>
      </c>
      <c r="B316" s="304" t="s">
        <v>11769</v>
      </c>
      <c r="C316" s="303" t="s">
        <v>11770</v>
      </c>
      <c r="D316" s="304" t="s">
        <v>11771</v>
      </c>
    </row>
    <row r="317" spans="1:4" ht="14.1" customHeight="1" x14ac:dyDescent="0.25">
      <c r="A317" s="303" t="s">
        <v>7538</v>
      </c>
      <c r="B317" s="304" t="s">
        <v>11772</v>
      </c>
      <c r="C317" s="303" t="s">
        <v>11773</v>
      </c>
      <c r="D317" s="304" t="s">
        <v>11774</v>
      </c>
    </row>
    <row r="318" spans="1:4" ht="14.1" customHeight="1" x14ac:dyDescent="0.25">
      <c r="A318" s="303" t="s">
        <v>7538</v>
      </c>
      <c r="B318" s="304" t="s">
        <v>11772</v>
      </c>
      <c r="C318" s="303" t="s">
        <v>11018</v>
      </c>
      <c r="D318" s="304" t="s">
        <v>11775</v>
      </c>
    </row>
    <row r="319" spans="1:4" ht="14.1" customHeight="1" x14ac:dyDescent="0.25">
      <c r="A319" s="303" t="s">
        <v>11776</v>
      </c>
      <c r="B319" s="304" t="s">
        <v>11777</v>
      </c>
      <c r="C319" s="303" t="s">
        <v>11778</v>
      </c>
      <c r="D319" s="304" t="s">
        <v>11779</v>
      </c>
    </row>
    <row r="320" spans="1:4" ht="14.1" customHeight="1" x14ac:dyDescent="0.25">
      <c r="A320" s="303" t="s">
        <v>11776</v>
      </c>
      <c r="B320" s="304" t="s">
        <v>11777</v>
      </c>
      <c r="C320" s="303" t="s">
        <v>11780</v>
      </c>
      <c r="D320" s="304" t="s">
        <v>11781</v>
      </c>
    </row>
    <row r="321" spans="1:4" ht="14.1" customHeight="1" x14ac:dyDescent="0.25">
      <c r="A321" s="303" t="s">
        <v>11776</v>
      </c>
      <c r="B321" s="304" t="s">
        <v>11777</v>
      </c>
      <c r="C321" s="303" t="s">
        <v>11782</v>
      </c>
      <c r="D321" s="304" t="s">
        <v>11783</v>
      </c>
    </row>
    <row r="322" spans="1:4" ht="14.1" customHeight="1" x14ac:dyDescent="0.25">
      <c r="A322" s="303" t="s">
        <v>11776</v>
      </c>
      <c r="B322" s="304" t="s">
        <v>11777</v>
      </c>
      <c r="C322" s="303" t="s">
        <v>11784</v>
      </c>
      <c r="D322" s="304" t="s">
        <v>11785</v>
      </c>
    </row>
    <row r="323" spans="1:4" ht="14.1" customHeight="1" x14ac:dyDescent="0.25">
      <c r="A323" s="303" t="s">
        <v>7466</v>
      </c>
      <c r="B323" s="304" t="s">
        <v>11786</v>
      </c>
      <c r="C323" s="303" t="s">
        <v>11787</v>
      </c>
      <c r="D323" s="304" t="s">
        <v>11788</v>
      </c>
    </row>
    <row r="324" spans="1:4" ht="14.1" customHeight="1" x14ac:dyDescent="0.25">
      <c r="A324" s="303" t="s">
        <v>7466</v>
      </c>
      <c r="B324" s="304" t="s">
        <v>11786</v>
      </c>
      <c r="C324" s="303" t="s">
        <v>11789</v>
      </c>
      <c r="D324" s="304" t="s">
        <v>11790</v>
      </c>
    </row>
    <row r="325" spans="1:4" ht="14.1" customHeight="1" x14ac:dyDescent="0.25">
      <c r="A325" s="303" t="s">
        <v>7466</v>
      </c>
      <c r="B325" s="304" t="s">
        <v>11786</v>
      </c>
      <c r="C325" s="303" t="s">
        <v>11791</v>
      </c>
      <c r="D325" s="304" t="s">
        <v>11792</v>
      </c>
    </row>
    <row r="326" spans="1:4" ht="14.1" customHeight="1" x14ac:dyDescent="0.25">
      <c r="A326" s="303" t="s">
        <v>7466</v>
      </c>
      <c r="B326" s="304" t="s">
        <v>11786</v>
      </c>
      <c r="C326" s="303" t="s">
        <v>11793</v>
      </c>
      <c r="D326" s="304" t="s">
        <v>11794</v>
      </c>
    </row>
    <row r="327" spans="1:4" ht="14.1" customHeight="1" x14ac:dyDescent="0.25">
      <c r="A327" s="305" t="s">
        <v>12038</v>
      </c>
      <c r="B327" s="378" t="s">
        <v>12039</v>
      </c>
      <c r="C327" s="307" t="s">
        <v>13522</v>
      </c>
      <c r="D327" s="306" t="s">
        <v>13523</v>
      </c>
    </row>
    <row r="328" spans="1:4" ht="14.1" customHeight="1" x14ac:dyDescent="0.25">
      <c r="A328" s="303" t="s">
        <v>7466</v>
      </c>
      <c r="B328" s="304" t="s">
        <v>11786</v>
      </c>
      <c r="C328" s="303" t="s">
        <v>11795</v>
      </c>
      <c r="D328" s="304" t="s">
        <v>11796</v>
      </c>
    </row>
    <row r="329" spans="1:4" ht="14.1" customHeight="1" x14ac:dyDescent="0.25">
      <c r="A329" s="303" t="s">
        <v>11797</v>
      </c>
      <c r="B329" s="304" t="s">
        <v>11798</v>
      </c>
      <c r="C329" s="303" t="s">
        <v>11799</v>
      </c>
      <c r="D329" s="304" t="s">
        <v>11800</v>
      </c>
    </row>
    <row r="330" spans="1:4" ht="14.1" customHeight="1" x14ac:dyDescent="0.25">
      <c r="A330" s="303" t="s">
        <v>11797</v>
      </c>
      <c r="B330" s="304" t="s">
        <v>11798</v>
      </c>
      <c r="C330" s="303" t="s">
        <v>11801</v>
      </c>
      <c r="D330" s="304" t="s">
        <v>11802</v>
      </c>
    </row>
    <row r="331" spans="1:4" ht="14.1" customHeight="1" x14ac:dyDescent="0.25">
      <c r="A331" s="303" t="s">
        <v>11797</v>
      </c>
      <c r="B331" s="304" t="s">
        <v>11798</v>
      </c>
      <c r="C331" s="303" t="s">
        <v>11803</v>
      </c>
      <c r="D331" s="304" t="s">
        <v>11804</v>
      </c>
    </row>
    <row r="332" spans="1:4" ht="14.1" customHeight="1" x14ac:dyDescent="0.25">
      <c r="A332" s="303" t="s">
        <v>7468</v>
      </c>
      <c r="B332" s="304" t="s">
        <v>11805</v>
      </c>
      <c r="C332" s="303" t="s">
        <v>11806</v>
      </c>
      <c r="D332" s="304" t="s">
        <v>11807</v>
      </c>
    </row>
    <row r="333" spans="1:4" ht="14.1" customHeight="1" x14ac:dyDescent="0.25">
      <c r="A333" s="303" t="s">
        <v>7468</v>
      </c>
      <c r="B333" s="304" t="s">
        <v>11805</v>
      </c>
      <c r="C333" s="303" t="s">
        <v>11808</v>
      </c>
      <c r="D333" s="304" t="s">
        <v>11809</v>
      </c>
    </row>
    <row r="334" spans="1:4" ht="14.1" customHeight="1" x14ac:dyDescent="0.25">
      <c r="A334" s="305" t="s">
        <v>12038</v>
      </c>
      <c r="B334" s="378" t="s">
        <v>12039</v>
      </c>
      <c r="C334" s="307" t="s">
        <v>13533</v>
      </c>
      <c r="D334" s="306" t="s">
        <v>13534</v>
      </c>
    </row>
    <row r="335" spans="1:4" ht="14.1" customHeight="1" x14ac:dyDescent="0.25">
      <c r="A335" s="303" t="s">
        <v>7468</v>
      </c>
      <c r="B335" s="304" t="s">
        <v>11805</v>
      </c>
      <c r="C335" s="303" t="s">
        <v>11812</v>
      </c>
      <c r="D335" s="304" t="s">
        <v>11813</v>
      </c>
    </row>
    <row r="336" spans="1:4" ht="14.1" customHeight="1" x14ac:dyDescent="0.25">
      <c r="A336" s="303" t="s">
        <v>11814</v>
      </c>
      <c r="B336" s="304" t="s">
        <v>11815</v>
      </c>
      <c r="C336" s="303" t="s">
        <v>11816</v>
      </c>
      <c r="D336" s="304" t="s">
        <v>11817</v>
      </c>
    </row>
    <row r="337" spans="1:4" ht="14.1" customHeight="1" x14ac:dyDescent="0.25">
      <c r="A337" s="303" t="s">
        <v>11814</v>
      </c>
      <c r="B337" s="304" t="s">
        <v>11815</v>
      </c>
      <c r="C337" s="303" t="s">
        <v>11818</v>
      </c>
      <c r="D337" s="304" t="s">
        <v>11819</v>
      </c>
    </row>
    <row r="338" spans="1:4" ht="14.1" customHeight="1" x14ac:dyDescent="0.25">
      <c r="A338" s="303" t="s">
        <v>11814</v>
      </c>
      <c r="B338" s="304" t="s">
        <v>11815</v>
      </c>
      <c r="C338" s="303" t="s">
        <v>11820</v>
      </c>
      <c r="D338" s="304" t="s">
        <v>11821</v>
      </c>
    </row>
    <row r="339" spans="1:4" ht="14.1" customHeight="1" x14ac:dyDescent="0.25">
      <c r="A339" s="303" t="s">
        <v>11822</v>
      </c>
      <c r="B339" s="304" t="s">
        <v>11823</v>
      </c>
      <c r="C339" s="303" t="s">
        <v>11824</v>
      </c>
      <c r="D339" s="304" t="s">
        <v>11825</v>
      </c>
    </row>
    <row r="340" spans="1:4" ht="14.1" customHeight="1" x14ac:dyDescent="0.25">
      <c r="A340" s="303" t="s">
        <v>11826</v>
      </c>
      <c r="B340" s="304" t="s">
        <v>11827</v>
      </c>
      <c r="C340" s="303" t="s">
        <v>11828</v>
      </c>
      <c r="D340" s="304" t="s">
        <v>11829</v>
      </c>
    </row>
    <row r="341" spans="1:4" ht="14.1" customHeight="1" x14ac:dyDescent="0.25">
      <c r="A341" s="303" t="s">
        <v>11830</v>
      </c>
      <c r="B341" s="304" t="s">
        <v>11831</v>
      </c>
      <c r="C341" s="303" t="s">
        <v>11832</v>
      </c>
      <c r="D341" s="304" t="s">
        <v>11833</v>
      </c>
    </row>
    <row r="342" spans="1:4" ht="14.1" customHeight="1" x14ac:dyDescent="0.25">
      <c r="A342" s="303" t="s">
        <v>11834</v>
      </c>
      <c r="B342" s="304" t="s">
        <v>11835</v>
      </c>
      <c r="C342" s="303" t="s">
        <v>11836</v>
      </c>
      <c r="D342" s="304" t="s">
        <v>11837</v>
      </c>
    </row>
    <row r="343" spans="1:4" ht="14.1" customHeight="1" x14ac:dyDescent="0.25">
      <c r="A343" s="303" t="s">
        <v>11834</v>
      </c>
      <c r="B343" s="304" t="s">
        <v>11835</v>
      </c>
      <c r="C343" s="303" t="s">
        <v>11838</v>
      </c>
      <c r="D343" s="304" t="s">
        <v>11839</v>
      </c>
    </row>
    <row r="344" spans="1:4" ht="14.1" customHeight="1" x14ac:dyDescent="0.25">
      <c r="A344" s="303" t="s">
        <v>11840</v>
      </c>
      <c r="B344" s="304" t="s">
        <v>11841</v>
      </c>
      <c r="C344" s="303" t="s">
        <v>11842</v>
      </c>
      <c r="D344" s="304" t="s">
        <v>11843</v>
      </c>
    </row>
    <row r="345" spans="1:4" ht="14.1" customHeight="1" x14ac:dyDescent="0.25">
      <c r="A345" s="303" t="s">
        <v>11840</v>
      </c>
      <c r="B345" s="304" t="s">
        <v>11841</v>
      </c>
      <c r="C345" s="303" t="s">
        <v>11844</v>
      </c>
      <c r="D345" s="304" t="s">
        <v>11845</v>
      </c>
    </row>
    <row r="346" spans="1:4" ht="14.1" customHeight="1" x14ac:dyDescent="0.25">
      <c r="A346" s="303" t="s">
        <v>11840</v>
      </c>
      <c r="B346" s="304" t="s">
        <v>11841</v>
      </c>
      <c r="C346" s="303" t="s">
        <v>11846</v>
      </c>
      <c r="D346" s="304" t="s">
        <v>11847</v>
      </c>
    </row>
    <row r="347" spans="1:4" ht="14.1" customHeight="1" x14ac:dyDescent="0.25">
      <c r="A347" s="303" t="s">
        <v>11840</v>
      </c>
      <c r="B347" s="304" t="s">
        <v>11841</v>
      </c>
      <c r="C347" s="303" t="s">
        <v>11848</v>
      </c>
      <c r="D347" s="304" t="s">
        <v>11849</v>
      </c>
    </row>
    <row r="348" spans="1:4" ht="14.1" customHeight="1" x14ac:dyDescent="0.25">
      <c r="A348" s="303" t="s">
        <v>11840</v>
      </c>
      <c r="B348" s="304" t="s">
        <v>11841</v>
      </c>
      <c r="C348" s="303" t="s">
        <v>11850</v>
      </c>
      <c r="D348" s="304" t="s">
        <v>11851</v>
      </c>
    </row>
    <row r="349" spans="1:4" ht="14.1" customHeight="1" x14ac:dyDescent="0.25">
      <c r="A349" s="303" t="s">
        <v>11852</v>
      </c>
      <c r="B349" s="304" t="s">
        <v>11853</v>
      </c>
      <c r="C349" s="303" t="s">
        <v>11854</v>
      </c>
      <c r="D349" s="304" t="s">
        <v>11855</v>
      </c>
    </row>
    <row r="350" spans="1:4" ht="14.1" customHeight="1" x14ac:dyDescent="0.25">
      <c r="A350" s="303" t="s">
        <v>11852</v>
      </c>
      <c r="B350" s="304" t="s">
        <v>11853</v>
      </c>
      <c r="C350" s="303" t="s">
        <v>11856</v>
      </c>
      <c r="D350" s="304" t="s">
        <v>11857</v>
      </c>
    </row>
    <row r="351" spans="1:4" ht="14.1" customHeight="1" x14ac:dyDescent="0.25">
      <c r="A351" s="303" t="s">
        <v>11852</v>
      </c>
      <c r="B351" s="304" t="s">
        <v>11853</v>
      </c>
      <c r="C351" s="303" t="s">
        <v>11858</v>
      </c>
      <c r="D351" s="304" t="s">
        <v>11859</v>
      </c>
    </row>
    <row r="352" spans="1:4" ht="14.1" customHeight="1" x14ac:dyDescent="0.25">
      <c r="A352" s="303" t="s">
        <v>11860</v>
      </c>
      <c r="B352" s="304" t="s">
        <v>11861</v>
      </c>
      <c r="C352" s="303" t="s">
        <v>11862</v>
      </c>
      <c r="D352" s="304" t="s">
        <v>11863</v>
      </c>
    </row>
    <row r="353" spans="1:4" ht="14.1" customHeight="1" x14ac:dyDescent="0.25">
      <c r="A353" s="303" t="s">
        <v>11864</v>
      </c>
      <c r="B353" s="304" t="s">
        <v>11865</v>
      </c>
      <c r="C353" s="303" t="s">
        <v>11866</v>
      </c>
      <c r="D353" s="304" t="s">
        <v>11867</v>
      </c>
    </row>
    <row r="354" spans="1:4" ht="14.1" customHeight="1" x14ac:dyDescent="0.25">
      <c r="A354" s="303" t="s">
        <v>11868</v>
      </c>
      <c r="B354" s="304" t="s">
        <v>11869</v>
      </c>
      <c r="C354" s="303" t="s">
        <v>11870</v>
      </c>
      <c r="D354" s="304" t="s">
        <v>11871</v>
      </c>
    </row>
    <row r="355" spans="1:4" ht="14.1" customHeight="1" x14ac:dyDescent="0.25">
      <c r="A355" s="303" t="s">
        <v>11872</v>
      </c>
      <c r="B355" s="304" t="s">
        <v>11873</v>
      </c>
      <c r="C355" s="303" t="s">
        <v>11874</v>
      </c>
      <c r="D355" s="304" t="s">
        <v>11875</v>
      </c>
    </row>
    <row r="356" spans="1:4" ht="14.1" customHeight="1" x14ac:dyDescent="0.25">
      <c r="A356" s="303" t="s">
        <v>11872</v>
      </c>
      <c r="B356" s="304" t="s">
        <v>11873</v>
      </c>
      <c r="C356" s="303" t="s">
        <v>11876</v>
      </c>
      <c r="D356" s="304" t="s">
        <v>11877</v>
      </c>
    </row>
    <row r="357" spans="1:4" ht="14.1" customHeight="1" x14ac:dyDescent="0.25">
      <c r="A357" s="303" t="s">
        <v>11872</v>
      </c>
      <c r="B357" s="304" t="s">
        <v>11873</v>
      </c>
      <c r="C357" s="303" t="s">
        <v>11878</v>
      </c>
      <c r="D357" s="304" t="s">
        <v>11879</v>
      </c>
    </row>
    <row r="358" spans="1:4" ht="14.1" customHeight="1" x14ac:dyDescent="0.25">
      <c r="A358" s="303" t="s">
        <v>11880</v>
      </c>
      <c r="B358" s="304" t="s">
        <v>11881</v>
      </c>
      <c r="C358" s="303" t="s">
        <v>11882</v>
      </c>
      <c r="D358" s="304" t="s">
        <v>11883</v>
      </c>
    </row>
    <row r="359" spans="1:4" ht="14.1" customHeight="1" x14ac:dyDescent="0.25">
      <c r="A359" s="303" t="s">
        <v>11884</v>
      </c>
      <c r="B359" s="304" t="s">
        <v>11885</v>
      </c>
      <c r="C359" s="303" t="s">
        <v>11886</v>
      </c>
      <c r="D359" s="304" t="s">
        <v>11887</v>
      </c>
    </row>
    <row r="360" spans="1:4" ht="14.1" customHeight="1" x14ac:dyDescent="0.25">
      <c r="A360" s="303" t="s">
        <v>7566</v>
      </c>
      <c r="B360" s="304" t="s">
        <v>11888</v>
      </c>
      <c r="C360" s="303" t="s">
        <v>11889</v>
      </c>
      <c r="D360" s="304" t="s">
        <v>11890</v>
      </c>
    </row>
    <row r="361" spans="1:4" ht="14.1" customHeight="1" x14ac:dyDescent="0.25">
      <c r="A361" s="303" t="s">
        <v>11891</v>
      </c>
      <c r="B361" s="304" t="s">
        <v>11892</v>
      </c>
      <c r="C361" s="303" t="s">
        <v>11893</v>
      </c>
      <c r="D361" s="304" t="s">
        <v>11894</v>
      </c>
    </row>
    <row r="362" spans="1:4" ht="14.1" customHeight="1" x14ac:dyDescent="0.25">
      <c r="A362" s="303" t="s">
        <v>11891</v>
      </c>
      <c r="B362" s="304" t="s">
        <v>11892</v>
      </c>
      <c r="C362" s="303" t="s">
        <v>11895</v>
      </c>
      <c r="D362" s="304" t="s">
        <v>11896</v>
      </c>
    </row>
    <row r="363" spans="1:4" ht="14.1" customHeight="1" x14ac:dyDescent="0.25">
      <c r="A363" s="303" t="s">
        <v>11891</v>
      </c>
      <c r="B363" s="304" t="s">
        <v>11892</v>
      </c>
      <c r="C363" s="303" t="s">
        <v>11897</v>
      </c>
      <c r="D363" s="304" t="s">
        <v>11898</v>
      </c>
    </row>
    <row r="364" spans="1:4" ht="14.1" customHeight="1" x14ac:dyDescent="0.25">
      <c r="A364" s="303" t="s">
        <v>11891</v>
      </c>
      <c r="B364" s="304" t="s">
        <v>11892</v>
      </c>
      <c r="C364" s="303" t="s">
        <v>11899</v>
      </c>
      <c r="D364" s="304" t="s">
        <v>11900</v>
      </c>
    </row>
    <row r="365" spans="1:4" ht="14.1" customHeight="1" x14ac:dyDescent="0.25">
      <c r="A365" s="303" t="s">
        <v>11891</v>
      </c>
      <c r="B365" s="304" t="s">
        <v>11892</v>
      </c>
      <c r="C365" s="303" t="s">
        <v>11901</v>
      </c>
      <c r="D365" s="304" t="s">
        <v>11256</v>
      </c>
    </row>
    <row r="366" spans="1:4" ht="14.1" customHeight="1" x14ac:dyDescent="0.25">
      <c r="A366" s="303" t="s">
        <v>11891</v>
      </c>
      <c r="B366" s="304" t="s">
        <v>11892</v>
      </c>
      <c r="C366" s="303" t="s">
        <v>11902</v>
      </c>
      <c r="D366" s="304" t="s">
        <v>11232</v>
      </c>
    </row>
    <row r="367" spans="1:4" ht="14.1" customHeight="1" x14ac:dyDescent="0.25">
      <c r="A367" s="303" t="s">
        <v>11891</v>
      </c>
      <c r="B367" s="304" t="s">
        <v>11892</v>
      </c>
      <c r="C367" s="303" t="s">
        <v>11903</v>
      </c>
      <c r="D367" s="304" t="s">
        <v>11904</v>
      </c>
    </row>
    <row r="368" spans="1:4" ht="14.1" customHeight="1" x14ac:dyDescent="0.25">
      <c r="A368" s="303" t="s">
        <v>11891</v>
      </c>
      <c r="B368" s="304" t="s">
        <v>11892</v>
      </c>
      <c r="C368" s="303" t="s">
        <v>11905</v>
      </c>
      <c r="D368" s="304" t="s">
        <v>11906</v>
      </c>
    </row>
    <row r="369" spans="1:4" ht="14.1" customHeight="1" x14ac:dyDescent="0.25">
      <c r="A369" s="303" t="s">
        <v>11891</v>
      </c>
      <c r="B369" s="304" t="s">
        <v>11892</v>
      </c>
      <c r="C369" s="303" t="s">
        <v>11907</v>
      </c>
      <c r="D369" s="304" t="s">
        <v>11908</v>
      </c>
    </row>
    <row r="370" spans="1:4" ht="14.1" customHeight="1" x14ac:dyDescent="0.25">
      <c r="A370" s="303" t="s">
        <v>11891</v>
      </c>
      <c r="B370" s="304" t="s">
        <v>11892</v>
      </c>
      <c r="C370" s="303" t="s">
        <v>11909</v>
      </c>
      <c r="D370" s="304" t="s">
        <v>11910</v>
      </c>
    </row>
    <row r="371" spans="1:4" ht="14.1" customHeight="1" x14ac:dyDescent="0.25">
      <c r="A371" s="303" t="s">
        <v>11891</v>
      </c>
      <c r="B371" s="304" t="s">
        <v>11892</v>
      </c>
      <c r="C371" s="303" t="s">
        <v>11911</v>
      </c>
      <c r="D371" s="304" t="s">
        <v>11912</v>
      </c>
    </row>
    <row r="372" spans="1:4" ht="14.1" customHeight="1" x14ac:dyDescent="0.25">
      <c r="A372" s="303" t="s">
        <v>11891</v>
      </c>
      <c r="B372" s="304" t="s">
        <v>11892</v>
      </c>
      <c r="C372" s="303" t="s">
        <v>11913</v>
      </c>
      <c r="D372" s="304" t="s">
        <v>11914</v>
      </c>
    </row>
    <row r="373" spans="1:4" ht="14.1" customHeight="1" x14ac:dyDescent="0.25">
      <c r="A373" s="303" t="s">
        <v>11891</v>
      </c>
      <c r="B373" s="304" t="s">
        <v>11892</v>
      </c>
      <c r="C373" s="303" t="s">
        <v>11915</v>
      </c>
      <c r="D373" s="304" t="s">
        <v>11916</v>
      </c>
    </row>
    <row r="374" spans="1:4" ht="14.1" customHeight="1" x14ac:dyDescent="0.25">
      <c r="A374" s="303" t="s">
        <v>11891</v>
      </c>
      <c r="B374" s="304" t="s">
        <v>11892</v>
      </c>
      <c r="C374" s="303" t="s">
        <v>11917</v>
      </c>
      <c r="D374" s="304" t="s">
        <v>11918</v>
      </c>
    </row>
    <row r="375" spans="1:4" ht="14.1" customHeight="1" x14ac:dyDescent="0.25">
      <c r="A375" s="303" t="s">
        <v>11891</v>
      </c>
      <c r="B375" s="304" t="s">
        <v>11892</v>
      </c>
      <c r="C375" s="303" t="s">
        <v>11919</v>
      </c>
      <c r="D375" s="304" t="s">
        <v>11920</v>
      </c>
    </row>
    <row r="376" spans="1:4" ht="14.1" customHeight="1" x14ac:dyDescent="0.25">
      <c r="A376" s="303" t="s">
        <v>11891</v>
      </c>
      <c r="B376" s="304" t="s">
        <v>11892</v>
      </c>
      <c r="C376" s="303" t="s">
        <v>11921</v>
      </c>
      <c r="D376" s="304" t="s">
        <v>11922</v>
      </c>
    </row>
    <row r="377" spans="1:4" ht="14.1" customHeight="1" x14ac:dyDescent="0.25">
      <c r="A377" s="303" t="s">
        <v>11891</v>
      </c>
      <c r="B377" s="304" t="s">
        <v>11892</v>
      </c>
      <c r="C377" s="303" t="s">
        <v>11923</v>
      </c>
      <c r="D377" s="304" t="s">
        <v>11924</v>
      </c>
    </row>
    <row r="378" spans="1:4" ht="14.1" customHeight="1" x14ac:dyDescent="0.25">
      <c r="A378" s="303" t="s">
        <v>11891</v>
      </c>
      <c r="B378" s="304" t="s">
        <v>11892</v>
      </c>
      <c r="C378" s="303" t="s">
        <v>11925</v>
      </c>
      <c r="D378" s="304" t="s">
        <v>11926</v>
      </c>
    </row>
    <row r="379" spans="1:4" ht="14.1" customHeight="1" x14ac:dyDescent="0.25">
      <c r="A379" s="303" t="s">
        <v>11891</v>
      </c>
      <c r="B379" s="304" t="s">
        <v>11892</v>
      </c>
      <c r="C379" s="303" t="s">
        <v>11927</v>
      </c>
      <c r="D379" s="304" t="s">
        <v>11928</v>
      </c>
    </row>
    <row r="380" spans="1:4" ht="14.1" customHeight="1" x14ac:dyDescent="0.25">
      <c r="A380" s="303" t="s">
        <v>11891</v>
      </c>
      <c r="B380" s="304" t="s">
        <v>11892</v>
      </c>
      <c r="C380" s="303" t="s">
        <v>11929</v>
      </c>
      <c r="D380" s="304" t="s">
        <v>11930</v>
      </c>
    </row>
    <row r="381" spans="1:4" ht="14.1" customHeight="1" x14ac:dyDescent="0.25">
      <c r="A381" s="303" t="s">
        <v>11891</v>
      </c>
      <c r="B381" s="304" t="s">
        <v>11892</v>
      </c>
      <c r="C381" s="303" t="s">
        <v>11931</v>
      </c>
      <c r="D381" s="304" t="s">
        <v>11932</v>
      </c>
    </row>
    <row r="382" spans="1:4" ht="14.1" customHeight="1" x14ac:dyDescent="0.25">
      <c r="A382" s="303" t="s">
        <v>11891</v>
      </c>
      <c r="B382" s="304" t="s">
        <v>11892</v>
      </c>
      <c r="C382" s="303" t="s">
        <v>11937</v>
      </c>
      <c r="D382" s="304" t="s">
        <v>11938</v>
      </c>
    </row>
    <row r="383" spans="1:4" ht="14.1" customHeight="1" x14ac:dyDescent="0.25">
      <c r="A383" s="303" t="s">
        <v>11891</v>
      </c>
      <c r="B383" s="304" t="s">
        <v>11892</v>
      </c>
      <c r="C383" s="303" t="s">
        <v>11933</v>
      </c>
      <c r="D383" s="304" t="s">
        <v>11934</v>
      </c>
    </row>
    <row r="384" spans="1:4" ht="14.1" customHeight="1" x14ac:dyDescent="0.25">
      <c r="A384" s="303" t="s">
        <v>11891</v>
      </c>
      <c r="B384" s="304" t="s">
        <v>11892</v>
      </c>
      <c r="C384" s="303" t="s">
        <v>11935</v>
      </c>
      <c r="D384" s="304" t="s">
        <v>11936</v>
      </c>
    </row>
    <row r="385" spans="1:4" ht="14.1" customHeight="1" x14ac:dyDescent="0.25">
      <c r="A385" s="305" t="s">
        <v>12219</v>
      </c>
      <c r="B385" s="378" t="s">
        <v>12220</v>
      </c>
      <c r="C385" s="307" t="s">
        <v>13518</v>
      </c>
      <c r="D385" s="306" t="s">
        <v>13519</v>
      </c>
    </row>
    <row r="386" spans="1:4" ht="14.1" customHeight="1" x14ac:dyDescent="0.25">
      <c r="A386" s="305" t="s">
        <v>12440</v>
      </c>
      <c r="B386" s="306" t="s">
        <v>12441</v>
      </c>
      <c r="C386" s="307" t="s">
        <v>12442</v>
      </c>
      <c r="D386" s="306" t="s">
        <v>12443</v>
      </c>
    </row>
    <row r="387" spans="1:4" ht="14.1" customHeight="1" x14ac:dyDescent="0.25">
      <c r="A387" s="303" t="s">
        <v>11891</v>
      </c>
      <c r="B387" s="304" t="s">
        <v>11892</v>
      </c>
      <c r="C387" s="303" t="s">
        <v>11939</v>
      </c>
      <c r="D387" s="304" t="s">
        <v>11940</v>
      </c>
    </row>
    <row r="388" spans="1:4" ht="14.1" customHeight="1" x14ac:dyDescent="0.25">
      <c r="A388" s="303" t="s">
        <v>11941</v>
      </c>
      <c r="B388" s="304" t="s">
        <v>11942</v>
      </c>
      <c r="C388" s="303" t="s">
        <v>11943</v>
      </c>
      <c r="D388" s="304" t="s">
        <v>11944</v>
      </c>
    </row>
    <row r="389" spans="1:4" ht="14.1" customHeight="1" x14ac:dyDescent="0.25">
      <c r="A389" s="303" t="s">
        <v>11945</v>
      </c>
      <c r="B389" s="304" t="s">
        <v>11946</v>
      </c>
      <c r="C389" s="303" t="s">
        <v>11947</v>
      </c>
      <c r="D389" s="304" t="s">
        <v>11948</v>
      </c>
    </row>
    <row r="390" spans="1:4" ht="14.1" customHeight="1" x14ac:dyDescent="0.25">
      <c r="A390" s="303" t="s">
        <v>11949</v>
      </c>
      <c r="B390" s="304" t="s">
        <v>11950</v>
      </c>
      <c r="C390" s="303" t="s">
        <v>11951</v>
      </c>
      <c r="D390" s="304" t="s">
        <v>11952</v>
      </c>
    </row>
    <row r="391" spans="1:4" ht="14.1" customHeight="1" x14ac:dyDescent="0.25">
      <c r="A391" s="303" t="s">
        <v>11949</v>
      </c>
      <c r="B391" s="304" t="s">
        <v>11950</v>
      </c>
      <c r="C391" s="303" t="s">
        <v>11953</v>
      </c>
      <c r="D391" s="304" t="s">
        <v>11954</v>
      </c>
    </row>
    <row r="392" spans="1:4" ht="14.1" customHeight="1" x14ac:dyDescent="0.25">
      <c r="A392" s="303" t="s">
        <v>11949</v>
      </c>
      <c r="B392" s="304" t="s">
        <v>11950</v>
      </c>
      <c r="C392" s="303" t="s">
        <v>11955</v>
      </c>
      <c r="D392" s="304" t="s">
        <v>11956</v>
      </c>
    </row>
    <row r="393" spans="1:4" ht="14.1" customHeight="1" x14ac:dyDescent="0.25">
      <c r="A393" s="303" t="s">
        <v>11957</v>
      </c>
      <c r="B393" s="304" t="s">
        <v>11958</v>
      </c>
      <c r="C393" s="303" t="s">
        <v>11959</v>
      </c>
      <c r="D393" s="304" t="s">
        <v>11960</v>
      </c>
    </row>
    <row r="394" spans="1:4" ht="14.1" customHeight="1" x14ac:dyDescent="0.25">
      <c r="A394" s="303" t="s">
        <v>11957</v>
      </c>
      <c r="B394" s="304" t="s">
        <v>11958</v>
      </c>
      <c r="C394" s="303" t="s">
        <v>11961</v>
      </c>
      <c r="D394" s="304" t="s">
        <v>11962</v>
      </c>
    </row>
    <row r="395" spans="1:4" ht="14.1" customHeight="1" x14ac:dyDescent="0.25">
      <c r="A395" s="303" t="s">
        <v>11957</v>
      </c>
      <c r="B395" s="304" t="s">
        <v>11958</v>
      </c>
      <c r="C395" s="303" t="s">
        <v>11963</v>
      </c>
      <c r="D395" s="304" t="s">
        <v>11964</v>
      </c>
    </row>
    <row r="396" spans="1:4" ht="14.1" customHeight="1" x14ac:dyDescent="0.25">
      <c r="A396" s="303" t="s">
        <v>11965</v>
      </c>
      <c r="B396" s="304" t="s">
        <v>11966</v>
      </c>
      <c r="C396" s="303" t="s">
        <v>11967</v>
      </c>
      <c r="D396" s="304" t="s">
        <v>11968</v>
      </c>
    </row>
    <row r="397" spans="1:4" ht="14.1" customHeight="1" x14ac:dyDescent="0.25">
      <c r="A397" s="303" t="s">
        <v>11965</v>
      </c>
      <c r="B397" s="304" t="s">
        <v>11966</v>
      </c>
      <c r="C397" s="303" t="s">
        <v>11969</v>
      </c>
      <c r="D397" s="304" t="s">
        <v>11970</v>
      </c>
    </row>
    <row r="398" spans="1:4" ht="14.1" customHeight="1" x14ac:dyDescent="0.25">
      <c r="A398" s="303" t="s">
        <v>11965</v>
      </c>
      <c r="B398" s="304" t="s">
        <v>11966</v>
      </c>
      <c r="C398" s="303" t="s">
        <v>11971</v>
      </c>
      <c r="D398" s="304" t="s">
        <v>11972</v>
      </c>
    </row>
    <row r="399" spans="1:4" ht="14.1" customHeight="1" x14ac:dyDescent="0.25">
      <c r="A399" s="303" t="s">
        <v>11965</v>
      </c>
      <c r="B399" s="304" t="s">
        <v>11966</v>
      </c>
      <c r="C399" s="303" t="s">
        <v>11973</v>
      </c>
      <c r="D399" s="304" t="s">
        <v>11974</v>
      </c>
    </row>
    <row r="400" spans="1:4" ht="14.1" customHeight="1" x14ac:dyDescent="0.25">
      <c r="A400" s="303" t="s">
        <v>11965</v>
      </c>
      <c r="B400" s="304" t="s">
        <v>11966</v>
      </c>
      <c r="C400" s="303" t="s">
        <v>11975</v>
      </c>
      <c r="D400" s="304" t="s">
        <v>11976</v>
      </c>
    </row>
    <row r="401" spans="1:4" ht="14.1" customHeight="1" x14ac:dyDescent="0.25">
      <c r="A401" s="303" t="s">
        <v>11977</v>
      </c>
      <c r="B401" s="304" t="s">
        <v>11978</v>
      </c>
      <c r="C401" s="303" t="s">
        <v>11979</v>
      </c>
      <c r="D401" s="304" t="s">
        <v>11980</v>
      </c>
    </row>
    <row r="402" spans="1:4" ht="14.1" customHeight="1" x14ac:dyDescent="0.25">
      <c r="A402" s="303" t="s">
        <v>11977</v>
      </c>
      <c r="B402" s="304" t="s">
        <v>11978</v>
      </c>
      <c r="C402" s="303" t="s">
        <v>11981</v>
      </c>
      <c r="D402" s="304" t="s">
        <v>11982</v>
      </c>
    </row>
    <row r="403" spans="1:4" ht="14.1" customHeight="1" x14ac:dyDescent="0.25">
      <c r="A403" s="303" t="s">
        <v>11983</v>
      </c>
      <c r="B403" s="304" t="s">
        <v>11984</v>
      </c>
      <c r="C403" s="303" t="s">
        <v>11985</v>
      </c>
      <c r="D403" s="304" t="s">
        <v>11986</v>
      </c>
    </row>
    <row r="404" spans="1:4" ht="14.1" customHeight="1" x14ac:dyDescent="0.25">
      <c r="A404" s="303" t="s">
        <v>11987</v>
      </c>
      <c r="B404" s="304" t="s">
        <v>11988</v>
      </c>
      <c r="C404" s="303" t="s">
        <v>11989</v>
      </c>
      <c r="D404" s="304" t="s">
        <v>11990</v>
      </c>
    </row>
    <row r="405" spans="1:4" ht="14.1" customHeight="1" x14ac:dyDescent="0.25">
      <c r="A405" s="303" t="s">
        <v>11987</v>
      </c>
      <c r="B405" s="304" t="s">
        <v>11988</v>
      </c>
      <c r="C405" s="303" t="s">
        <v>11991</v>
      </c>
      <c r="D405" s="304" t="s">
        <v>11992</v>
      </c>
    </row>
    <row r="406" spans="1:4" ht="14.1" customHeight="1" x14ac:dyDescent="0.25">
      <c r="A406" s="303" t="s">
        <v>11987</v>
      </c>
      <c r="B406" s="304" t="s">
        <v>11988</v>
      </c>
      <c r="C406" s="303" t="s">
        <v>11993</v>
      </c>
      <c r="D406" s="304" t="s">
        <v>11994</v>
      </c>
    </row>
    <row r="407" spans="1:4" ht="14.1" customHeight="1" x14ac:dyDescent="0.25">
      <c r="A407" s="303" t="s">
        <v>7493</v>
      </c>
      <c r="B407" s="304" t="s">
        <v>11995</v>
      </c>
      <c r="C407" s="303" t="s">
        <v>10982</v>
      </c>
      <c r="D407" s="304" t="s">
        <v>11996</v>
      </c>
    </row>
    <row r="408" spans="1:4" ht="14.1" customHeight="1" x14ac:dyDescent="0.25">
      <c r="A408" s="303" t="s">
        <v>7493</v>
      </c>
      <c r="B408" s="304" t="s">
        <v>11995</v>
      </c>
      <c r="C408" s="303" t="s">
        <v>11997</v>
      </c>
      <c r="D408" s="304" t="s">
        <v>11998</v>
      </c>
    </row>
    <row r="409" spans="1:4" ht="14.1" customHeight="1" x14ac:dyDescent="0.25">
      <c r="A409" s="303" t="s">
        <v>7493</v>
      </c>
      <c r="B409" s="304" t="s">
        <v>11995</v>
      </c>
      <c r="C409" s="303" t="s">
        <v>11999</v>
      </c>
      <c r="D409" s="304" t="s">
        <v>12000</v>
      </c>
    </row>
    <row r="410" spans="1:4" ht="14.1" customHeight="1" x14ac:dyDescent="0.25">
      <c r="A410" s="303" t="s">
        <v>7493</v>
      </c>
      <c r="B410" s="304" t="s">
        <v>11995</v>
      </c>
      <c r="C410" s="303" t="s">
        <v>12001</v>
      </c>
      <c r="D410" s="304" t="s">
        <v>11246</v>
      </c>
    </row>
    <row r="411" spans="1:4" ht="14.1" customHeight="1" x14ac:dyDescent="0.25">
      <c r="A411" s="303" t="s">
        <v>7493</v>
      </c>
      <c r="B411" s="304" t="s">
        <v>11995</v>
      </c>
      <c r="C411" s="303" t="s">
        <v>12002</v>
      </c>
      <c r="D411" s="304" t="s">
        <v>12003</v>
      </c>
    </row>
    <row r="412" spans="1:4" ht="14.1" customHeight="1" x14ac:dyDescent="0.25">
      <c r="A412" s="303" t="s">
        <v>7493</v>
      </c>
      <c r="B412" s="304" t="s">
        <v>11995</v>
      </c>
      <c r="C412" s="303" t="s">
        <v>12004</v>
      </c>
      <c r="D412" s="304" t="s">
        <v>12005</v>
      </c>
    </row>
    <row r="413" spans="1:4" ht="14.1" customHeight="1" x14ac:dyDescent="0.25">
      <c r="A413" s="303" t="s">
        <v>7493</v>
      </c>
      <c r="B413" s="304" t="s">
        <v>11995</v>
      </c>
      <c r="C413" s="303" t="s">
        <v>12006</v>
      </c>
      <c r="D413" s="304" t="s">
        <v>12007</v>
      </c>
    </row>
    <row r="414" spans="1:4" ht="14.1" customHeight="1" x14ac:dyDescent="0.25">
      <c r="A414" s="303" t="s">
        <v>7493</v>
      </c>
      <c r="B414" s="304" t="s">
        <v>11995</v>
      </c>
      <c r="C414" s="303" t="s">
        <v>12008</v>
      </c>
      <c r="D414" s="304" t="s">
        <v>12009</v>
      </c>
    </row>
    <row r="415" spans="1:4" ht="14.1" customHeight="1" x14ac:dyDescent="0.25">
      <c r="A415" s="303" t="s">
        <v>7493</v>
      </c>
      <c r="B415" s="304" t="s">
        <v>11995</v>
      </c>
      <c r="C415" s="303" t="s">
        <v>12010</v>
      </c>
      <c r="D415" s="304" t="s">
        <v>12011</v>
      </c>
    </row>
    <row r="416" spans="1:4" ht="14.1" customHeight="1" x14ac:dyDescent="0.25">
      <c r="A416" s="303" t="s">
        <v>7493</v>
      </c>
      <c r="B416" s="304" t="s">
        <v>11995</v>
      </c>
      <c r="C416" s="303" t="s">
        <v>12012</v>
      </c>
      <c r="D416" s="304" t="s">
        <v>12013</v>
      </c>
    </row>
    <row r="417" spans="1:4" ht="14.1" customHeight="1" x14ac:dyDescent="0.25">
      <c r="A417" s="303" t="s">
        <v>7493</v>
      </c>
      <c r="B417" s="304" t="s">
        <v>11995</v>
      </c>
      <c r="C417" s="303" t="s">
        <v>12014</v>
      </c>
      <c r="D417" s="304" t="s">
        <v>12015</v>
      </c>
    </row>
    <row r="418" spans="1:4" ht="14.1" customHeight="1" x14ac:dyDescent="0.25">
      <c r="A418" s="303" t="s">
        <v>7493</v>
      </c>
      <c r="B418" s="304" t="s">
        <v>11995</v>
      </c>
      <c r="C418" s="303" t="s">
        <v>12016</v>
      </c>
      <c r="D418" s="304" t="s">
        <v>12017</v>
      </c>
    </row>
    <row r="419" spans="1:4" ht="14.1" customHeight="1" x14ac:dyDescent="0.25">
      <c r="A419" s="303" t="s">
        <v>7493</v>
      </c>
      <c r="B419" s="304" t="s">
        <v>11995</v>
      </c>
      <c r="C419" s="303" t="s">
        <v>12018</v>
      </c>
      <c r="D419" s="304" t="s">
        <v>12019</v>
      </c>
    </row>
    <row r="420" spans="1:4" ht="14.1" customHeight="1" x14ac:dyDescent="0.25">
      <c r="A420" s="303" t="s">
        <v>7493</v>
      </c>
      <c r="B420" s="304" t="s">
        <v>11995</v>
      </c>
      <c r="C420" s="303" t="s">
        <v>12020</v>
      </c>
      <c r="D420" s="304" t="s">
        <v>12021</v>
      </c>
    </row>
    <row r="421" spans="1:4" ht="14.1" customHeight="1" x14ac:dyDescent="0.25">
      <c r="A421" s="303" t="s">
        <v>806</v>
      </c>
      <c r="B421" s="304" t="s">
        <v>12022</v>
      </c>
      <c r="C421" s="303" t="s">
        <v>12023</v>
      </c>
      <c r="D421" s="304" t="s">
        <v>12024</v>
      </c>
    </row>
    <row r="422" spans="1:4" ht="14.1" customHeight="1" x14ac:dyDescent="0.25">
      <c r="A422" s="303" t="s">
        <v>806</v>
      </c>
      <c r="B422" s="304" t="s">
        <v>12022</v>
      </c>
      <c r="C422" s="303" t="s">
        <v>11002</v>
      </c>
      <c r="D422" s="304" t="s">
        <v>12025</v>
      </c>
    </row>
    <row r="423" spans="1:4" ht="14.1" customHeight="1" x14ac:dyDescent="0.25">
      <c r="A423" s="303" t="s">
        <v>806</v>
      </c>
      <c r="B423" s="304" t="s">
        <v>12022</v>
      </c>
      <c r="C423" s="303" t="s">
        <v>12026</v>
      </c>
      <c r="D423" s="304" t="s">
        <v>12027</v>
      </c>
    </row>
    <row r="424" spans="1:4" ht="14.1" customHeight="1" x14ac:dyDescent="0.25">
      <c r="A424" s="303" t="s">
        <v>806</v>
      </c>
      <c r="B424" s="304" t="s">
        <v>12022</v>
      </c>
      <c r="C424" s="303" t="s">
        <v>12028</v>
      </c>
      <c r="D424" s="304" t="s">
        <v>11268</v>
      </c>
    </row>
    <row r="425" spans="1:4" ht="14.1" customHeight="1" x14ac:dyDescent="0.25">
      <c r="A425" s="303" t="s">
        <v>806</v>
      </c>
      <c r="B425" s="304" t="s">
        <v>12022</v>
      </c>
      <c r="C425" s="303" t="s">
        <v>12029</v>
      </c>
      <c r="D425" s="304" t="s">
        <v>11246</v>
      </c>
    </row>
    <row r="426" spans="1:4" ht="14.1" customHeight="1" x14ac:dyDescent="0.25">
      <c r="A426" s="303" t="s">
        <v>806</v>
      </c>
      <c r="B426" s="304" t="s">
        <v>12022</v>
      </c>
      <c r="C426" s="303" t="s">
        <v>12030</v>
      </c>
      <c r="D426" s="304" t="s">
        <v>12031</v>
      </c>
    </row>
    <row r="427" spans="1:4" ht="14.1" customHeight="1" x14ac:dyDescent="0.25">
      <c r="A427" s="303" t="s">
        <v>806</v>
      </c>
      <c r="B427" s="304" t="s">
        <v>12022</v>
      </c>
      <c r="C427" s="303" t="s">
        <v>12032</v>
      </c>
      <c r="D427" s="304" t="s">
        <v>12033</v>
      </c>
    </row>
    <row r="428" spans="1:4" ht="14.1" customHeight="1" x14ac:dyDescent="0.25">
      <c r="A428" s="303" t="s">
        <v>806</v>
      </c>
      <c r="B428" s="304" t="s">
        <v>12022</v>
      </c>
      <c r="C428" s="303" t="s">
        <v>12034</v>
      </c>
      <c r="D428" s="304" t="s">
        <v>12035</v>
      </c>
    </row>
    <row r="429" spans="1:4" ht="14.1" customHeight="1" x14ac:dyDescent="0.25">
      <c r="A429" s="303" t="s">
        <v>806</v>
      </c>
      <c r="B429" s="304" t="s">
        <v>12022</v>
      </c>
      <c r="C429" s="303" t="s">
        <v>12036</v>
      </c>
      <c r="D429" s="304" t="s">
        <v>12037</v>
      </c>
    </row>
    <row r="430" spans="1:4" ht="14.1" customHeight="1" x14ac:dyDescent="0.25">
      <c r="A430" s="303" t="s">
        <v>12038</v>
      </c>
      <c r="B430" s="304" t="s">
        <v>12039</v>
      </c>
      <c r="C430" s="303" t="s">
        <v>12040</v>
      </c>
      <c r="D430" s="304" t="s">
        <v>12041</v>
      </c>
    </row>
    <row r="431" spans="1:4" ht="14.1" customHeight="1" x14ac:dyDescent="0.25">
      <c r="A431" s="303" t="s">
        <v>12038</v>
      </c>
      <c r="B431" s="304" t="s">
        <v>12039</v>
      </c>
      <c r="C431" s="303" t="s">
        <v>12042</v>
      </c>
      <c r="D431" s="304" t="s">
        <v>12043</v>
      </c>
    </row>
    <row r="432" spans="1:4" ht="14.1" customHeight="1" x14ac:dyDescent="0.25">
      <c r="A432" s="303" t="s">
        <v>12038</v>
      </c>
      <c r="B432" s="304" t="s">
        <v>12039</v>
      </c>
      <c r="C432" s="303" t="s">
        <v>12044</v>
      </c>
      <c r="D432" s="304" t="s">
        <v>12045</v>
      </c>
    </row>
    <row r="433" spans="1:4" ht="14.1" customHeight="1" x14ac:dyDescent="0.25">
      <c r="A433" s="303" t="s">
        <v>12038</v>
      </c>
      <c r="B433" s="304" t="s">
        <v>12039</v>
      </c>
      <c r="C433" s="303" t="s">
        <v>12046</v>
      </c>
      <c r="D433" s="304" t="s">
        <v>12047</v>
      </c>
    </row>
    <row r="434" spans="1:4" ht="14.1" customHeight="1" x14ac:dyDescent="0.25">
      <c r="A434" s="303" t="s">
        <v>12038</v>
      </c>
      <c r="B434" s="304" t="s">
        <v>12039</v>
      </c>
      <c r="C434" s="303" t="s">
        <v>12048</v>
      </c>
      <c r="D434" s="304" t="s">
        <v>12049</v>
      </c>
    </row>
    <row r="435" spans="1:4" ht="14.1" customHeight="1" x14ac:dyDescent="0.25">
      <c r="A435" s="303" t="s">
        <v>12038</v>
      </c>
      <c r="B435" s="304" t="s">
        <v>12039</v>
      </c>
      <c r="C435" s="303" t="s">
        <v>12050</v>
      </c>
      <c r="D435" s="304" t="s">
        <v>12051</v>
      </c>
    </row>
    <row r="436" spans="1:4" ht="14.1" customHeight="1" x14ac:dyDescent="0.25">
      <c r="A436" s="303" t="s">
        <v>12038</v>
      </c>
      <c r="B436" s="304" t="s">
        <v>12039</v>
      </c>
      <c r="C436" s="303" t="s">
        <v>12052</v>
      </c>
      <c r="D436" s="304" t="s">
        <v>12053</v>
      </c>
    </row>
    <row r="437" spans="1:4" ht="14.1" customHeight="1" x14ac:dyDescent="0.25">
      <c r="A437" s="303" t="s">
        <v>12038</v>
      </c>
      <c r="B437" s="304" t="s">
        <v>12039</v>
      </c>
      <c r="C437" s="303" t="s">
        <v>12054</v>
      </c>
      <c r="D437" s="304" t="s">
        <v>12055</v>
      </c>
    </row>
    <row r="438" spans="1:4" ht="14.1" customHeight="1" x14ac:dyDescent="0.25">
      <c r="A438" s="303" t="s">
        <v>12038</v>
      </c>
      <c r="B438" s="304" t="s">
        <v>12039</v>
      </c>
      <c r="C438" s="303" t="s">
        <v>12056</v>
      </c>
      <c r="D438" s="304" t="s">
        <v>12057</v>
      </c>
    </row>
    <row r="439" spans="1:4" ht="14.1" customHeight="1" x14ac:dyDescent="0.25">
      <c r="A439" s="303" t="s">
        <v>12038</v>
      </c>
      <c r="B439" s="304" t="s">
        <v>12039</v>
      </c>
      <c r="C439" s="303" t="s">
        <v>12058</v>
      </c>
      <c r="D439" s="304" t="s">
        <v>12059</v>
      </c>
    </row>
    <row r="440" spans="1:4" ht="14.1" customHeight="1" x14ac:dyDescent="0.25">
      <c r="A440" s="303" t="s">
        <v>12038</v>
      </c>
      <c r="B440" s="304" t="s">
        <v>12039</v>
      </c>
      <c r="C440" s="303" t="s">
        <v>12060</v>
      </c>
      <c r="D440" s="304" t="s">
        <v>12061</v>
      </c>
    </row>
    <row r="441" spans="1:4" ht="14.1" customHeight="1" x14ac:dyDescent="0.25">
      <c r="A441" s="303" t="s">
        <v>12038</v>
      </c>
      <c r="B441" s="304" t="s">
        <v>12039</v>
      </c>
      <c r="C441" s="303" t="s">
        <v>12062</v>
      </c>
      <c r="D441" s="304" t="s">
        <v>12063</v>
      </c>
    </row>
    <row r="442" spans="1:4" ht="14.1" customHeight="1" x14ac:dyDescent="0.25">
      <c r="A442" s="303" t="s">
        <v>12038</v>
      </c>
      <c r="B442" s="304" t="s">
        <v>12039</v>
      </c>
      <c r="C442" s="303" t="s">
        <v>12064</v>
      </c>
      <c r="D442" s="304" t="s">
        <v>12065</v>
      </c>
    </row>
    <row r="443" spans="1:4" ht="14.1" customHeight="1" x14ac:dyDescent="0.25">
      <c r="A443" s="303" t="s">
        <v>12038</v>
      </c>
      <c r="B443" s="304" t="s">
        <v>12039</v>
      </c>
      <c r="C443" s="303" t="s">
        <v>12066</v>
      </c>
      <c r="D443" s="304" t="s">
        <v>12067</v>
      </c>
    </row>
    <row r="444" spans="1:4" ht="14.1" customHeight="1" x14ac:dyDescent="0.25">
      <c r="A444" s="303" t="s">
        <v>12038</v>
      </c>
      <c r="B444" s="304" t="s">
        <v>12039</v>
      </c>
      <c r="C444" s="303" t="s">
        <v>12068</v>
      </c>
      <c r="D444" s="304" t="s">
        <v>12069</v>
      </c>
    </row>
    <row r="445" spans="1:4" ht="14.1" customHeight="1" x14ac:dyDescent="0.25">
      <c r="A445" s="303" t="s">
        <v>12038</v>
      </c>
      <c r="B445" s="304" t="s">
        <v>12039</v>
      </c>
      <c r="C445" s="303" t="s">
        <v>12070</v>
      </c>
      <c r="D445" s="304" t="s">
        <v>12071</v>
      </c>
    </row>
    <row r="446" spans="1:4" ht="14.1" customHeight="1" x14ac:dyDescent="0.25">
      <c r="A446" s="303" t="s">
        <v>12038</v>
      </c>
      <c r="B446" s="304" t="s">
        <v>12039</v>
      </c>
      <c r="C446" s="303" t="s">
        <v>12072</v>
      </c>
      <c r="D446" s="304" t="s">
        <v>12073</v>
      </c>
    </row>
    <row r="447" spans="1:4" ht="14.1" customHeight="1" x14ac:dyDescent="0.25">
      <c r="A447" s="303" t="s">
        <v>12038</v>
      </c>
      <c r="B447" s="304" t="s">
        <v>12039</v>
      </c>
      <c r="C447" s="303" t="s">
        <v>12074</v>
      </c>
      <c r="D447" s="304" t="s">
        <v>12075</v>
      </c>
    </row>
    <row r="448" spans="1:4" ht="14.1" customHeight="1" x14ac:dyDescent="0.25">
      <c r="A448" s="303" t="s">
        <v>12038</v>
      </c>
      <c r="B448" s="304" t="s">
        <v>12039</v>
      </c>
      <c r="C448" s="303" t="s">
        <v>12076</v>
      </c>
      <c r="D448" s="304" t="s">
        <v>12077</v>
      </c>
    </row>
    <row r="449" spans="1:4" ht="14.1" customHeight="1" x14ac:dyDescent="0.25">
      <c r="A449" s="303" t="s">
        <v>12038</v>
      </c>
      <c r="B449" s="304" t="s">
        <v>12039</v>
      </c>
      <c r="C449" s="303" t="s">
        <v>12078</v>
      </c>
      <c r="D449" s="304" t="s">
        <v>12079</v>
      </c>
    </row>
    <row r="450" spans="1:4" ht="14.1" customHeight="1" x14ac:dyDescent="0.25">
      <c r="A450" s="303" t="s">
        <v>12038</v>
      </c>
      <c r="B450" s="304" t="s">
        <v>12039</v>
      </c>
      <c r="C450" s="303" t="s">
        <v>12080</v>
      </c>
      <c r="D450" s="304" t="s">
        <v>12081</v>
      </c>
    </row>
    <row r="451" spans="1:4" ht="14.1" customHeight="1" x14ac:dyDescent="0.25">
      <c r="A451" s="303" t="s">
        <v>12038</v>
      </c>
      <c r="B451" s="304" t="s">
        <v>12039</v>
      </c>
      <c r="C451" s="303" t="s">
        <v>12082</v>
      </c>
      <c r="D451" s="304" t="s">
        <v>12083</v>
      </c>
    </row>
    <row r="452" spans="1:4" ht="14.1" customHeight="1" x14ac:dyDescent="0.25">
      <c r="A452" s="303" t="s">
        <v>12038</v>
      </c>
      <c r="B452" s="304" t="s">
        <v>12039</v>
      </c>
      <c r="C452" s="303" t="s">
        <v>12084</v>
      </c>
      <c r="D452" s="304" t="s">
        <v>12085</v>
      </c>
    </row>
    <row r="453" spans="1:4" ht="14.1" customHeight="1" x14ac:dyDescent="0.25">
      <c r="A453" s="303" t="s">
        <v>12038</v>
      </c>
      <c r="B453" s="304" t="s">
        <v>12039</v>
      </c>
      <c r="C453" s="303" t="s">
        <v>12086</v>
      </c>
      <c r="D453" s="304" t="s">
        <v>12087</v>
      </c>
    </row>
    <row r="454" spans="1:4" ht="14.1" customHeight="1" x14ac:dyDescent="0.25">
      <c r="A454" s="303" t="s">
        <v>12038</v>
      </c>
      <c r="B454" s="304" t="s">
        <v>12039</v>
      </c>
      <c r="C454" s="303" t="s">
        <v>12088</v>
      </c>
      <c r="D454" s="304" t="s">
        <v>12089</v>
      </c>
    </row>
    <row r="455" spans="1:4" ht="14.1" customHeight="1" x14ac:dyDescent="0.25">
      <c r="A455" s="303" t="s">
        <v>12038</v>
      </c>
      <c r="B455" s="304" t="s">
        <v>12039</v>
      </c>
      <c r="C455" s="303" t="s">
        <v>12090</v>
      </c>
      <c r="D455" s="304" t="s">
        <v>12091</v>
      </c>
    </row>
    <row r="456" spans="1:4" ht="14.1" customHeight="1" x14ac:dyDescent="0.25">
      <c r="A456" s="303" t="s">
        <v>12038</v>
      </c>
      <c r="B456" s="304" t="s">
        <v>12039</v>
      </c>
      <c r="C456" s="303" t="s">
        <v>12092</v>
      </c>
      <c r="D456" s="304" t="s">
        <v>12093</v>
      </c>
    </row>
    <row r="457" spans="1:4" ht="14.1" customHeight="1" x14ac:dyDescent="0.25">
      <c r="A457" s="303" t="s">
        <v>12038</v>
      </c>
      <c r="B457" s="304" t="s">
        <v>12039</v>
      </c>
      <c r="C457" s="303" t="s">
        <v>12094</v>
      </c>
      <c r="D457" s="304" t="s">
        <v>12095</v>
      </c>
    </row>
    <row r="458" spans="1:4" ht="14.1" customHeight="1" x14ac:dyDescent="0.25">
      <c r="A458" s="303" t="s">
        <v>12038</v>
      </c>
      <c r="B458" s="304" t="s">
        <v>12039</v>
      </c>
      <c r="C458" s="303" t="s">
        <v>12096</v>
      </c>
      <c r="D458" s="304" t="s">
        <v>12097</v>
      </c>
    </row>
    <row r="459" spans="1:4" ht="14.1" customHeight="1" x14ac:dyDescent="0.25">
      <c r="A459" s="303" t="s">
        <v>12038</v>
      </c>
      <c r="B459" s="304" t="s">
        <v>12039</v>
      </c>
      <c r="C459" s="303" t="s">
        <v>12098</v>
      </c>
      <c r="D459" s="304" t="s">
        <v>12099</v>
      </c>
    </row>
    <row r="460" spans="1:4" ht="14.1" customHeight="1" x14ac:dyDescent="0.25">
      <c r="A460" s="303" t="s">
        <v>12038</v>
      </c>
      <c r="B460" s="304" t="s">
        <v>12039</v>
      </c>
      <c r="C460" s="303" t="s">
        <v>12100</v>
      </c>
      <c r="D460" s="304" t="s">
        <v>11353</v>
      </c>
    </row>
    <row r="461" spans="1:4" ht="14.1" customHeight="1" x14ac:dyDescent="0.25">
      <c r="A461" s="303" t="s">
        <v>12038</v>
      </c>
      <c r="B461" s="304" t="s">
        <v>12039</v>
      </c>
      <c r="C461" s="303" t="s">
        <v>12101</v>
      </c>
      <c r="D461" s="304" t="s">
        <v>12102</v>
      </c>
    </row>
    <row r="462" spans="1:4" ht="14.1" customHeight="1" x14ac:dyDescent="0.25">
      <c r="A462" s="303" t="s">
        <v>12038</v>
      </c>
      <c r="B462" s="304" t="s">
        <v>12039</v>
      </c>
      <c r="C462" s="303" t="s">
        <v>12103</v>
      </c>
      <c r="D462" s="304" t="s">
        <v>12104</v>
      </c>
    </row>
    <row r="463" spans="1:4" ht="14.1" customHeight="1" x14ac:dyDescent="0.25">
      <c r="A463" s="303" t="s">
        <v>12038</v>
      </c>
      <c r="B463" s="304" t="s">
        <v>12039</v>
      </c>
      <c r="C463" s="303" t="s">
        <v>12105</v>
      </c>
      <c r="D463" s="304" t="s">
        <v>12106</v>
      </c>
    </row>
    <row r="464" spans="1:4" ht="14.1" customHeight="1" x14ac:dyDescent="0.25">
      <c r="A464" s="303" t="s">
        <v>12038</v>
      </c>
      <c r="B464" s="304" t="s">
        <v>12039</v>
      </c>
      <c r="C464" s="303" t="s">
        <v>12107</v>
      </c>
      <c r="D464" s="304" t="s">
        <v>12108</v>
      </c>
    </row>
    <row r="465" spans="1:4" ht="14.1" customHeight="1" x14ac:dyDescent="0.25">
      <c r="A465" s="303" t="s">
        <v>12038</v>
      </c>
      <c r="B465" s="304" t="s">
        <v>12039</v>
      </c>
      <c r="C465" s="303" t="s">
        <v>12109</v>
      </c>
      <c r="D465" s="304" t="s">
        <v>12110</v>
      </c>
    </row>
    <row r="466" spans="1:4" ht="14.1" customHeight="1" x14ac:dyDescent="0.25">
      <c r="A466" s="303" t="s">
        <v>12038</v>
      </c>
      <c r="B466" s="304" t="s">
        <v>12039</v>
      </c>
      <c r="C466" s="303" t="s">
        <v>12111</v>
      </c>
      <c r="D466" s="304" t="s">
        <v>12112</v>
      </c>
    </row>
    <row r="467" spans="1:4" ht="14.1" customHeight="1" x14ac:dyDescent="0.25">
      <c r="A467" s="303" t="s">
        <v>12038</v>
      </c>
      <c r="B467" s="304" t="s">
        <v>12039</v>
      </c>
      <c r="C467" s="303" t="s">
        <v>12113</v>
      </c>
      <c r="D467" s="304" t="s">
        <v>12114</v>
      </c>
    </row>
    <row r="468" spans="1:4" ht="14.1" customHeight="1" x14ac:dyDescent="0.25">
      <c r="A468" s="303" t="s">
        <v>12038</v>
      </c>
      <c r="B468" s="304" t="s">
        <v>12039</v>
      </c>
      <c r="C468" s="303" t="s">
        <v>12115</v>
      </c>
      <c r="D468" s="304" t="s">
        <v>12116</v>
      </c>
    </row>
    <row r="469" spans="1:4" ht="14.1" customHeight="1" x14ac:dyDescent="0.25">
      <c r="A469" s="303" t="s">
        <v>12038</v>
      </c>
      <c r="B469" s="304" t="s">
        <v>12039</v>
      </c>
      <c r="C469" s="303" t="s">
        <v>12117</v>
      </c>
      <c r="D469" s="304" t="s">
        <v>12118</v>
      </c>
    </row>
    <row r="470" spans="1:4" ht="14.1" customHeight="1" x14ac:dyDescent="0.25">
      <c r="A470" s="303" t="s">
        <v>12038</v>
      </c>
      <c r="B470" s="304" t="s">
        <v>12039</v>
      </c>
      <c r="C470" s="303" t="s">
        <v>12119</v>
      </c>
      <c r="D470" s="304" t="s">
        <v>12120</v>
      </c>
    </row>
    <row r="471" spans="1:4" ht="14.1" customHeight="1" x14ac:dyDescent="0.25">
      <c r="A471" s="303" t="s">
        <v>12038</v>
      </c>
      <c r="B471" s="304" t="s">
        <v>12039</v>
      </c>
      <c r="C471" s="303" t="s">
        <v>12121</v>
      </c>
      <c r="D471" s="304" t="s">
        <v>12122</v>
      </c>
    </row>
    <row r="472" spans="1:4" ht="14.1" customHeight="1" x14ac:dyDescent="0.25">
      <c r="A472" s="303" t="s">
        <v>12038</v>
      </c>
      <c r="B472" s="304" t="s">
        <v>12039</v>
      </c>
      <c r="C472" s="303" t="s">
        <v>12123</v>
      </c>
      <c r="D472" s="304" t="s">
        <v>12124</v>
      </c>
    </row>
    <row r="473" spans="1:4" ht="14.1" customHeight="1" x14ac:dyDescent="0.25">
      <c r="A473" s="303" t="s">
        <v>12038</v>
      </c>
      <c r="B473" s="304" t="s">
        <v>12039</v>
      </c>
      <c r="C473" s="303" t="s">
        <v>12125</v>
      </c>
      <c r="D473" s="304" t="s">
        <v>12126</v>
      </c>
    </row>
    <row r="474" spans="1:4" ht="14.1" customHeight="1" x14ac:dyDescent="0.25">
      <c r="A474" s="303" t="s">
        <v>12038</v>
      </c>
      <c r="B474" s="304" t="s">
        <v>12039</v>
      </c>
      <c r="C474" s="303" t="s">
        <v>12127</v>
      </c>
      <c r="D474" s="304" t="s">
        <v>12128</v>
      </c>
    </row>
    <row r="475" spans="1:4" ht="14.1" customHeight="1" x14ac:dyDescent="0.25">
      <c r="A475" s="303" t="s">
        <v>12038</v>
      </c>
      <c r="B475" s="304" t="s">
        <v>12039</v>
      </c>
      <c r="C475" s="303" t="s">
        <v>12129</v>
      </c>
      <c r="D475" s="304" t="s">
        <v>12130</v>
      </c>
    </row>
    <row r="476" spans="1:4" ht="14.1" customHeight="1" x14ac:dyDescent="0.25">
      <c r="A476" s="305" t="s">
        <v>12492</v>
      </c>
      <c r="B476" s="304" t="s">
        <v>12493</v>
      </c>
      <c r="C476" s="307" t="s">
        <v>13547</v>
      </c>
      <c r="D476" s="306" t="s">
        <v>13548</v>
      </c>
    </row>
    <row r="477" spans="1:4" ht="14.1" customHeight="1" x14ac:dyDescent="0.25">
      <c r="A477" s="303" t="s">
        <v>12038</v>
      </c>
      <c r="B477" s="304" t="s">
        <v>12039</v>
      </c>
      <c r="C477" s="303" t="s">
        <v>12132</v>
      </c>
      <c r="D477" s="304" t="s">
        <v>12133</v>
      </c>
    </row>
    <row r="478" spans="1:4" ht="14.1" customHeight="1" x14ac:dyDescent="0.25">
      <c r="A478" s="303" t="s">
        <v>12038</v>
      </c>
      <c r="B478" s="304" t="s">
        <v>12039</v>
      </c>
      <c r="C478" s="303" t="s">
        <v>12134</v>
      </c>
      <c r="D478" s="304" t="s">
        <v>12135</v>
      </c>
    </row>
    <row r="479" spans="1:4" ht="14.1" customHeight="1" x14ac:dyDescent="0.25">
      <c r="A479" s="303" t="s">
        <v>12038</v>
      </c>
      <c r="B479" s="304" t="s">
        <v>12039</v>
      </c>
      <c r="C479" s="303" t="s">
        <v>12136</v>
      </c>
      <c r="D479" s="304" t="s">
        <v>12137</v>
      </c>
    </row>
    <row r="480" spans="1:4" ht="14.1" customHeight="1" x14ac:dyDescent="0.25">
      <c r="A480" s="303" t="s">
        <v>12038</v>
      </c>
      <c r="B480" s="304" t="s">
        <v>12039</v>
      </c>
      <c r="C480" s="303" t="s">
        <v>12138</v>
      </c>
      <c r="D480" s="304" t="s">
        <v>12139</v>
      </c>
    </row>
    <row r="481" spans="1:4" ht="14.1" customHeight="1" x14ac:dyDescent="0.25">
      <c r="A481" s="303" t="s">
        <v>12038</v>
      </c>
      <c r="B481" s="304" t="s">
        <v>12039</v>
      </c>
      <c r="C481" s="303" t="s">
        <v>12140</v>
      </c>
      <c r="D481" s="304" t="s">
        <v>12141</v>
      </c>
    </row>
    <row r="482" spans="1:4" ht="14.1" customHeight="1" x14ac:dyDescent="0.25">
      <c r="A482" s="303" t="s">
        <v>12038</v>
      </c>
      <c r="B482" s="304" t="s">
        <v>12039</v>
      </c>
      <c r="C482" s="303" t="s">
        <v>12142</v>
      </c>
      <c r="D482" s="304" t="s">
        <v>12143</v>
      </c>
    </row>
    <row r="483" spans="1:4" ht="14.1" customHeight="1" x14ac:dyDescent="0.25">
      <c r="A483" s="303" t="s">
        <v>12038</v>
      </c>
      <c r="B483" s="304" t="s">
        <v>12039</v>
      </c>
      <c r="C483" s="303" t="s">
        <v>12144</v>
      </c>
      <c r="D483" s="304" t="s">
        <v>12145</v>
      </c>
    </row>
    <row r="484" spans="1:4" ht="14.1" customHeight="1" x14ac:dyDescent="0.25">
      <c r="A484" s="303" t="s">
        <v>12038</v>
      </c>
      <c r="B484" s="304" t="s">
        <v>12039</v>
      </c>
      <c r="C484" s="303" t="s">
        <v>12146</v>
      </c>
      <c r="D484" s="304" t="s">
        <v>12147</v>
      </c>
    </row>
    <row r="485" spans="1:4" ht="14.1" customHeight="1" x14ac:dyDescent="0.25">
      <c r="A485" s="303" t="s">
        <v>12038</v>
      </c>
      <c r="B485" s="304" t="s">
        <v>12039</v>
      </c>
      <c r="C485" s="303" t="s">
        <v>12148</v>
      </c>
      <c r="D485" s="304" t="s">
        <v>12149</v>
      </c>
    </row>
    <row r="486" spans="1:4" ht="14.1" customHeight="1" x14ac:dyDescent="0.25">
      <c r="A486" s="303" t="s">
        <v>12038</v>
      </c>
      <c r="B486" s="304" t="s">
        <v>12039</v>
      </c>
      <c r="C486" s="303" t="s">
        <v>12150</v>
      </c>
      <c r="D486" s="304" t="s">
        <v>12151</v>
      </c>
    </row>
    <row r="487" spans="1:4" ht="14.1" customHeight="1" x14ac:dyDescent="0.25">
      <c r="A487" s="303" t="s">
        <v>12038</v>
      </c>
      <c r="B487" s="304" t="s">
        <v>12039</v>
      </c>
      <c r="C487" s="303" t="s">
        <v>12152</v>
      </c>
      <c r="D487" s="304" t="s">
        <v>12153</v>
      </c>
    </row>
    <row r="488" spans="1:4" ht="14.1" customHeight="1" x14ac:dyDescent="0.25">
      <c r="A488" s="303" t="s">
        <v>12038</v>
      </c>
      <c r="B488" s="304" t="s">
        <v>12039</v>
      </c>
      <c r="C488" s="303" t="s">
        <v>12154</v>
      </c>
      <c r="D488" s="304" t="s">
        <v>12155</v>
      </c>
    </row>
    <row r="489" spans="1:4" ht="14.1" customHeight="1" x14ac:dyDescent="0.25">
      <c r="A489" s="303" t="s">
        <v>12038</v>
      </c>
      <c r="B489" s="304" t="s">
        <v>12039</v>
      </c>
      <c r="C489" s="303" t="s">
        <v>12156</v>
      </c>
      <c r="D489" s="304" t="s">
        <v>12157</v>
      </c>
    </row>
    <row r="490" spans="1:4" ht="14.1" customHeight="1" x14ac:dyDescent="0.25">
      <c r="A490" s="305" t="s">
        <v>12550</v>
      </c>
      <c r="B490" s="304" t="s">
        <v>12551</v>
      </c>
      <c r="C490" s="307" t="s">
        <v>13545</v>
      </c>
      <c r="D490" s="306" t="s">
        <v>13546</v>
      </c>
    </row>
    <row r="491" spans="1:4" ht="14.1" customHeight="1" x14ac:dyDescent="0.25">
      <c r="A491" s="305" t="s">
        <v>7674</v>
      </c>
      <c r="B491" s="378" t="s">
        <v>12982</v>
      </c>
      <c r="C491" s="307" t="s">
        <v>13505</v>
      </c>
      <c r="D491" s="306" t="s">
        <v>13506</v>
      </c>
    </row>
    <row r="492" spans="1:4" ht="14.1" customHeight="1" x14ac:dyDescent="0.25">
      <c r="A492" s="305" t="s">
        <v>13009</v>
      </c>
      <c r="B492" s="378" t="s">
        <v>13010</v>
      </c>
      <c r="C492" s="307" t="s">
        <v>13507</v>
      </c>
      <c r="D492" s="306" t="s">
        <v>13508</v>
      </c>
    </row>
    <row r="493" spans="1:4" ht="14.1" customHeight="1" x14ac:dyDescent="0.25">
      <c r="A493" s="305" t="s">
        <v>13009</v>
      </c>
      <c r="B493" s="378" t="s">
        <v>13010</v>
      </c>
      <c r="C493" s="307" t="s">
        <v>13552</v>
      </c>
      <c r="D493" s="306" t="s">
        <v>13553</v>
      </c>
    </row>
    <row r="494" spans="1:4" ht="14.1" customHeight="1" x14ac:dyDescent="0.25">
      <c r="A494" s="303" t="s">
        <v>12038</v>
      </c>
      <c r="B494" s="304" t="s">
        <v>12039</v>
      </c>
      <c r="C494" s="303" t="s">
        <v>12158</v>
      </c>
      <c r="D494" s="304" t="s">
        <v>12159</v>
      </c>
    </row>
    <row r="495" spans="1:4" ht="14.1" customHeight="1" x14ac:dyDescent="0.25">
      <c r="A495" s="303" t="s">
        <v>12038</v>
      </c>
      <c r="B495" s="304" t="s">
        <v>12039</v>
      </c>
      <c r="C495" s="303" t="s">
        <v>12160</v>
      </c>
      <c r="D495" s="304" t="s">
        <v>12161</v>
      </c>
    </row>
    <row r="496" spans="1:4" ht="14.1" customHeight="1" x14ac:dyDescent="0.25">
      <c r="A496" s="303" t="s">
        <v>12038</v>
      </c>
      <c r="B496" s="304" t="s">
        <v>12039</v>
      </c>
      <c r="C496" s="303" t="s">
        <v>12162</v>
      </c>
      <c r="D496" s="304" t="s">
        <v>12163</v>
      </c>
    </row>
    <row r="497" spans="1:4" ht="14.1" customHeight="1" x14ac:dyDescent="0.25">
      <c r="A497" s="303" t="s">
        <v>12164</v>
      </c>
      <c r="B497" s="304" t="s">
        <v>12165</v>
      </c>
      <c r="C497" s="303" t="s">
        <v>12166</v>
      </c>
      <c r="D497" s="304" t="s">
        <v>12167</v>
      </c>
    </row>
    <row r="498" spans="1:4" ht="14.1" customHeight="1" x14ac:dyDescent="0.25">
      <c r="A498" s="303" t="s">
        <v>12164</v>
      </c>
      <c r="B498" s="304" t="s">
        <v>12165</v>
      </c>
      <c r="C498" s="303" t="s">
        <v>12168</v>
      </c>
      <c r="D498" s="304" t="s">
        <v>12169</v>
      </c>
    </row>
    <row r="499" spans="1:4" ht="14.1" customHeight="1" x14ac:dyDescent="0.25">
      <c r="A499" s="303" t="s">
        <v>12164</v>
      </c>
      <c r="B499" s="304" t="s">
        <v>12165</v>
      </c>
      <c r="C499" s="303" t="s">
        <v>12170</v>
      </c>
      <c r="D499" s="304" t="s">
        <v>12171</v>
      </c>
    </row>
    <row r="500" spans="1:4" ht="14.1" customHeight="1" x14ac:dyDescent="0.25">
      <c r="A500" s="303" t="s">
        <v>12164</v>
      </c>
      <c r="B500" s="304" t="s">
        <v>12165</v>
      </c>
      <c r="C500" s="303" t="s">
        <v>12172</v>
      </c>
      <c r="D500" s="304" t="s">
        <v>12173</v>
      </c>
    </row>
    <row r="501" spans="1:4" ht="14.1" customHeight="1" x14ac:dyDescent="0.25">
      <c r="A501" s="303" t="s">
        <v>12174</v>
      </c>
      <c r="B501" s="304" t="s">
        <v>12175</v>
      </c>
      <c r="C501" s="303" t="s">
        <v>10994</v>
      </c>
      <c r="D501" s="304" t="s">
        <v>12176</v>
      </c>
    </row>
    <row r="502" spans="1:4" ht="14.1" customHeight="1" x14ac:dyDescent="0.25">
      <c r="A502" s="303" t="s">
        <v>12174</v>
      </c>
      <c r="B502" s="304" t="s">
        <v>12175</v>
      </c>
      <c r="C502" s="303" t="s">
        <v>12177</v>
      </c>
      <c r="D502" s="304" t="s">
        <v>12178</v>
      </c>
    </row>
    <row r="503" spans="1:4" ht="14.1" customHeight="1" x14ac:dyDescent="0.25">
      <c r="A503" s="303" t="s">
        <v>12174</v>
      </c>
      <c r="B503" s="304" t="s">
        <v>12175</v>
      </c>
      <c r="C503" s="303" t="s">
        <v>12179</v>
      </c>
      <c r="D503" s="304" t="s">
        <v>12180</v>
      </c>
    </row>
    <row r="504" spans="1:4" ht="14.1" customHeight="1" x14ac:dyDescent="0.25">
      <c r="A504" s="303" t="s">
        <v>12174</v>
      </c>
      <c r="B504" s="304" t="s">
        <v>12175</v>
      </c>
      <c r="C504" s="303" t="s">
        <v>12181</v>
      </c>
      <c r="D504" s="304" t="s">
        <v>12182</v>
      </c>
    </row>
    <row r="505" spans="1:4" ht="14.1" customHeight="1" x14ac:dyDescent="0.25">
      <c r="A505" s="303" t="s">
        <v>12174</v>
      </c>
      <c r="B505" s="304" t="s">
        <v>12175</v>
      </c>
      <c r="C505" s="303" t="s">
        <v>12183</v>
      </c>
      <c r="D505" s="304" t="s">
        <v>12184</v>
      </c>
    </row>
    <row r="506" spans="1:4" ht="14.1" customHeight="1" x14ac:dyDescent="0.25">
      <c r="A506" s="303" t="s">
        <v>12174</v>
      </c>
      <c r="B506" s="304" t="s">
        <v>12175</v>
      </c>
      <c r="C506" s="303" t="s">
        <v>12185</v>
      </c>
      <c r="D506" s="304" t="s">
        <v>12186</v>
      </c>
    </row>
    <row r="507" spans="1:4" ht="14.1" customHeight="1" x14ac:dyDescent="0.25">
      <c r="A507" s="303" t="s">
        <v>7539</v>
      </c>
      <c r="B507" s="304" t="s">
        <v>12187</v>
      </c>
      <c r="C507" s="303" t="s">
        <v>12188</v>
      </c>
      <c r="D507" s="304" t="s">
        <v>12189</v>
      </c>
    </row>
    <row r="508" spans="1:4" ht="14.1" customHeight="1" x14ac:dyDescent="0.25">
      <c r="A508" s="303" t="s">
        <v>7539</v>
      </c>
      <c r="B508" s="304" t="s">
        <v>12187</v>
      </c>
      <c r="C508" s="303" t="s">
        <v>12190</v>
      </c>
      <c r="D508" s="304" t="s">
        <v>12191</v>
      </c>
    </row>
    <row r="509" spans="1:4" ht="14.1" customHeight="1" x14ac:dyDescent="0.25">
      <c r="A509" s="303" t="s">
        <v>7539</v>
      </c>
      <c r="B509" s="304" t="s">
        <v>12187</v>
      </c>
      <c r="C509" s="303" t="s">
        <v>10955</v>
      </c>
      <c r="D509" s="304" t="s">
        <v>12192</v>
      </c>
    </row>
    <row r="510" spans="1:4" ht="14.1" customHeight="1" x14ac:dyDescent="0.25">
      <c r="A510" s="303" t="s">
        <v>12193</v>
      </c>
      <c r="B510" s="304" t="s">
        <v>12194</v>
      </c>
      <c r="C510" s="303" t="s">
        <v>12195</v>
      </c>
      <c r="D510" s="304" t="s">
        <v>12196</v>
      </c>
    </row>
    <row r="511" spans="1:4" ht="14.1" customHeight="1" x14ac:dyDescent="0.25">
      <c r="A511" s="303" t="s">
        <v>12193</v>
      </c>
      <c r="B511" s="304" t="s">
        <v>12194</v>
      </c>
      <c r="C511" s="303" t="s">
        <v>12197</v>
      </c>
      <c r="D511" s="304" t="s">
        <v>12198</v>
      </c>
    </row>
    <row r="512" spans="1:4" ht="14.1" customHeight="1" x14ac:dyDescent="0.25">
      <c r="A512" s="303" t="s">
        <v>12193</v>
      </c>
      <c r="B512" s="304" t="s">
        <v>12194</v>
      </c>
      <c r="C512" s="303" t="s">
        <v>12199</v>
      </c>
      <c r="D512" s="304" t="s">
        <v>12200</v>
      </c>
    </row>
    <row r="513" spans="1:4" ht="14.1" customHeight="1" x14ac:dyDescent="0.25">
      <c r="A513" s="303" t="s">
        <v>12193</v>
      </c>
      <c r="B513" s="304" t="s">
        <v>12194</v>
      </c>
      <c r="C513" s="303" t="s">
        <v>12201</v>
      </c>
      <c r="D513" s="304" t="s">
        <v>12202</v>
      </c>
    </row>
    <row r="514" spans="1:4" ht="14.1" customHeight="1" x14ac:dyDescent="0.25">
      <c r="A514" s="303" t="s">
        <v>12193</v>
      </c>
      <c r="B514" s="304" t="s">
        <v>12194</v>
      </c>
      <c r="C514" s="303" t="s">
        <v>12203</v>
      </c>
      <c r="D514" s="304" t="s">
        <v>12204</v>
      </c>
    </row>
    <row r="515" spans="1:4" ht="14.1" customHeight="1" x14ac:dyDescent="0.25">
      <c r="A515" s="303" t="s">
        <v>12193</v>
      </c>
      <c r="B515" s="304" t="s">
        <v>12194</v>
      </c>
      <c r="C515" s="303" t="s">
        <v>12205</v>
      </c>
      <c r="D515" s="304" t="s">
        <v>12206</v>
      </c>
    </row>
    <row r="516" spans="1:4" ht="14.1" customHeight="1" x14ac:dyDescent="0.25">
      <c r="A516" s="303" t="s">
        <v>12193</v>
      </c>
      <c r="B516" s="304" t="s">
        <v>12194</v>
      </c>
      <c r="C516" s="303" t="s">
        <v>12207</v>
      </c>
      <c r="D516" s="304" t="s">
        <v>12208</v>
      </c>
    </row>
    <row r="517" spans="1:4" ht="14.1" customHeight="1" x14ac:dyDescent="0.25">
      <c r="A517" s="303" t="s">
        <v>7530</v>
      </c>
      <c r="B517" s="304" t="s">
        <v>12209</v>
      </c>
      <c r="C517" s="303" t="s">
        <v>12210</v>
      </c>
      <c r="D517" s="304" t="s">
        <v>12211</v>
      </c>
    </row>
    <row r="518" spans="1:4" ht="14.1" customHeight="1" x14ac:dyDescent="0.25">
      <c r="A518" s="303" t="s">
        <v>7530</v>
      </c>
      <c r="B518" s="304" t="s">
        <v>12209</v>
      </c>
      <c r="C518" s="303" t="s">
        <v>12212</v>
      </c>
      <c r="D518" s="304" t="s">
        <v>12213</v>
      </c>
    </row>
    <row r="519" spans="1:4" ht="14.1" customHeight="1" x14ac:dyDescent="0.25">
      <c r="A519" s="303" t="s">
        <v>7530</v>
      </c>
      <c r="B519" s="304" t="s">
        <v>12209</v>
      </c>
      <c r="C519" s="303" t="s">
        <v>12214</v>
      </c>
      <c r="D519" s="304" t="s">
        <v>12215</v>
      </c>
    </row>
    <row r="520" spans="1:4" ht="14.1" customHeight="1" x14ac:dyDescent="0.25">
      <c r="A520" s="303" t="s">
        <v>7417</v>
      </c>
      <c r="B520" s="304" t="s">
        <v>12216</v>
      </c>
      <c r="C520" s="303" t="s">
        <v>12217</v>
      </c>
      <c r="D520" s="304" t="s">
        <v>12218</v>
      </c>
    </row>
    <row r="521" spans="1:4" ht="14.1" customHeight="1" x14ac:dyDescent="0.25">
      <c r="A521" s="303" t="s">
        <v>12219</v>
      </c>
      <c r="B521" s="304" t="s">
        <v>12220</v>
      </c>
      <c r="C521" s="303" t="s">
        <v>12221</v>
      </c>
      <c r="D521" s="304" t="s">
        <v>12222</v>
      </c>
    </row>
    <row r="522" spans="1:4" ht="14.1" customHeight="1" x14ac:dyDescent="0.25">
      <c r="A522" s="303" t="s">
        <v>12219</v>
      </c>
      <c r="B522" s="304" t="s">
        <v>12220</v>
      </c>
      <c r="C522" s="303" t="s">
        <v>12223</v>
      </c>
      <c r="D522" s="304" t="s">
        <v>12224</v>
      </c>
    </row>
    <row r="523" spans="1:4" ht="14.1" customHeight="1" x14ac:dyDescent="0.25">
      <c r="A523" s="303" t="s">
        <v>12219</v>
      </c>
      <c r="B523" s="304" t="s">
        <v>12220</v>
      </c>
      <c r="C523" s="303" t="s">
        <v>12225</v>
      </c>
      <c r="D523" s="304" t="s">
        <v>12226</v>
      </c>
    </row>
    <row r="524" spans="1:4" ht="14.1" customHeight="1" x14ac:dyDescent="0.25">
      <c r="A524" s="303" t="s">
        <v>12219</v>
      </c>
      <c r="B524" s="304" t="s">
        <v>12220</v>
      </c>
      <c r="C524" s="303" t="s">
        <v>12227</v>
      </c>
      <c r="D524" s="304" t="s">
        <v>12228</v>
      </c>
    </row>
    <row r="525" spans="1:4" ht="14.1" customHeight="1" x14ac:dyDescent="0.25">
      <c r="A525" s="303" t="s">
        <v>12219</v>
      </c>
      <c r="B525" s="304" t="s">
        <v>12220</v>
      </c>
      <c r="C525" s="303" t="s">
        <v>12229</v>
      </c>
      <c r="D525" s="304" t="s">
        <v>12230</v>
      </c>
    </row>
    <row r="526" spans="1:4" ht="14.1" customHeight="1" x14ac:dyDescent="0.25">
      <c r="A526" s="303" t="s">
        <v>12219</v>
      </c>
      <c r="B526" s="304" t="s">
        <v>12220</v>
      </c>
      <c r="C526" s="303" t="s">
        <v>12231</v>
      </c>
      <c r="D526" s="304" t="s">
        <v>12232</v>
      </c>
    </row>
    <row r="527" spans="1:4" ht="14.1" customHeight="1" x14ac:dyDescent="0.25">
      <c r="A527" s="303" t="s">
        <v>12219</v>
      </c>
      <c r="B527" s="304" t="s">
        <v>12220</v>
      </c>
      <c r="C527" s="303" t="s">
        <v>12233</v>
      </c>
      <c r="D527" s="304" t="s">
        <v>12234</v>
      </c>
    </row>
    <row r="528" spans="1:4" ht="14.1" customHeight="1" x14ac:dyDescent="0.25">
      <c r="A528" s="303" t="s">
        <v>12219</v>
      </c>
      <c r="B528" s="304" t="s">
        <v>12220</v>
      </c>
      <c r="C528" s="303" t="s">
        <v>12235</v>
      </c>
      <c r="D528" s="304" t="s">
        <v>12236</v>
      </c>
    </row>
    <row r="529" spans="1:4" ht="14.1" customHeight="1" x14ac:dyDescent="0.25">
      <c r="A529" s="303" t="s">
        <v>12219</v>
      </c>
      <c r="B529" s="304" t="s">
        <v>12220</v>
      </c>
      <c r="C529" s="303" t="s">
        <v>12237</v>
      </c>
      <c r="D529" s="304" t="s">
        <v>12238</v>
      </c>
    </row>
    <row r="530" spans="1:4" ht="14.1" customHeight="1" x14ac:dyDescent="0.25">
      <c r="A530" s="303" t="s">
        <v>12219</v>
      </c>
      <c r="B530" s="304" t="s">
        <v>12220</v>
      </c>
      <c r="C530" s="303" t="s">
        <v>12239</v>
      </c>
      <c r="D530" s="304" t="s">
        <v>12240</v>
      </c>
    </row>
    <row r="531" spans="1:4" ht="14.1" customHeight="1" x14ac:dyDescent="0.25">
      <c r="A531" s="303" t="s">
        <v>12219</v>
      </c>
      <c r="B531" s="304" t="s">
        <v>12220</v>
      </c>
      <c r="C531" s="303" t="s">
        <v>12241</v>
      </c>
      <c r="D531" s="304" t="s">
        <v>12242</v>
      </c>
    </row>
    <row r="532" spans="1:4" ht="14.1" customHeight="1" x14ac:dyDescent="0.25">
      <c r="A532" s="303" t="s">
        <v>12219</v>
      </c>
      <c r="B532" s="304" t="s">
        <v>12220</v>
      </c>
      <c r="C532" s="303" t="s">
        <v>12243</v>
      </c>
      <c r="D532" s="304" t="s">
        <v>12244</v>
      </c>
    </row>
    <row r="533" spans="1:4" ht="14.1" customHeight="1" x14ac:dyDescent="0.25">
      <c r="A533" s="303" t="s">
        <v>12219</v>
      </c>
      <c r="B533" s="304" t="s">
        <v>12220</v>
      </c>
      <c r="C533" s="303" t="s">
        <v>12245</v>
      </c>
      <c r="D533" s="304" t="s">
        <v>12246</v>
      </c>
    </row>
    <row r="534" spans="1:4" ht="14.1" customHeight="1" x14ac:dyDescent="0.25">
      <c r="A534" s="305" t="s">
        <v>13026</v>
      </c>
      <c r="B534" s="378" t="s">
        <v>13027</v>
      </c>
      <c r="C534" s="307" t="s">
        <v>13549</v>
      </c>
      <c r="D534" s="306" t="s">
        <v>13550</v>
      </c>
    </row>
    <row r="535" spans="1:4" ht="14.1" customHeight="1" x14ac:dyDescent="0.25">
      <c r="A535" s="303" t="s">
        <v>12219</v>
      </c>
      <c r="B535" s="304" t="s">
        <v>12220</v>
      </c>
      <c r="C535" s="303" t="s">
        <v>12247</v>
      </c>
      <c r="D535" s="304" t="s">
        <v>12248</v>
      </c>
    </row>
    <row r="536" spans="1:4" ht="14.1" customHeight="1" x14ac:dyDescent="0.25">
      <c r="A536" s="303" t="s">
        <v>12249</v>
      </c>
      <c r="B536" s="304" t="s">
        <v>12250</v>
      </c>
      <c r="C536" s="303" t="s">
        <v>12251</v>
      </c>
      <c r="D536" s="304" t="s">
        <v>12252</v>
      </c>
    </row>
    <row r="537" spans="1:4" ht="14.1" customHeight="1" x14ac:dyDescent="0.25">
      <c r="A537" s="303" t="s">
        <v>12249</v>
      </c>
      <c r="B537" s="304" t="s">
        <v>12250</v>
      </c>
      <c r="C537" s="303" t="s">
        <v>12253</v>
      </c>
      <c r="D537" s="304" t="s">
        <v>12254</v>
      </c>
    </row>
    <row r="538" spans="1:4" ht="14.1" customHeight="1" x14ac:dyDescent="0.25">
      <c r="A538" s="303" t="s">
        <v>12249</v>
      </c>
      <c r="B538" s="304" t="s">
        <v>12250</v>
      </c>
      <c r="C538" s="303" t="s">
        <v>12255</v>
      </c>
      <c r="D538" s="304" t="s">
        <v>12256</v>
      </c>
    </row>
    <row r="539" spans="1:4" ht="14.1" customHeight="1" x14ac:dyDescent="0.25">
      <c r="A539" s="303" t="s">
        <v>12249</v>
      </c>
      <c r="B539" s="304" t="s">
        <v>12250</v>
      </c>
      <c r="C539" s="303" t="s">
        <v>12257</v>
      </c>
      <c r="D539" s="304" t="s">
        <v>12258</v>
      </c>
    </row>
    <row r="540" spans="1:4" ht="14.1" customHeight="1" x14ac:dyDescent="0.25">
      <c r="A540" s="303" t="s">
        <v>12249</v>
      </c>
      <c r="B540" s="304" t="s">
        <v>12250</v>
      </c>
      <c r="C540" s="303" t="s">
        <v>12259</v>
      </c>
      <c r="D540" s="304" t="s">
        <v>12260</v>
      </c>
    </row>
    <row r="541" spans="1:4" ht="14.1" customHeight="1" x14ac:dyDescent="0.25">
      <c r="A541" s="303" t="s">
        <v>12249</v>
      </c>
      <c r="B541" s="304" t="s">
        <v>12250</v>
      </c>
      <c r="C541" s="303" t="s">
        <v>12261</v>
      </c>
      <c r="D541" s="304" t="s">
        <v>12262</v>
      </c>
    </row>
    <row r="542" spans="1:4" ht="14.1" customHeight="1" x14ac:dyDescent="0.25">
      <c r="A542" s="303" t="s">
        <v>12249</v>
      </c>
      <c r="B542" s="304" t="s">
        <v>12250</v>
      </c>
      <c r="C542" s="303" t="s">
        <v>12263</v>
      </c>
      <c r="D542" s="304" t="s">
        <v>12264</v>
      </c>
    </row>
    <row r="543" spans="1:4" ht="14.1" customHeight="1" x14ac:dyDescent="0.25">
      <c r="A543" s="303" t="s">
        <v>12249</v>
      </c>
      <c r="B543" s="304" t="s">
        <v>12250</v>
      </c>
      <c r="C543" s="303" t="s">
        <v>12265</v>
      </c>
      <c r="D543" s="304" t="s">
        <v>12266</v>
      </c>
    </row>
    <row r="544" spans="1:4" ht="14.1" customHeight="1" x14ac:dyDescent="0.25">
      <c r="A544" s="303" t="s">
        <v>12249</v>
      </c>
      <c r="B544" s="304" t="s">
        <v>12250</v>
      </c>
      <c r="C544" s="303" t="s">
        <v>12267</v>
      </c>
      <c r="D544" s="304" t="s">
        <v>11227</v>
      </c>
    </row>
    <row r="545" spans="1:4" ht="14.1" customHeight="1" x14ac:dyDescent="0.25">
      <c r="A545" s="303" t="s">
        <v>12249</v>
      </c>
      <c r="B545" s="304" t="s">
        <v>12250</v>
      </c>
      <c r="C545" s="303" t="s">
        <v>12268</v>
      </c>
      <c r="D545" s="304" t="s">
        <v>12269</v>
      </c>
    </row>
    <row r="546" spans="1:4" ht="14.1" customHeight="1" x14ac:dyDescent="0.25">
      <c r="A546" s="303" t="s">
        <v>12249</v>
      </c>
      <c r="B546" s="304" t="s">
        <v>12250</v>
      </c>
      <c r="C546" s="303" t="s">
        <v>12270</v>
      </c>
      <c r="D546" s="304" t="s">
        <v>12271</v>
      </c>
    </row>
    <row r="547" spans="1:4" ht="14.1" customHeight="1" x14ac:dyDescent="0.25">
      <c r="A547" s="303" t="s">
        <v>12249</v>
      </c>
      <c r="B547" s="304" t="s">
        <v>12250</v>
      </c>
      <c r="C547" s="303" t="s">
        <v>12272</v>
      </c>
      <c r="D547" s="304" t="s">
        <v>12273</v>
      </c>
    </row>
    <row r="548" spans="1:4" ht="14.1" customHeight="1" x14ac:dyDescent="0.25">
      <c r="A548" s="303" t="s">
        <v>12249</v>
      </c>
      <c r="B548" s="304" t="s">
        <v>12250</v>
      </c>
      <c r="C548" s="303" t="s">
        <v>12274</v>
      </c>
      <c r="D548" s="304" t="s">
        <v>12275</v>
      </c>
    </row>
    <row r="549" spans="1:4" ht="14.1" customHeight="1" x14ac:dyDescent="0.25">
      <c r="A549" s="303" t="s">
        <v>12249</v>
      </c>
      <c r="B549" s="304" t="s">
        <v>12250</v>
      </c>
      <c r="C549" s="303" t="s">
        <v>12276</v>
      </c>
      <c r="D549" s="304" t="s">
        <v>12277</v>
      </c>
    </row>
    <row r="550" spans="1:4" ht="14.1" customHeight="1" x14ac:dyDescent="0.25">
      <c r="A550" s="303" t="s">
        <v>12249</v>
      </c>
      <c r="B550" s="304" t="s">
        <v>12250</v>
      </c>
      <c r="C550" s="303" t="s">
        <v>12278</v>
      </c>
      <c r="D550" s="304" t="s">
        <v>12279</v>
      </c>
    </row>
    <row r="551" spans="1:4" ht="14.1" customHeight="1" x14ac:dyDescent="0.25">
      <c r="A551" s="303" t="s">
        <v>12249</v>
      </c>
      <c r="B551" s="304" t="s">
        <v>12250</v>
      </c>
      <c r="C551" s="303" t="s">
        <v>12280</v>
      </c>
      <c r="D551" s="304" t="s">
        <v>12281</v>
      </c>
    </row>
    <row r="552" spans="1:4" ht="14.1" customHeight="1" x14ac:dyDescent="0.25">
      <c r="A552" s="303" t="s">
        <v>7526</v>
      </c>
      <c r="B552" s="304" t="s">
        <v>12282</v>
      </c>
      <c r="C552" s="303" t="s">
        <v>12283</v>
      </c>
      <c r="D552" s="304" t="s">
        <v>12284</v>
      </c>
    </row>
    <row r="553" spans="1:4" ht="14.1" customHeight="1" x14ac:dyDescent="0.25">
      <c r="A553" s="303" t="s">
        <v>7526</v>
      </c>
      <c r="B553" s="304" t="s">
        <v>12282</v>
      </c>
      <c r="C553" s="303" t="s">
        <v>12285</v>
      </c>
      <c r="D553" s="304" t="s">
        <v>12286</v>
      </c>
    </row>
    <row r="554" spans="1:4" ht="14.1" customHeight="1" x14ac:dyDescent="0.25">
      <c r="A554" s="303" t="s">
        <v>7526</v>
      </c>
      <c r="B554" s="304" t="s">
        <v>12282</v>
      </c>
      <c r="C554" s="303" t="s">
        <v>12287</v>
      </c>
      <c r="D554" s="304" t="s">
        <v>12288</v>
      </c>
    </row>
    <row r="555" spans="1:4" ht="14.1" customHeight="1" x14ac:dyDescent="0.25">
      <c r="A555" s="303" t="s">
        <v>7526</v>
      </c>
      <c r="B555" s="304" t="s">
        <v>12282</v>
      </c>
      <c r="C555" s="303" t="s">
        <v>12289</v>
      </c>
      <c r="D555" s="304" t="s">
        <v>12290</v>
      </c>
    </row>
    <row r="556" spans="1:4" ht="14.1" customHeight="1" x14ac:dyDescent="0.25">
      <c r="A556" s="303" t="s">
        <v>7526</v>
      </c>
      <c r="B556" s="304" t="s">
        <v>12282</v>
      </c>
      <c r="C556" s="303" t="s">
        <v>12291</v>
      </c>
      <c r="D556" s="304" t="s">
        <v>12292</v>
      </c>
    </row>
    <row r="557" spans="1:4" ht="14.1" customHeight="1" x14ac:dyDescent="0.25">
      <c r="A557" s="303" t="s">
        <v>7526</v>
      </c>
      <c r="B557" s="304" t="s">
        <v>12282</v>
      </c>
      <c r="C557" s="303" t="s">
        <v>12293</v>
      </c>
      <c r="D557" s="304" t="s">
        <v>12294</v>
      </c>
    </row>
    <row r="558" spans="1:4" ht="14.1" customHeight="1" x14ac:dyDescent="0.25">
      <c r="A558" s="303" t="s">
        <v>7526</v>
      </c>
      <c r="B558" s="304" t="s">
        <v>12282</v>
      </c>
      <c r="C558" s="303" t="s">
        <v>12295</v>
      </c>
      <c r="D558" s="304" t="s">
        <v>12296</v>
      </c>
    </row>
    <row r="559" spans="1:4" ht="14.1" customHeight="1" x14ac:dyDescent="0.25">
      <c r="A559" s="303" t="s">
        <v>7526</v>
      </c>
      <c r="B559" s="304" t="s">
        <v>12282</v>
      </c>
      <c r="C559" s="303" t="s">
        <v>12297</v>
      </c>
      <c r="D559" s="304" t="s">
        <v>12298</v>
      </c>
    </row>
    <row r="560" spans="1:4" ht="14.1" customHeight="1" x14ac:dyDescent="0.25">
      <c r="A560" s="303" t="s">
        <v>7526</v>
      </c>
      <c r="B560" s="304" t="s">
        <v>12282</v>
      </c>
      <c r="C560" s="303" t="s">
        <v>12299</v>
      </c>
      <c r="D560" s="304" t="s">
        <v>12300</v>
      </c>
    </row>
    <row r="561" spans="1:4" ht="14.1" customHeight="1" x14ac:dyDescent="0.25">
      <c r="A561" s="303" t="s">
        <v>7526</v>
      </c>
      <c r="B561" s="304" t="s">
        <v>12282</v>
      </c>
      <c r="C561" s="303" t="s">
        <v>12301</v>
      </c>
      <c r="D561" s="304" t="s">
        <v>12302</v>
      </c>
    </row>
    <row r="562" spans="1:4" ht="14.1" customHeight="1" x14ac:dyDescent="0.25">
      <c r="A562" s="303" t="s">
        <v>7526</v>
      </c>
      <c r="B562" s="304" t="s">
        <v>12282</v>
      </c>
      <c r="C562" s="303" t="s">
        <v>12303</v>
      </c>
      <c r="D562" s="304" t="s">
        <v>12304</v>
      </c>
    </row>
    <row r="563" spans="1:4" ht="14.1" customHeight="1" x14ac:dyDescent="0.25">
      <c r="A563" s="305" t="s">
        <v>13060</v>
      </c>
      <c r="B563" s="378" t="s">
        <v>13061</v>
      </c>
      <c r="C563" s="307" t="s">
        <v>13503</v>
      </c>
      <c r="D563" s="306" t="s">
        <v>13504</v>
      </c>
    </row>
    <row r="564" spans="1:4" ht="14.1" customHeight="1" x14ac:dyDescent="0.25">
      <c r="A564" s="303" t="s">
        <v>7526</v>
      </c>
      <c r="B564" s="304" t="s">
        <v>12282</v>
      </c>
      <c r="C564" s="303" t="s">
        <v>12306</v>
      </c>
      <c r="D564" s="304" t="s">
        <v>12307</v>
      </c>
    </row>
    <row r="565" spans="1:4" ht="14.1" customHeight="1" x14ac:dyDescent="0.25">
      <c r="A565" s="303" t="s">
        <v>7526</v>
      </c>
      <c r="B565" s="304" t="s">
        <v>12282</v>
      </c>
      <c r="C565" s="303" t="s">
        <v>12308</v>
      </c>
      <c r="D565" s="304" t="s">
        <v>12309</v>
      </c>
    </row>
    <row r="566" spans="1:4" ht="14.1" customHeight="1" x14ac:dyDescent="0.25">
      <c r="A566" s="303" t="s">
        <v>12310</v>
      </c>
      <c r="B566" s="304" t="s">
        <v>12311</v>
      </c>
      <c r="C566" s="303" t="s">
        <v>12312</v>
      </c>
      <c r="D566" s="304" t="s">
        <v>12313</v>
      </c>
    </row>
    <row r="567" spans="1:4" ht="14.1" customHeight="1" x14ac:dyDescent="0.25">
      <c r="A567" s="303" t="s">
        <v>12310</v>
      </c>
      <c r="B567" s="304" t="s">
        <v>12311</v>
      </c>
      <c r="C567" s="303" t="s">
        <v>12314</v>
      </c>
      <c r="D567" s="304" t="s">
        <v>12315</v>
      </c>
    </row>
    <row r="568" spans="1:4" ht="14.1" customHeight="1" x14ac:dyDescent="0.25">
      <c r="A568" s="303" t="s">
        <v>12310</v>
      </c>
      <c r="B568" s="304" t="s">
        <v>12311</v>
      </c>
      <c r="C568" s="303" t="s">
        <v>12316</v>
      </c>
      <c r="D568" s="304" t="s">
        <v>12317</v>
      </c>
    </row>
    <row r="569" spans="1:4" ht="14.1" customHeight="1" x14ac:dyDescent="0.25">
      <c r="A569" s="303" t="s">
        <v>12310</v>
      </c>
      <c r="B569" s="304" t="s">
        <v>12311</v>
      </c>
      <c r="C569" s="303" t="s">
        <v>12318</v>
      </c>
      <c r="D569" s="304" t="s">
        <v>12319</v>
      </c>
    </row>
    <row r="570" spans="1:4" ht="14.1" customHeight="1" x14ac:dyDescent="0.25">
      <c r="A570" s="303" t="s">
        <v>12320</v>
      </c>
      <c r="B570" s="304" t="s">
        <v>12321</v>
      </c>
      <c r="C570" s="303" t="s">
        <v>12322</v>
      </c>
      <c r="D570" s="304" t="s">
        <v>12323</v>
      </c>
    </row>
    <row r="571" spans="1:4" ht="14.1" customHeight="1" x14ac:dyDescent="0.25">
      <c r="A571" s="303" t="s">
        <v>12324</v>
      </c>
      <c r="B571" s="304" t="s">
        <v>12325</v>
      </c>
      <c r="C571" s="303" t="s">
        <v>11010</v>
      </c>
      <c r="D571" s="304" t="s">
        <v>12326</v>
      </c>
    </row>
    <row r="572" spans="1:4" ht="14.1" customHeight="1" x14ac:dyDescent="0.25">
      <c r="A572" s="303" t="s">
        <v>12324</v>
      </c>
      <c r="B572" s="304" t="s">
        <v>12325</v>
      </c>
      <c r="C572" s="303" t="s">
        <v>10990</v>
      </c>
      <c r="D572" s="304" t="s">
        <v>12327</v>
      </c>
    </row>
    <row r="573" spans="1:4" ht="14.1" customHeight="1" x14ac:dyDescent="0.25">
      <c r="A573" s="303" t="s">
        <v>12324</v>
      </c>
      <c r="B573" s="304" t="s">
        <v>12325</v>
      </c>
      <c r="C573" s="303" t="s">
        <v>12328</v>
      </c>
      <c r="D573" s="304" t="s">
        <v>12329</v>
      </c>
    </row>
    <row r="574" spans="1:4" ht="14.1" customHeight="1" x14ac:dyDescent="0.25">
      <c r="A574" s="303" t="s">
        <v>12324</v>
      </c>
      <c r="B574" s="304" t="s">
        <v>12325</v>
      </c>
      <c r="C574" s="303" t="s">
        <v>12330</v>
      </c>
      <c r="D574" s="304" t="s">
        <v>12331</v>
      </c>
    </row>
    <row r="575" spans="1:4" ht="14.1" customHeight="1" x14ac:dyDescent="0.25">
      <c r="A575" s="303" t="s">
        <v>12324</v>
      </c>
      <c r="B575" s="304" t="s">
        <v>12325</v>
      </c>
      <c r="C575" s="303" t="s">
        <v>12332</v>
      </c>
      <c r="D575" s="304" t="s">
        <v>12333</v>
      </c>
    </row>
    <row r="576" spans="1:4" ht="14.1" customHeight="1" x14ac:dyDescent="0.25">
      <c r="A576" s="303" t="s">
        <v>12324</v>
      </c>
      <c r="B576" s="304" t="s">
        <v>12325</v>
      </c>
      <c r="C576" s="303" t="s">
        <v>12334</v>
      </c>
      <c r="D576" s="304" t="s">
        <v>12335</v>
      </c>
    </row>
    <row r="577" spans="1:4" ht="14.1" customHeight="1" x14ac:dyDescent="0.25">
      <c r="A577" s="303" t="s">
        <v>12324</v>
      </c>
      <c r="B577" s="304" t="s">
        <v>12325</v>
      </c>
      <c r="C577" s="303" t="s">
        <v>12336</v>
      </c>
      <c r="D577" s="304" t="s">
        <v>12337</v>
      </c>
    </row>
    <row r="578" spans="1:4" ht="14.1" customHeight="1" x14ac:dyDescent="0.25">
      <c r="A578" s="303" t="s">
        <v>12324</v>
      </c>
      <c r="B578" s="304" t="s">
        <v>12325</v>
      </c>
      <c r="C578" s="303" t="s">
        <v>12338</v>
      </c>
      <c r="D578" s="304" t="s">
        <v>12339</v>
      </c>
    </row>
    <row r="579" spans="1:4" ht="14.1" customHeight="1" x14ac:dyDescent="0.25">
      <c r="A579" s="303" t="s">
        <v>12324</v>
      </c>
      <c r="B579" s="304" t="s">
        <v>12325</v>
      </c>
      <c r="C579" s="303" t="s">
        <v>12340</v>
      </c>
      <c r="D579" s="304" t="s">
        <v>12341</v>
      </c>
    </row>
    <row r="580" spans="1:4" ht="14.1" customHeight="1" x14ac:dyDescent="0.25">
      <c r="A580" s="303" t="s">
        <v>12324</v>
      </c>
      <c r="B580" s="304" t="s">
        <v>12325</v>
      </c>
      <c r="C580" s="303" t="s">
        <v>12342</v>
      </c>
      <c r="D580" s="304" t="s">
        <v>12343</v>
      </c>
    </row>
    <row r="581" spans="1:4" ht="14.1" customHeight="1" x14ac:dyDescent="0.25">
      <c r="A581" s="303" t="s">
        <v>12324</v>
      </c>
      <c r="B581" s="304" t="s">
        <v>12325</v>
      </c>
      <c r="C581" s="303" t="s">
        <v>12344</v>
      </c>
      <c r="D581" s="304" t="s">
        <v>12345</v>
      </c>
    </row>
    <row r="582" spans="1:4" ht="14.1" customHeight="1" x14ac:dyDescent="0.25">
      <c r="A582" s="303" t="s">
        <v>12324</v>
      </c>
      <c r="B582" s="304" t="s">
        <v>12325</v>
      </c>
      <c r="C582" s="303" t="s">
        <v>12346</v>
      </c>
      <c r="D582" s="304" t="s">
        <v>12347</v>
      </c>
    </row>
    <row r="583" spans="1:4" ht="14.1" customHeight="1" x14ac:dyDescent="0.25">
      <c r="A583" s="303" t="s">
        <v>12324</v>
      </c>
      <c r="B583" s="304" t="s">
        <v>12325</v>
      </c>
      <c r="C583" s="303" t="s">
        <v>12348</v>
      </c>
      <c r="D583" s="304" t="s">
        <v>12349</v>
      </c>
    </row>
    <row r="584" spans="1:4" ht="14.1" customHeight="1" x14ac:dyDescent="0.25">
      <c r="A584" s="303" t="s">
        <v>12324</v>
      </c>
      <c r="B584" s="304" t="s">
        <v>12325</v>
      </c>
      <c r="C584" s="303" t="s">
        <v>12350</v>
      </c>
      <c r="D584" s="304" t="s">
        <v>12351</v>
      </c>
    </row>
    <row r="585" spans="1:4" ht="14.1" customHeight="1" x14ac:dyDescent="0.25">
      <c r="A585" s="303" t="s">
        <v>12324</v>
      </c>
      <c r="B585" s="304" t="s">
        <v>12325</v>
      </c>
      <c r="C585" s="303" t="s">
        <v>12352</v>
      </c>
      <c r="D585" s="304" t="s">
        <v>12353</v>
      </c>
    </row>
    <row r="586" spans="1:4" ht="14.1" customHeight="1" x14ac:dyDescent="0.25">
      <c r="A586" s="303" t="s">
        <v>12324</v>
      </c>
      <c r="B586" s="304" t="s">
        <v>12325</v>
      </c>
      <c r="C586" s="303" t="s">
        <v>12354</v>
      </c>
      <c r="D586" s="304" t="s">
        <v>12355</v>
      </c>
    </row>
    <row r="587" spans="1:4" ht="14.1" customHeight="1" x14ac:dyDescent="0.25">
      <c r="A587" s="303" t="s">
        <v>12324</v>
      </c>
      <c r="B587" s="304" t="s">
        <v>12325</v>
      </c>
      <c r="C587" s="303" t="s">
        <v>12356</v>
      </c>
      <c r="D587" s="304" t="s">
        <v>12357</v>
      </c>
    </row>
    <row r="588" spans="1:4" ht="14.1" customHeight="1" x14ac:dyDescent="0.25">
      <c r="A588" s="303" t="s">
        <v>12324</v>
      </c>
      <c r="B588" s="304" t="s">
        <v>12325</v>
      </c>
      <c r="C588" s="303" t="s">
        <v>12358</v>
      </c>
      <c r="D588" s="304" t="s">
        <v>12359</v>
      </c>
    </row>
    <row r="589" spans="1:4" ht="14.1" customHeight="1" x14ac:dyDescent="0.25">
      <c r="A589" s="303" t="s">
        <v>12360</v>
      </c>
      <c r="B589" s="304" t="s">
        <v>12361</v>
      </c>
      <c r="C589" s="303" t="s">
        <v>12362</v>
      </c>
      <c r="D589" s="304" t="s">
        <v>12363</v>
      </c>
    </row>
    <row r="590" spans="1:4" ht="14.1" customHeight="1" x14ac:dyDescent="0.25">
      <c r="A590" s="303" t="s">
        <v>12364</v>
      </c>
      <c r="B590" s="304" t="s">
        <v>12365</v>
      </c>
      <c r="C590" s="303" t="s">
        <v>12366</v>
      </c>
      <c r="D590" s="304" t="s">
        <v>12367</v>
      </c>
    </row>
    <row r="591" spans="1:4" ht="14.1" customHeight="1" x14ac:dyDescent="0.25">
      <c r="A591" s="303" t="s">
        <v>12364</v>
      </c>
      <c r="B591" s="304" t="s">
        <v>12365</v>
      </c>
      <c r="C591" s="303" t="s">
        <v>12368</v>
      </c>
      <c r="D591" s="304" t="s">
        <v>12369</v>
      </c>
    </row>
    <row r="592" spans="1:4" ht="14.1" customHeight="1" x14ac:dyDescent="0.25">
      <c r="A592" s="303" t="s">
        <v>12364</v>
      </c>
      <c r="B592" s="304" t="s">
        <v>12365</v>
      </c>
      <c r="C592" s="303" t="s">
        <v>12370</v>
      </c>
      <c r="D592" s="304" t="s">
        <v>12371</v>
      </c>
    </row>
    <row r="593" spans="1:4" ht="14.1" customHeight="1" x14ac:dyDescent="0.25">
      <c r="A593" s="303" t="s">
        <v>12372</v>
      </c>
      <c r="B593" s="304" t="s">
        <v>12373</v>
      </c>
      <c r="C593" s="303" t="s">
        <v>12374</v>
      </c>
      <c r="D593" s="304" t="s">
        <v>12375</v>
      </c>
    </row>
    <row r="594" spans="1:4" ht="14.1" customHeight="1" x14ac:dyDescent="0.25">
      <c r="A594" s="303" t="s">
        <v>12372</v>
      </c>
      <c r="B594" s="304" t="s">
        <v>12373</v>
      </c>
      <c r="C594" s="303" t="s">
        <v>12376</v>
      </c>
      <c r="D594" s="304" t="s">
        <v>12377</v>
      </c>
    </row>
    <row r="595" spans="1:4" ht="14.1" customHeight="1" x14ac:dyDescent="0.25">
      <c r="A595" s="303" t="s">
        <v>12372</v>
      </c>
      <c r="B595" s="304" t="s">
        <v>12373</v>
      </c>
      <c r="C595" s="303" t="s">
        <v>12378</v>
      </c>
      <c r="D595" s="304" t="s">
        <v>12379</v>
      </c>
    </row>
    <row r="596" spans="1:4" ht="14.1" customHeight="1" x14ac:dyDescent="0.25">
      <c r="A596" s="303" t="s">
        <v>12372</v>
      </c>
      <c r="B596" s="304" t="s">
        <v>12373</v>
      </c>
      <c r="C596" s="303" t="s">
        <v>12380</v>
      </c>
      <c r="D596" s="304" t="s">
        <v>12381</v>
      </c>
    </row>
    <row r="597" spans="1:4" ht="14.1" customHeight="1" x14ac:dyDescent="0.25">
      <c r="A597" s="303" t="s">
        <v>12372</v>
      </c>
      <c r="B597" s="304" t="s">
        <v>12373</v>
      </c>
      <c r="C597" s="303" t="s">
        <v>12382</v>
      </c>
      <c r="D597" s="304" t="s">
        <v>11421</v>
      </c>
    </row>
    <row r="598" spans="1:4" ht="14.1" customHeight="1" x14ac:dyDescent="0.25">
      <c r="A598" s="303" t="s">
        <v>12372</v>
      </c>
      <c r="B598" s="304" t="s">
        <v>12373</v>
      </c>
      <c r="C598" s="303" t="s">
        <v>12383</v>
      </c>
      <c r="D598" s="304" t="s">
        <v>11242</v>
      </c>
    </row>
    <row r="599" spans="1:4" ht="14.1" customHeight="1" x14ac:dyDescent="0.25">
      <c r="A599" s="303" t="s">
        <v>12372</v>
      </c>
      <c r="B599" s="304" t="s">
        <v>12373</v>
      </c>
      <c r="C599" s="303" t="s">
        <v>12384</v>
      </c>
      <c r="D599" s="304" t="s">
        <v>12385</v>
      </c>
    </row>
    <row r="600" spans="1:4" ht="14.1" customHeight="1" x14ac:dyDescent="0.25">
      <c r="A600" s="303" t="s">
        <v>12372</v>
      </c>
      <c r="B600" s="304" t="s">
        <v>12373</v>
      </c>
      <c r="C600" s="303" t="s">
        <v>12386</v>
      </c>
      <c r="D600" s="304" t="s">
        <v>12387</v>
      </c>
    </row>
    <row r="601" spans="1:4" ht="14.1" customHeight="1" x14ac:dyDescent="0.25">
      <c r="A601" s="303" t="s">
        <v>12372</v>
      </c>
      <c r="B601" s="304" t="s">
        <v>12373</v>
      </c>
      <c r="C601" s="303" t="s">
        <v>12388</v>
      </c>
      <c r="D601" s="304" t="s">
        <v>12389</v>
      </c>
    </row>
    <row r="602" spans="1:4" ht="14.1" customHeight="1" x14ac:dyDescent="0.25">
      <c r="A602" s="303" t="s">
        <v>12372</v>
      </c>
      <c r="B602" s="304" t="s">
        <v>12373</v>
      </c>
      <c r="C602" s="303" t="s">
        <v>12390</v>
      </c>
      <c r="D602" s="304" t="s">
        <v>12391</v>
      </c>
    </row>
    <row r="603" spans="1:4" ht="14.1" customHeight="1" x14ac:dyDescent="0.25">
      <c r="A603" s="303" t="s">
        <v>12372</v>
      </c>
      <c r="B603" s="304" t="s">
        <v>12373</v>
      </c>
      <c r="C603" s="303" t="s">
        <v>12392</v>
      </c>
      <c r="D603" s="304" t="s">
        <v>12393</v>
      </c>
    </row>
    <row r="604" spans="1:4" ht="14.1" customHeight="1" x14ac:dyDescent="0.25">
      <c r="A604" s="303" t="s">
        <v>12372</v>
      </c>
      <c r="B604" s="304" t="s">
        <v>12373</v>
      </c>
      <c r="C604" s="303" t="s">
        <v>12394</v>
      </c>
      <c r="D604" s="304" t="s">
        <v>12395</v>
      </c>
    </row>
    <row r="605" spans="1:4" ht="14.1" customHeight="1" x14ac:dyDescent="0.25">
      <c r="A605" s="303" t="s">
        <v>12372</v>
      </c>
      <c r="B605" s="304" t="s">
        <v>12373</v>
      </c>
      <c r="C605" s="303" t="s">
        <v>12396</v>
      </c>
      <c r="D605" s="304" t="s">
        <v>12397</v>
      </c>
    </row>
    <row r="606" spans="1:4" ht="14.1" customHeight="1" x14ac:dyDescent="0.25">
      <c r="A606" s="303" t="s">
        <v>12372</v>
      </c>
      <c r="B606" s="304" t="s">
        <v>12373</v>
      </c>
      <c r="C606" s="303" t="s">
        <v>12398</v>
      </c>
      <c r="D606" s="304" t="s">
        <v>12399</v>
      </c>
    </row>
    <row r="607" spans="1:4" ht="14.1" customHeight="1" x14ac:dyDescent="0.25">
      <c r="A607" s="303" t="s">
        <v>12400</v>
      </c>
      <c r="B607" s="304" t="s">
        <v>12401</v>
      </c>
      <c r="C607" s="303" t="s">
        <v>12402</v>
      </c>
      <c r="D607" s="304" t="s">
        <v>12403</v>
      </c>
    </row>
    <row r="608" spans="1:4" ht="14.1" customHeight="1" x14ac:dyDescent="0.25">
      <c r="A608" s="303" t="s">
        <v>12400</v>
      </c>
      <c r="B608" s="304" t="s">
        <v>12401</v>
      </c>
      <c r="C608" s="303" t="s">
        <v>12404</v>
      </c>
      <c r="D608" s="304" t="s">
        <v>12405</v>
      </c>
    </row>
    <row r="609" spans="1:4" ht="14.1" customHeight="1" x14ac:dyDescent="0.25">
      <c r="A609" s="303" t="s">
        <v>12400</v>
      </c>
      <c r="B609" s="304" t="s">
        <v>12401</v>
      </c>
      <c r="C609" s="303" t="s">
        <v>12406</v>
      </c>
      <c r="D609" s="304" t="s">
        <v>12407</v>
      </c>
    </row>
    <row r="610" spans="1:4" ht="14.1" customHeight="1" x14ac:dyDescent="0.25">
      <c r="A610" s="303" t="s">
        <v>12400</v>
      </c>
      <c r="B610" s="304" t="s">
        <v>12401</v>
      </c>
      <c r="C610" s="303" t="s">
        <v>12408</v>
      </c>
      <c r="D610" s="304" t="s">
        <v>12409</v>
      </c>
    </row>
    <row r="611" spans="1:4" ht="14.1" customHeight="1" x14ac:dyDescent="0.25">
      <c r="A611" s="303" t="s">
        <v>12400</v>
      </c>
      <c r="B611" s="304" t="s">
        <v>12401</v>
      </c>
      <c r="C611" s="303" t="s">
        <v>12410</v>
      </c>
      <c r="D611" s="304" t="s">
        <v>12411</v>
      </c>
    </row>
    <row r="612" spans="1:4" ht="14.1" customHeight="1" x14ac:dyDescent="0.25">
      <c r="A612" s="303" t="s">
        <v>12400</v>
      </c>
      <c r="B612" s="304" t="s">
        <v>12401</v>
      </c>
      <c r="C612" s="303" t="s">
        <v>12412</v>
      </c>
      <c r="D612" s="304" t="s">
        <v>11254</v>
      </c>
    </row>
    <row r="613" spans="1:4" ht="14.1" customHeight="1" x14ac:dyDescent="0.25">
      <c r="A613" s="303" t="s">
        <v>12400</v>
      </c>
      <c r="B613" s="304" t="s">
        <v>12401</v>
      </c>
      <c r="C613" s="303" t="s">
        <v>12413</v>
      </c>
      <c r="D613" s="304" t="s">
        <v>12414</v>
      </c>
    </row>
    <row r="614" spans="1:4" ht="14.1" customHeight="1" x14ac:dyDescent="0.25">
      <c r="A614" s="303" t="s">
        <v>12415</v>
      </c>
      <c r="B614" s="304" t="s">
        <v>12416</v>
      </c>
      <c r="C614" s="303" t="s">
        <v>12417</v>
      </c>
      <c r="D614" s="304" t="s">
        <v>12418</v>
      </c>
    </row>
    <row r="615" spans="1:4" ht="14.1" customHeight="1" x14ac:dyDescent="0.25">
      <c r="A615" s="303" t="s">
        <v>12415</v>
      </c>
      <c r="B615" s="304" t="s">
        <v>12416</v>
      </c>
      <c r="C615" s="303" t="s">
        <v>12419</v>
      </c>
      <c r="D615" s="304" t="s">
        <v>12420</v>
      </c>
    </row>
    <row r="616" spans="1:4" ht="14.1" customHeight="1" x14ac:dyDescent="0.25">
      <c r="A616" s="303" t="s">
        <v>12415</v>
      </c>
      <c r="B616" s="304" t="s">
        <v>12416</v>
      </c>
      <c r="C616" s="303" t="s">
        <v>12421</v>
      </c>
      <c r="D616" s="304" t="s">
        <v>12422</v>
      </c>
    </row>
    <row r="617" spans="1:4" ht="14.1" customHeight="1" x14ac:dyDescent="0.25">
      <c r="A617" s="303" t="s">
        <v>12415</v>
      </c>
      <c r="B617" s="304" t="s">
        <v>12416</v>
      </c>
      <c r="C617" s="303" t="s">
        <v>12423</v>
      </c>
      <c r="D617" s="304" t="s">
        <v>11849</v>
      </c>
    </row>
    <row r="618" spans="1:4" ht="14.1" customHeight="1" x14ac:dyDescent="0.25">
      <c r="A618" s="303" t="s">
        <v>12415</v>
      </c>
      <c r="B618" s="304" t="s">
        <v>12416</v>
      </c>
      <c r="C618" s="303" t="s">
        <v>12424</v>
      </c>
      <c r="D618" s="304" t="s">
        <v>12425</v>
      </c>
    </row>
    <row r="619" spans="1:4" ht="14.1" customHeight="1" x14ac:dyDescent="0.25">
      <c r="A619" s="303" t="s">
        <v>12426</v>
      </c>
      <c r="B619" s="304" t="s">
        <v>12427</v>
      </c>
      <c r="C619" s="303" t="s">
        <v>12428</v>
      </c>
      <c r="D619" s="304" t="s">
        <v>12429</v>
      </c>
    </row>
    <row r="620" spans="1:4" ht="14.1" customHeight="1" x14ac:dyDescent="0.25">
      <c r="A620" s="303" t="s">
        <v>12426</v>
      </c>
      <c r="B620" s="304" t="s">
        <v>12427</v>
      </c>
      <c r="C620" s="303" t="s">
        <v>12430</v>
      </c>
      <c r="D620" s="304" t="s">
        <v>12431</v>
      </c>
    </row>
    <row r="621" spans="1:4" ht="14.1" customHeight="1" x14ac:dyDescent="0.25">
      <c r="A621" s="303" t="s">
        <v>12426</v>
      </c>
      <c r="B621" s="304" t="s">
        <v>12427</v>
      </c>
      <c r="C621" s="303" t="s">
        <v>12432</v>
      </c>
      <c r="D621" s="304" t="s">
        <v>12433</v>
      </c>
    </row>
    <row r="622" spans="1:4" ht="14.1" customHeight="1" x14ac:dyDescent="0.25">
      <c r="A622" s="303" t="s">
        <v>12426</v>
      </c>
      <c r="B622" s="304" t="s">
        <v>12427</v>
      </c>
      <c r="C622" s="303" t="s">
        <v>12434</v>
      </c>
      <c r="D622" s="304" t="s">
        <v>12435</v>
      </c>
    </row>
    <row r="623" spans="1:4" ht="14.1" customHeight="1" x14ac:dyDescent="0.25">
      <c r="A623" s="303" t="s">
        <v>12426</v>
      </c>
      <c r="B623" s="304" t="s">
        <v>12427</v>
      </c>
      <c r="C623" s="303" t="s">
        <v>12436</v>
      </c>
      <c r="D623" s="304" t="s">
        <v>12437</v>
      </c>
    </row>
    <row r="624" spans="1:4" ht="14.1" customHeight="1" x14ac:dyDescent="0.25">
      <c r="A624" s="303" t="s">
        <v>12426</v>
      </c>
      <c r="B624" s="304" t="s">
        <v>12427</v>
      </c>
      <c r="C624" s="303" t="s">
        <v>12438</v>
      </c>
      <c r="D624" s="304" t="s">
        <v>12439</v>
      </c>
    </row>
    <row r="625" spans="1:4" ht="14.1" customHeight="1" x14ac:dyDescent="0.25">
      <c r="A625" s="374" t="s">
        <v>11380</v>
      </c>
      <c r="B625" s="378" t="s">
        <v>11381</v>
      </c>
      <c r="C625" s="375" t="s">
        <v>11388</v>
      </c>
      <c r="D625" s="376" t="s">
        <v>11389</v>
      </c>
    </row>
    <row r="626" spans="1:4" ht="14.1" customHeight="1" x14ac:dyDescent="0.25">
      <c r="A626" s="303" t="s">
        <v>12444</v>
      </c>
      <c r="B626" s="304" t="s">
        <v>12445</v>
      </c>
      <c r="C626" s="303" t="s">
        <v>12446</v>
      </c>
      <c r="D626" s="304" t="s">
        <v>12447</v>
      </c>
    </row>
    <row r="627" spans="1:4" ht="14.1" customHeight="1" x14ac:dyDescent="0.25">
      <c r="A627" s="303" t="s">
        <v>12444</v>
      </c>
      <c r="B627" s="304" t="s">
        <v>12445</v>
      </c>
      <c r="C627" s="303" t="s">
        <v>12448</v>
      </c>
      <c r="D627" s="304" t="s">
        <v>12449</v>
      </c>
    </row>
    <row r="628" spans="1:4" ht="14.1" customHeight="1" x14ac:dyDescent="0.25">
      <c r="A628" s="303" t="s">
        <v>12450</v>
      </c>
      <c r="B628" s="304" t="s">
        <v>12451</v>
      </c>
      <c r="C628" s="303" t="s">
        <v>12452</v>
      </c>
      <c r="D628" s="304" t="s">
        <v>12453</v>
      </c>
    </row>
    <row r="629" spans="1:4" ht="14.1" customHeight="1" x14ac:dyDescent="0.25">
      <c r="A629" s="303" t="s">
        <v>12450</v>
      </c>
      <c r="B629" s="304" t="s">
        <v>12451</v>
      </c>
      <c r="C629" s="303" t="s">
        <v>12454</v>
      </c>
      <c r="D629" s="304" t="s">
        <v>12455</v>
      </c>
    </row>
    <row r="630" spans="1:4" ht="14.1" customHeight="1" x14ac:dyDescent="0.25">
      <c r="A630" s="303" t="s">
        <v>12450</v>
      </c>
      <c r="B630" s="304" t="s">
        <v>12451</v>
      </c>
      <c r="C630" s="303" t="s">
        <v>12456</v>
      </c>
      <c r="D630" s="304" t="s">
        <v>12457</v>
      </c>
    </row>
    <row r="631" spans="1:4" ht="14.1" customHeight="1" x14ac:dyDescent="0.25">
      <c r="A631" s="303" t="s">
        <v>12458</v>
      </c>
      <c r="B631" s="304" t="s">
        <v>12459</v>
      </c>
      <c r="C631" s="303" t="s">
        <v>12460</v>
      </c>
      <c r="D631" s="304" t="s">
        <v>12461</v>
      </c>
    </row>
    <row r="632" spans="1:4" ht="14.1" customHeight="1" x14ac:dyDescent="0.25">
      <c r="A632" s="303" t="s">
        <v>12462</v>
      </c>
      <c r="B632" s="304" t="s">
        <v>12463</v>
      </c>
      <c r="C632" s="303" t="s">
        <v>12464</v>
      </c>
      <c r="D632" s="304" t="s">
        <v>12465</v>
      </c>
    </row>
    <row r="633" spans="1:4" ht="14.1" customHeight="1" x14ac:dyDescent="0.25">
      <c r="A633" s="303" t="s">
        <v>12466</v>
      </c>
      <c r="B633" s="304" t="s">
        <v>12467</v>
      </c>
      <c r="C633" s="303" t="s">
        <v>12468</v>
      </c>
      <c r="D633" s="304" t="s">
        <v>12469</v>
      </c>
    </row>
    <row r="634" spans="1:4" ht="14.1" customHeight="1" x14ac:dyDescent="0.25">
      <c r="A634" s="303" t="s">
        <v>12466</v>
      </c>
      <c r="B634" s="304" t="s">
        <v>12467</v>
      </c>
      <c r="C634" s="303" t="s">
        <v>12470</v>
      </c>
      <c r="D634" s="304" t="s">
        <v>12471</v>
      </c>
    </row>
    <row r="635" spans="1:4" ht="14.1" customHeight="1" x14ac:dyDescent="0.25">
      <c r="A635" s="303" t="s">
        <v>12466</v>
      </c>
      <c r="B635" s="304" t="s">
        <v>12467</v>
      </c>
      <c r="C635" s="303" t="s">
        <v>12472</v>
      </c>
      <c r="D635" s="304" t="s">
        <v>12473</v>
      </c>
    </row>
    <row r="636" spans="1:4" ht="14.1" customHeight="1" x14ac:dyDescent="0.25">
      <c r="A636" s="303" t="s">
        <v>12466</v>
      </c>
      <c r="B636" s="304" t="s">
        <v>12467</v>
      </c>
      <c r="C636" s="303" t="s">
        <v>12474</v>
      </c>
      <c r="D636" s="304" t="s">
        <v>12475</v>
      </c>
    </row>
    <row r="637" spans="1:4" ht="14.1" customHeight="1" x14ac:dyDescent="0.25">
      <c r="A637" s="303" t="s">
        <v>12466</v>
      </c>
      <c r="B637" s="304" t="s">
        <v>12467</v>
      </c>
      <c r="C637" s="303" t="s">
        <v>12476</v>
      </c>
      <c r="D637" s="304" t="s">
        <v>12477</v>
      </c>
    </row>
    <row r="638" spans="1:4" ht="14.1" customHeight="1" x14ac:dyDescent="0.25">
      <c r="A638" s="303" t="s">
        <v>12466</v>
      </c>
      <c r="B638" s="304" t="s">
        <v>12467</v>
      </c>
      <c r="C638" s="303" t="s">
        <v>12478</v>
      </c>
      <c r="D638" s="304" t="s">
        <v>12479</v>
      </c>
    </row>
    <row r="639" spans="1:4" ht="14.1" customHeight="1" x14ac:dyDescent="0.25">
      <c r="A639" s="303" t="s">
        <v>12466</v>
      </c>
      <c r="B639" s="304" t="s">
        <v>12467</v>
      </c>
      <c r="C639" s="303" t="s">
        <v>12480</v>
      </c>
      <c r="D639" s="304" t="s">
        <v>12481</v>
      </c>
    </row>
    <row r="640" spans="1:4" ht="14.1" customHeight="1" x14ac:dyDescent="0.25">
      <c r="A640" s="303" t="s">
        <v>12466</v>
      </c>
      <c r="B640" s="304" t="s">
        <v>12467</v>
      </c>
      <c r="C640" s="303" t="s">
        <v>12482</v>
      </c>
      <c r="D640" s="304" t="s">
        <v>12483</v>
      </c>
    </row>
    <row r="641" spans="1:4" ht="14.1" customHeight="1" x14ac:dyDescent="0.25">
      <c r="A641" s="303" t="s">
        <v>12484</v>
      </c>
      <c r="B641" s="304" t="s">
        <v>12485</v>
      </c>
      <c r="C641" s="303" t="s">
        <v>12486</v>
      </c>
      <c r="D641" s="304" t="s">
        <v>12487</v>
      </c>
    </row>
    <row r="642" spans="1:4" ht="14.1" customHeight="1" x14ac:dyDescent="0.25">
      <c r="A642" s="303" t="s">
        <v>12484</v>
      </c>
      <c r="B642" s="304" t="s">
        <v>12485</v>
      </c>
      <c r="C642" s="303" t="s">
        <v>12488</v>
      </c>
      <c r="D642" s="304" t="s">
        <v>12489</v>
      </c>
    </row>
    <row r="643" spans="1:4" ht="14.1" customHeight="1" x14ac:dyDescent="0.25">
      <c r="A643" s="303" t="s">
        <v>12484</v>
      </c>
      <c r="B643" s="304" t="s">
        <v>12485</v>
      </c>
      <c r="C643" s="303" t="s">
        <v>12490</v>
      </c>
      <c r="D643" s="304" t="s">
        <v>12491</v>
      </c>
    </row>
    <row r="644" spans="1:4" ht="14.1" customHeight="1" x14ac:dyDescent="0.25">
      <c r="A644" s="303" t="s">
        <v>12492</v>
      </c>
      <c r="B644" s="304" t="s">
        <v>12493</v>
      </c>
      <c r="C644" s="303" t="s">
        <v>12494</v>
      </c>
      <c r="D644" s="304" t="s">
        <v>12495</v>
      </c>
    </row>
    <row r="645" spans="1:4" ht="14.1" customHeight="1" x14ac:dyDescent="0.25">
      <c r="A645" s="303" t="s">
        <v>12492</v>
      </c>
      <c r="B645" s="304" t="s">
        <v>12493</v>
      </c>
      <c r="C645" s="303" t="s">
        <v>12496</v>
      </c>
      <c r="D645" s="304" t="s">
        <v>12497</v>
      </c>
    </row>
    <row r="646" spans="1:4" ht="14.1" customHeight="1" x14ac:dyDescent="0.25">
      <c r="A646" s="303" t="s">
        <v>12492</v>
      </c>
      <c r="B646" s="304" t="s">
        <v>12493</v>
      </c>
      <c r="C646" s="303" t="s">
        <v>10988</v>
      </c>
      <c r="D646" s="304" t="s">
        <v>12498</v>
      </c>
    </row>
    <row r="647" spans="1:4" ht="14.1" customHeight="1" x14ac:dyDescent="0.25">
      <c r="A647" s="303" t="s">
        <v>12492</v>
      </c>
      <c r="B647" s="304" t="s">
        <v>12493</v>
      </c>
      <c r="C647" s="303" t="s">
        <v>12499</v>
      </c>
      <c r="D647" s="304" t="s">
        <v>12500</v>
      </c>
    </row>
    <row r="648" spans="1:4" ht="14.1" customHeight="1" x14ac:dyDescent="0.25">
      <c r="A648" s="303" t="s">
        <v>12492</v>
      </c>
      <c r="B648" s="304" t="s">
        <v>12493</v>
      </c>
      <c r="C648" s="303" t="s">
        <v>12501</v>
      </c>
      <c r="D648" s="304" t="s">
        <v>12502</v>
      </c>
    </row>
    <row r="649" spans="1:4" ht="14.1" customHeight="1" x14ac:dyDescent="0.25">
      <c r="A649" s="303" t="s">
        <v>12492</v>
      </c>
      <c r="B649" s="304" t="s">
        <v>12493</v>
      </c>
      <c r="C649" s="303" t="s">
        <v>12503</v>
      </c>
      <c r="D649" s="304" t="s">
        <v>12504</v>
      </c>
    </row>
    <row r="650" spans="1:4" ht="14.1" customHeight="1" x14ac:dyDescent="0.25">
      <c r="A650" s="303" t="s">
        <v>12492</v>
      </c>
      <c r="B650" s="304" t="s">
        <v>12493</v>
      </c>
      <c r="C650" s="303" t="s">
        <v>12505</v>
      </c>
      <c r="D650" s="304" t="s">
        <v>12506</v>
      </c>
    </row>
    <row r="651" spans="1:4" ht="14.1" customHeight="1" x14ac:dyDescent="0.25">
      <c r="A651" s="303" t="s">
        <v>12492</v>
      </c>
      <c r="B651" s="304" t="s">
        <v>12493</v>
      </c>
      <c r="C651" s="303" t="s">
        <v>12507</v>
      </c>
      <c r="D651" s="304" t="s">
        <v>12508</v>
      </c>
    </row>
    <row r="652" spans="1:4" ht="14.1" customHeight="1" x14ac:dyDescent="0.25">
      <c r="A652" s="303" t="s">
        <v>12492</v>
      </c>
      <c r="B652" s="304" t="s">
        <v>12493</v>
      </c>
      <c r="C652" s="303" t="s">
        <v>12509</v>
      </c>
      <c r="D652" s="304" t="s">
        <v>12510</v>
      </c>
    </row>
    <row r="653" spans="1:4" ht="14.1" customHeight="1" x14ac:dyDescent="0.25">
      <c r="A653" s="303" t="s">
        <v>12492</v>
      </c>
      <c r="B653" s="304" t="s">
        <v>12493</v>
      </c>
      <c r="C653" s="303" t="s">
        <v>12511</v>
      </c>
      <c r="D653" s="304" t="s">
        <v>12512</v>
      </c>
    </row>
    <row r="654" spans="1:4" ht="14.1" customHeight="1" x14ac:dyDescent="0.25">
      <c r="A654" s="303" t="s">
        <v>12492</v>
      </c>
      <c r="B654" s="304" t="s">
        <v>12493</v>
      </c>
      <c r="C654" s="303" t="s">
        <v>12513</v>
      </c>
      <c r="D654" s="304" t="s">
        <v>12514</v>
      </c>
    </row>
    <row r="655" spans="1:4" ht="14.1" customHeight="1" x14ac:dyDescent="0.25">
      <c r="A655" s="303" t="s">
        <v>12492</v>
      </c>
      <c r="B655" s="304" t="s">
        <v>12493</v>
      </c>
      <c r="C655" s="303" t="s">
        <v>12515</v>
      </c>
      <c r="D655" s="304" t="s">
        <v>11487</v>
      </c>
    </row>
    <row r="656" spans="1:4" ht="14.1" customHeight="1" x14ac:dyDescent="0.25">
      <c r="A656" s="303" t="s">
        <v>12492</v>
      </c>
      <c r="B656" s="304" t="s">
        <v>12493</v>
      </c>
      <c r="C656" s="303" t="s">
        <v>12516</v>
      </c>
      <c r="D656" s="304" t="s">
        <v>12517</v>
      </c>
    </row>
    <row r="657" spans="1:4" ht="14.1" customHeight="1" x14ac:dyDescent="0.25">
      <c r="A657" s="303" t="s">
        <v>12492</v>
      </c>
      <c r="B657" s="304" t="s">
        <v>12493</v>
      </c>
      <c r="C657" s="303" t="s">
        <v>12518</v>
      </c>
      <c r="D657" s="304" t="s">
        <v>12519</v>
      </c>
    </row>
    <row r="658" spans="1:4" ht="14.1" customHeight="1" x14ac:dyDescent="0.25">
      <c r="A658" s="374" t="s">
        <v>11472</v>
      </c>
      <c r="B658" s="378" t="s">
        <v>11473</v>
      </c>
      <c r="C658" s="375" t="s">
        <v>11486</v>
      </c>
      <c r="D658" s="376" t="s">
        <v>11487</v>
      </c>
    </row>
    <row r="659" spans="1:4" ht="14.1" customHeight="1" x14ac:dyDescent="0.25">
      <c r="A659" s="303" t="s">
        <v>12492</v>
      </c>
      <c r="B659" s="304" t="s">
        <v>12493</v>
      </c>
      <c r="C659" s="303" t="s">
        <v>12520</v>
      </c>
      <c r="D659" s="304" t="s">
        <v>12521</v>
      </c>
    </row>
    <row r="660" spans="1:4" ht="14.1" customHeight="1" x14ac:dyDescent="0.25">
      <c r="A660" s="303" t="s">
        <v>12522</v>
      </c>
      <c r="B660" s="304" t="s">
        <v>12523</v>
      </c>
      <c r="C660" s="303" t="s">
        <v>12524</v>
      </c>
      <c r="D660" s="304" t="s">
        <v>12525</v>
      </c>
    </row>
    <row r="661" spans="1:4" ht="14.1" customHeight="1" x14ac:dyDescent="0.25">
      <c r="A661" s="303" t="s">
        <v>12526</v>
      </c>
      <c r="B661" s="304" t="s">
        <v>12527</v>
      </c>
      <c r="C661" s="303" t="s">
        <v>12528</v>
      </c>
      <c r="D661" s="304" t="s">
        <v>12529</v>
      </c>
    </row>
    <row r="662" spans="1:4" ht="14.1" customHeight="1" x14ac:dyDescent="0.25">
      <c r="A662" s="303" t="s">
        <v>12530</v>
      </c>
      <c r="B662" s="304" t="s">
        <v>12531</v>
      </c>
      <c r="C662" s="303" t="s">
        <v>12532</v>
      </c>
      <c r="D662" s="304" t="s">
        <v>12533</v>
      </c>
    </row>
    <row r="663" spans="1:4" ht="14.1" customHeight="1" x14ac:dyDescent="0.25">
      <c r="A663" s="303" t="s">
        <v>7537</v>
      </c>
      <c r="B663" s="304" t="s">
        <v>12534</v>
      </c>
      <c r="C663" s="303" t="s">
        <v>12535</v>
      </c>
      <c r="D663" s="304" t="s">
        <v>12536</v>
      </c>
    </row>
    <row r="664" spans="1:4" ht="14.1" customHeight="1" x14ac:dyDescent="0.25">
      <c r="A664" s="303" t="s">
        <v>7537</v>
      </c>
      <c r="B664" s="304" t="s">
        <v>12534</v>
      </c>
      <c r="C664" s="303" t="s">
        <v>10986</v>
      </c>
      <c r="D664" s="304" t="s">
        <v>12537</v>
      </c>
    </row>
    <row r="665" spans="1:4" ht="14.1" customHeight="1" x14ac:dyDescent="0.25">
      <c r="A665" s="303" t="s">
        <v>7537</v>
      </c>
      <c r="B665" s="304" t="s">
        <v>12534</v>
      </c>
      <c r="C665" s="303" t="s">
        <v>12538</v>
      </c>
      <c r="D665" s="304" t="s">
        <v>12539</v>
      </c>
    </row>
    <row r="666" spans="1:4" ht="14.1" customHeight="1" x14ac:dyDescent="0.25">
      <c r="A666" s="303" t="s">
        <v>7537</v>
      </c>
      <c r="B666" s="304" t="s">
        <v>12534</v>
      </c>
      <c r="C666" s="303" t="s">
        <v>12540</v>
      </c>
      <c r="D666" s="304" t="s">
        <v>12541</v>
      </c>
    </row>
    <row r="667" spans="1:4" ht="14.1" customHeight="1" x14ac:dyDescent="0.25">
      <c r="A667" s="303" t="s">
        <v>7537</v>
      </c>
      <c r="B667" s="304" t="s">
        <v>12534</v>
      </c>
      <c r="C667" s="303" t="s">
        <v>12542</v>
      </c>
      <c r="D667" s="304" t="s">
        <v>12543</v>
      </c>
    </row>
    <row r="668" spans="1:4" ht="14.1" customHeight="1" x14ac:dyDescent="0.25">
      <c r="A668" s="303" t="s">
        <v>7537</v>
      </c>
      <c r="B668" s="304" t="s">
        <v>12534</v>
      </c>
      <c r="C668" s="303" t="s">
        <v>12544</v>
      </c>
      <c r="D668" s="304" t="s">
        <v>12545</v>
      </c>
    </row>
    <row r="669" spans="1:4" ht="14.1" customHeight="1" x14ac:dyDescent="0.25">
      <c r="A669" s="303" t="s">
        <v>7537</v>
      </c>
      <c r="B669" s="304" t="s">
        <v>12534</v>
      </c>
      <c r="C669" s="303" t="s">
        <v>12546</v>
      </c>
      <c r="D669" s="304" t="s">
        <v>12547</v>
      </c>
    </row>
    <row r="670" spans="1:4" ht="14.1" customHeight="1" x14ac:dyDescent="0.25">
      <c r="A670" s="303" t="s">
        <v>7537</v>
      </c>
      <c r="B670" s="304" t="s">
        <v>12534</v>
      </c>
      <c r="C670" s="303" t="s">
        <v>12548</v>
      </c>
      <c r="D670" s="304" t="s">
        <v>12549</v>
      </c>
    </row>
    <row r="671" spans="1:4" ht="14.1" customHeight="1" x14ac:dyDescent="0.25">
      <c r="A671" s="303" t="s">
        <v>12550</v>
      </c>
      <c r="B671" s="304" t="s">
        <v>12551</v>
      </c>
      <c r="C671" s="303" t="s">
        <v>12552</v>
      </c>
      <c r="D671" s="304" t="s">
        <v>12553</v>
      </c>
    </row>
    <row r="672" spans="1:4" ht="14.1" customHeight="1" x14ac:dyDescent="0.25">
      <c r="A672" s="303" t="s">
        <v>12550</v>
      </c>
      <c r="B672" s="304" t="s">
        <v>12551</v>
      </c>
      <c r="C672" s="303" t="s">
        <v>12554</v>
      </c>
      <c r="D672" s="304" t="s">
        <v>12555</v>
      </c>
    </row>
    <row r="673" spans="1:4" ht="14.1" customHeight="1" x14ac:dyDescent="0.25">
      <c r="A673" s="303" t="s">
        <v>12550</v>
      </c>
      <c r="B673" s="304" t="s">
        <v>12551</v>
      </c>
      <c r="C673" s="303" t="s">
        <v>12556</v>
      </c>
      <c r="D673" s="304" t="s">
        <v>12557</v>
      </c>
    </row>
    <row r="674" spans="1:4" ht="14.1" customHeight="1" x14ac:dyDescent="0.25">
      <c r="A674" s="303" t="s">
        <v>12550</v>
      </c>
      <c r="B674" s="304" t="s">
        <v>12551</v>
      </c>
      <c r="C674" s="303" t="s">
        <v>12558</v>
      </c>
      <c r="D674" s="304" t="s">
        <v>12559</v>
      </c>
    </row>
    <row r="675" spans="1:4" ht="14.1" customHeight="1" x14ac:dyDescent="0.25">
      <c r="A675" s="303" t="s">
        <v>12550</v>
      </c>
      <c r="B675" s="304" t="s">
        <v>12551</v>
      </c>
      <c r="C675" s="303" t="s">
        <v>12560</v>
      </c>
      <c r="D675" s="304" t="s">
        <v>12561</v>
      </c>
    </row>
    <row r="676" spans="1:4" ht="14.1" customHeight="1" x14ac:dyDescent="0.25">
      <c r="A676" s="303" t="s">
        <v>12550</v>
      </c>
      <c r="B676" s="304" t="s">
        <v>12551</v>
      </c>
      <c r="C676" s="303" t="s">
        <v>12562</v>
      </c>
      <c r="D676" s="304" t="s">
        <v>12563</v>
      </c>
    </row>
    <row r="677" spans="1:4" ht="14.1" customHeight="1" x14ac:dyDescent="0.25">
      <c r="A677" s="303" t="s">
        <v>12550</v>
      </c>
      <c r="B677" s="304" t="s">
        <v>12551</v>
      </c>
      <c r="C677" s="303" t="s">
        <v>12564</v>
      </c>
      <c r="D677" s="304" t="s">
        <v>12565</v>
      </c>
    </row>
    <row r="678" spans="1:4" ht="14.1" customHeight="1" x14ac:dyDescent="0.25">
      <c r="A678" s="303" t="s">
        <v>12550</v>
      </c>
      <c r="B678" s="304" t="s">
        <v>12551</v>
      </c>
      <c r="C678" s="303" t="s">
        <v>12566</v>
      </c>
      <c r="D678" s="304" t="s">
        <v>12567</v>
      </c>
    </row>
    <row r="679" spans="1:4" ht="14.1" customHeight="1" x14ac:dyDescent="0.25">
      <c r="A679" s="303" t="s">
        <v>12550</v>
      </c>
      <c r="B679" s="304" t="s">
        <v>12551</v>
      </c>
      <c r="C679" s="303" t="s">
        <v>12568</v>
      </c>
      <c r="D679" s="304" t="s">
        <v>12569</v>
      </c>
    </row>
    <row r="680" spans="1:4" ht="14.1" customHeight="1" x14ac:dyDescent="0.25">
      <c r="A680" s="303" t="s">
        <v>12550</v>
      </c>
      <c r="B680" s="304" t="s">
        <v>12551</v>
      </c>
      <c r="C680" s="303" t="s">
        <v>12570</v>
      </c>
      <c r="D680" s="304" t="s">
        <v>12571</v>
      </c>
    </row>
    <row r="681" spans="1:4" ht="14.1" customHeight="1" x14ac:dyDescent="0.25">
      <c r="A681" s="374" t="s">
        <v>11472</v>
      </c>
      <c r="B681" s="378" t="s">
        <v>11473</v>
      </c>
      <c r="C681" s="375" t="s">
        <v>11492</v>
      </c>
      <c r="D681" s="376" t="s">
        <v>11493</v>
      </c>
    </row>
    <row r="682" spans="1:4" ht="14.1" customHeight="1" x14ac:dyDescent="0.25">
      <c r="A682" s="303" t="s">
        <v>12550</v>
      </c>
      <c r="B682" s="304" t="s">
        <v>12551</v>
      </c>
      <c r="C682" s="303" t="s">
        <v>12572</v>
      </c>
      <c r="D682" s="304" t="s">
        <v>12573</v>
      </c>
    </row>
    <row r="683" spans="1:4" ht="14.1" customHeight="1" x14ac:dyDescent="0.25">
      <c r="A683" s="303" t="s">
        <v>7483</v>
      </c>
      <c r="B683" s="304" t="s">
        <v>12574</v>
      </c>
      <c r="C683" s="303" t="s">
        <v>12575</v>
      </c>
      <c r="D683" s="304" t="s">
        <v>12576</v>
      </c>
    </row>
    <row r="684" spans="1:4" ht="14.1" customHeight="1" x14ac:dyDescent="0.25">
      <c r="A684" s="303" t="s">
        <v>7483</v>
      </c>
      <c r="B684" s="304" t="s">
        <v>12574</v>
      </c>
      <c r="C684" s="303" t="s">
        <v>12577</v>
      </c>
      <c r="D684" s="304" t="s">
        <v>12578</v>
      </c>
    </row>
    <row r="685" spans="1:4" ht="14.1" customHeight="1" x14ac:dyDescent="0.25">
      <c r="A685" s="303" t="s">
        <v>7483</v>
      </c>
      <c r="B685" s="304" t="s">
        <v>12574</v>
      </c>
      <c r="C685" s="303" t="s">
        <v>12579</v>
      </c>
      <c r="D685" s="304" t="s">
        <v>12580</v>
      </c>
    </row>
    <row r="686" spans="1:4" ht="14.1" customHeight="1" x14ac:dyDescent="0.25">
      <c r="A686" s="303" t="s">
        <v>7483</v>
      </c>
      <c r="B686" s="304" t="s">
        <v>12574</v>
      </c>
      <c r="C686" s="303" t="s">
        <v>12581</v>
      </c>
      <c r="D686" s="304" t="s">
        <v>12582</v>
      </c>
    </row>
    <row r="687" spans="1:4" ht="14.1" customHeight="1" x14ac:dyDescent="0.25">
      <c r="A687" s="303" t="s">
        <v>7483</v>
      </c>
      <c r="B687" s="304" t="s">
        <v>12574</v>
      </c>
      <c r="C687" s="303" t="s">
        <v>12583</v>
      </c>
      <c r="D687" s="304" t="s">
        <v>12584</v>
      </c>
    </row>
    <row r="688" spans="1:4" ht="14.1" customHeight="1" x14ac:dyDescent="0.25">
      <c r="A688" s="303" t="s">
        <v>7483</v>
      </c>
      <c r="B688" s="304" t="s">
        <v>12574</v>
      </c>
      <c r="C688" s="303" t="s">
        <v>12585</v>
      </c>
      <c r="D688" s="304" t="s">
        <v>12586</v>
      </c>
    </row>
    <row r="689" spans="1:4" ht="14.1" customHeight="1" x14ac:dyDescent="0.25">
      <c r="A689" s="303" t="s">
        <v>12587</v>
      </c>
      <c r="B689" s="304" t="s">
        <v>12588</v>
      </c>
      <c r="C689" s="303" t="s">
        <v>12589</v>
      </c>
      <c r="D689" s="304" t="s">
        <v>12590</v>
      </c>
    </row>
    <row r="690" spans="1:4" ht="14.1" customHeight="1" x14ac:dyDescent="0.25">
      <c r="A690" s="303" t="s">
        <v>12587</v>
      </c>
      <c r="B690" s="304" t="s">
        <v>12588</v>
      </c>
      <c r="C690" s="303" t="s">
        <v>12591</v>
      </c>
      <c r="D690" s="304" t="s">
        <v>12592</v>
      </c>
    </row>
    <row r="691" spans="1:4" ht="14.1" customHeight="1" x14ac:dyDescent="0.25">
      <c r="A691" s="303" t="s">
        <v>12587</v>
      </c>
      <c r="B691" s="304" t="s">
        <v>12588</v>
      </c>
      <c r="C691" s="303" t="s">
        <v>12593</v>
      </c>
      <c r="D691" s="304" t="s">
        <v>12594</v>
      </c>
    </row>
    <row r="692" spans="1:4" ht="14.1" customHeight="1" x14ac:dyDescent="0.25">
      <c r="A692" s="303" t="s">
        <v>12595</v>
      </c>
      <c r="B692" s="304" t="s">
        <v>12596</v>
      </c>
      <c r="C692" s="303" t="s">
        <v>12597</v>
      </c>
      <c r="D692" s="304" t="s">
        <v>12598</v>
      </c>
    </row>
    <row r="693" spans="1:4" ht="14.1" customHeight="1" x14ac:dyDescent="0.25">
      <c r="A693" s="303" t="s">
        <v>12595</v>
      </c>
      <c r="B693" s="304" t="s">
        <v>12596</v>
      </c>
      <c r="C693" s="303" t="s">
        <v>11022</v>
      </c>
      <c r="D693" s="304" t="s">
        <v>12599</v>
      </c>
    </row>
    <row r="694" spans="1:4" ht="14.1" customHeight="1" x14ac:dyDescent="0.25">
      <c r="A694" s="303" t="s">
        <v>12600</v>
      </c>
      <c r="B694" s="304" t="s">
        <v>12601</v>
      </c>
      <c r="C694" s="303" t="s">
        <v>12602</v>
      </c>
      <c r="D694" s="304" t="s">
        <v>12603</v>
      </c>
    </row>
    <row r="695" spans="1:4" ht="14.1" customHeight="1" x14ac:dyDescent="0.25">
      <c r="A695" s="303" t="s">
        <v>12600</v>
      </c>
      <c r="B695" s="304" t="s">
        <v>12601</v>
      </c>
      <c r="C695" s="303" t="s">
        <v>12604</v>
      </c>
      <c r="D695" s="304" t="s">
        <v>12605</v>
      </c>
    </row>
    <row r="696" spans="1:4" ht="14.1" customHeight="1" x14ac:dyDescent="0.25">
      <c r="A696" s="303" t="s">
        <v>12600</v>
      </c>
      <c r="B696" s="304" t="s">
        <v>12601</v>
      </c>
      <c r="C696" s="303" t="s">
        <v>12606</v>
      </c>
      <c r="D696" s="304" t="s">
        <v>12607</v>
      </c>
    </row>
    <row r="697" spans="1:4" ht="14.1" customHeight="1" x14ac:dyDescent="0.25">
      <c r="A697" s="303" t="s">
        <v>12600</v>
      </c>
      <c r="B697" s="304" t="s">
        <v>12601</v>
      </c>
      <c r="C697" s="303" t="s">
        <v>12608</v>
      </c>
      <c r="D697" s="304" t="s">
        <v>12609</v>
      </c>
    </row>
    <row r="698" spans="1:4" ht="14.1" customHeight="1" x14ac:dyDescent="0.25">
      <c r="A698" s="303" t="s">
        <v>12600</v>
      </c>
      <c r="B698" s="304" t="s">
        <v>12601</v>
      </c>
      <c r="C698" s="303" t="s">
        <v>12610</v>
      </c>
      <c r="D698" s="304" t="s">
        <v>12611</v>
      </c>
    </row>
    <row r="699" spans="1:4" ht="14.1" customHeight="1" x14ac:dyDescent="0.25">
      <c r="A699" s="303" t="s">
        <v>12600</v>
      </c>
      <c r="B699" s="304" t="s">
        <v>12601</v>
      </c>
      <c r="C699" s="303" t="s">
        <v>12612</v>
      </c>
      <c r="D699" s="304" t="s">
        <v>12331</v>
      </c>
    </row>
    <row r="700" spans="1:4" ht="14.1" customHeight="1" x14ac:dyDescent="0.25">
      <c r="A700" s="303" t="s">
        <v>12600</v>
      </c>
      <c r="B700" s="304" t="s">
        <v>12601</v>
      </c>
      <c r="C700" s="303" t="s">
        <v>12613</v>
      </c>
      <c r="D700" s="304" t="s">
        <v>12614</v>
      </c>
    </row>
    <row r="701" spans="1:4" ht="14.1" customHeight="1" x14ac:dyDescent="0.25">
      <c r="A701" s="303" t="s">
        <v>12600</v>
      </c>
      <c r="B701" s="304" t="s">
        <v>12601</v>
      </c>
      <c r="C701" s="303" t="s">
        <v>12615</v>
      </c>
      <c r="D701" s="304" t="s">
        <v>12616</v>
      </c>
    </row>
    <row r="702" spans="1:4" ht="14.1" customHeight="1" x14ac:dyDescent="0.25">
      <c r="A702" s="303" t="s">
        <v>12600</v>
      </c>
      <c r="B702" s="304" t="s">
        <v>12601</v>
      </c>
      <c r="C702" s="303" t="s">
        <v>12617</v>
      </c>
      <c r="D702" s="304" t="s">
        <v>11240</v>
      </c>
    </row>
    <row r="703" spans="1:4" ht="14.1" customHeight="1" x14ac:dyDescent="0.25">
      <c r="A703" s="303" t="s">
        <v>12600</v>
      </c>
      <c r="B703" s="304" t="s">
        <v>12601</v>
      </c>
      <c r="C703" s="303" t="s">
        <v>12618</v>
      </c>
      <c r="D703" s="304" t="s">
        <v>12619</v>
      </c>
    </row>
    <row r="704" spans="1:4" ht="14.1" customHeight="1" x14ac:dyDescent="0.25">
      <c r="A704" s="303" t="s">
        <v>12600</v>
      </c>
      <c r="B704" s="304" t="s">
        <v>12601</v>
      </c>
      <c r="C704" s="303" t="s">
        <v>12620</v>
      </c>
      <c r="D704" s="304" t="s">
        <v>11234</v>
      </c>
    </row>
    <row r="705" spans="1:4" ht="14.1" customHeight="1" x14ac:dyDescent="0.25">
      <c r="A705" s="303" t="s">
        <v>12600</v>
      </c>
      <c r="B705" s="304" t="s">
        <v>12601</v>
      </c>
      <c r="C705" s="303" t="s">
        <v>12621</v>
      </c>
      <c r="D705" s="304" t="s">
        <v>12622</v>
      </c>
    </row>
    <row r="706" spans="1:4" ht="14.1" customHeight="1" x14ac:dyDescent="0.25">
      <c r="A706" s="303" t="s">
        <v>12600</v>
      </c>
      <c r="B706" s="304" t="s">
        <v>12601</v>
      </c>
      <c r="C706" s="303" t="s">
        <v>12623</v>
      </c>
      <c r="D706" s="304" t="s">
        <v>12624</v>
      </c>
    </row>
    <row r="707" spans="1:4" ht="14.1" customHeight="1" x14ac:dyDescent="0.25">
      <c r="A707" s="303" t="s">
        <v>12600</v>
      </c>
      <c r="B707" s="304" t="s">
        <v>12601</v>
      </c>
      <c r="C707" s="303" t="s">
        <v>12625</v>
      </c>
      <c r="D707" s="304" t="s">
        <v>12626</v>
      </c>
    </row>
    <row r="708" spans="1:4" ht="14.1" customHeight="1" x14ac:dyDescent="0.25">
      <c r="A708" s="303" t="s">
        <v>12600</v>
      </c>
      <c r="B708" s="304" t="s">
        <v>12601</v>
      </c>
      <c r="C708" s="303" t="s">
        <v>12627</v>
      </c>
      <c r="D708" s="304" t="s">
        <v>12628</v>
      </c>
    </row>
    <row r="709" spans="1:4" ht="14.1" customHeight="1" x14ac:dyDescent="0.25">
      <c r="A709" s="303" t="s">
        <v>12600</v>
      </c>
      <c r="B709" s="304" t="s">
        <v>12601</v>
      </c>
      <c r="C709" s="303" t="s">
        <v>12629</v>
      </c>
      <c r="D709" s="304" t="s">
        <v>12630</v>
      </c>
    </row>
    <row r="710" spans="1:4" ht="14.1" customHeight="1" x14ac:dyDescent="0.25">
      <c r="A710" s="303" t="s">
        <v>12600</v>
      </c>
      <c r="B710" s="304" t="s">
        <v>12601</v>
      </c>
      <c r="C710" s="303" t="s">
        <v>12631</v>
      </c>
      <c r="D710" s="304" t="s">
        <v>12632</v>
      </c>
    </row>
    <row r="711" spans="1:4" ht="14.1" customHeight="1" x14ac:dyDescent="0.25">
      <c r="A711" s="303" t="s">
        <v>12600</v>
      </c>
      <c r="B711" s="304" t="s">
        <v>12601</v>
      </c>
      <c r="C711" s="303" t="s">
        <v>12633</v>
      </c>
      <c r="D711" s="304" t="s">
        <v>12634</v>
      </c>
    </row>
    <row r="712" spans="1:4" ht="14.1" customHeight="1" x14ac:dyDescent="0.25">
      <c r="A712" s="303" t="s">
        <v>12600</v>
      </c>
      <c r="B712" s="304" t="s">
        <v>12601</v>
      </c>
      <c r="C712" s="303" t="s">
        <v>12635</v>
      </c>
      <c r="D712" s="304" t="s">
        <v>12636</v>
      </c>
    </row>
    <row r="713" spans="1:4" ht="14.1" customHeight="1" x14ac:dyDescent="0.25">
      <c r="A713" s="303" t="s">
        <v>12600</v>
      </c>
      <c r="B713" s="304" t="s">
        <v>12601</v>
      </c>
      <c r="C713" s="303" t="s">
        <v>12637</v>
      </c>
      <c r="D713" s="304" t="s">
        <v>12638</v>
      </c>
    </row>
    <row r="714" spans="1:4" ht="14.1" customHeight="1" x14ac:dyDescent="0.25">
      <c r="A714" s="303" t="s">
        <v>12600</v>
      </c>
      <c r="B714" s="304" t="s">
        <v>12601</v>
      </c>
      <c r="C714" s="303" t="s">
        <v>12639</v>
      </c>
      <c r="D714" s="304" t="s">
        <v>12640</v>
      </c>
    </row>
    <row r="715" spans="1:4" ht="14.1" customHeight="1" x14ac:dyDescent="0.25">
      <c r="A715" s="303" t="s">
        <v>12600</v>
      </c>
      <c r="B715" s="304" t="s">
        <v>12601</v>
      </c>
      <c r="C715" s="303" t="s">
        <v>12641</v>
      </c>
      <c r="D715" s="304" t="s">
        <v>12642</v>
      </c>
    </row>
    <row r="716" spans="1:4" ht="14.1" customHeight="1" x14ac:dyDescent="0.25">
      <c r="A716" s="303" t="s">
        <v>12600</v>
      </c>
      <c r="B716" s="304" t="s">
        <v>12601</v>
      </c>
      <c r="C716" s="303" t="s">
        <v>12643</v>
      </c>
      <c r="D716" s="304" t="s">
        <v>12644</v>
      </c>
    </row>
    <row r="717" spans="1:4" ht="14.1" customHeight="1" x14ac:dyDescent="0.25">
      <c r="A717" s="374" t="s">
        <v>11472</v>
      </c>
      <c r="B717" s="378" t="s">
        <v>11473</v>
      </c>
      <c r="C717" s="375" t="s">
        <v>11510</v>
      </c>
      <c r="D717" s="376" t="s">
        <v>11511</v>
      </c>
    </row>
    <row r="718" spans="1:4" ht="14.1" customHeight="1" x14ac:dyDescent="0.25">
      <c r="A718" s="303" t="s">
        <v>12600</v>
      </c>
      <c r="B718" s="304" t="s">
        <v>12601</v>
      </c>
      <c r="C718" s="303" t="s">
        <v>12647</v>
      </c>
      <c r="D718" s="304" t="s">
        <v>12648</v>
      </c>
    </row>
    <row r="719" spans="1:4" ht="14.1" customHeight="1" x14ac:dyDescent="0.25">
      <c r="A719" s="374" t="s">
        <v>11594</v>
      </c>
      <c r="B719" s="378" t="s">
        <v>11595</v>
      </c>
      <c r="C719" s="375" t="s">
        <v>11598</v>
      </c>
      <c r="D719" s="376" t="s">
        <v>11599</v>
      </c>
    </row>
    <row r="720" spans="1:4" ht="14.1" customHeight="1" x14ac:dyDescent="0.25">
      <c r="A720" s="303" t="s">
        <v>12600</v>
      </c>
      <c r="B720" s="304" t="s">
        <v>12601</v>
      </c>
      <c r="C720" s="303" t="s">
        <v>12651</v>
      </c>
      <c r="D720" s="304" t="s">
        <v>12652</v>
      </c>
    </row>
    <row r="721" spans="1:4" ht="14.1" customHeight="1" x14ac:dyDescent="0.25">
      <c r="A721" s="303" t="s">
        <v>12600</v>
      </c>
      <c r="B721" s="304" t="s">
        <v>12601</v>
      </c>
      <c r="C721" s="303" t="s">
        <v>12653</v>
      </c>
      <c r="D721" s="304" t="s">
        <v>12654</v>
      </c>
    </row>
    <row r="722" spans="1:4" ht="14.1" customHeight="1" x14ac:dyDescent="0.25">
      <c r="A722" s="303" t="s">
        <v>12600</v>
      </c>
      <c r="B722" s="304" t="s">
        <v>12601</v>
      </c>
      <c r="C722" s="303" t="s">
        <v>12655</v>
      </c>
      <c r="D722" s="304" t="s">
        <v>12656</v>
      </c>
    </row>
    <row r="723" spans="1:4" ht="14.1" customHeight="1" x14ac:dyDescent="0.25">
      <c r="A723" s="303" t="s">
        <v>12657</v>
      </c>
      <c r="B723" s="304" t="s">
        <v>12658</v>
      </c>
      <c r="C723" s="303" t="s">
        <v>12659</v>
      </c>
      <c r="D723" s="304" t="s">
        <v>12660</v>
      </c>
    </row>
    <row r="724" spans="1:4" ht="14.1" customHeight="1" x14ac:dyDescent="0.25">
      <c r="A724" s="303" t="s">
        <v>12657</v>
      </c>
      <c r="B724" s="304" t="s">
        <v>12658</v>
      </c>
      <c r="C724" s="303" t="s">
        <v>12661</v>
      </c>
      <c r="D724" s="304" t="s">
        <v>12662</v>
      </c>
    </row>
    <row r="725" spans="1:4" ht="14.1" customHeight="1" x14ac:dyDescent="0.25">
      <c r="A725" s="303" t="s">
        <v>12657</v>
      </c>
      <c r="B725" s="304" t="s">
        <v>12658</v>
      </c>
      <c r="C725" s="303" t="s">
        <v>12663</v>
      </c>
      <c r="D725" s="304" t="s">
        <v>12664</v>
      </c>
    </row>
    <row r="726" spans="1:4" ht="14.1" customHeight="1" x14ac:dyDescent="0.25">
      <c r="A726" s="303" t="s">
        <v>12657</v>
      </c>
      <c r="B726" s="304" t="s">
        <v>12658</v>
      </c>
      <c r="C726" s="303" t="s">
        <v>12665</v>
      </c>
      <c r="D726" s="304" t="s">
        <v>12666</v>
      </c>
    </row>
    <row r="727" spans="1:4" ht="14.1" customHeight="1" x14ac:dyDescent="0.25">
      <c r="A727" s="303" t="s">
        <v>12657</v>
      </c>
      <c r="B727" s="304" t="s">
        <v>12658</v>
      </c>
      <c r="C727" s="303" t="s">
        <v>12667</v>
      </c>
      <c r="D727" s="304" t="s">
        <v>12668</v>
      </c>
    </row>
    <row r="728" spans="1:4" ht="14.1" customHeight="1" x14ac:dyDescent="0.25">
      <c r="A728" s="303" t="s">
        <v>12669</v>
      </c>
      <c r="B728" s="304" t="s">
        <v>12670</v>
      </c>
      <c r="C728" s="303" t="s">
        <v>12671</v>
      </c>
      <c r="D728" s="304" t="s">
        <v>12672</v>
      </c>
    </row>
    <row r="729" spans="1:4" ht="14.1" customHeight="1" x14ac:dyDescent="0.25">
      <c r="A729" s="303" t="s">
        <v>12673</v>
      </c>
      <c r="B729" s="304" t="s">
        <v>12674</v>
      </c>
      <c r="C729" s="303" t="s">
        <v>12675</v>
      </c>
      <c r="D729" s="304" t="s">
        <v>12676</v>
      </c>
    </row>
    <row r="730" spans="1:4" ht="14.1" customHeight="1" x14ac:dyDescent="0.25">
      <c r="A730" s="303" t="s">
        <v>12673</v>
      </c>
      <c r="B730" s="304" t="s">
        <v>12674</v>
      </c>
      <c r="C730" s="303" t="s">
        <v>12677</v>
      </c>
      <c r="D730" s="304" t="s">
        <v>12678</v>
      </c>
    </row>
    <row r="731" spans="1:4" ht="14.1" customHeight="1" x14ac:dyDescent="0.25">
      <c r="A731" s="303" t="s">
        <v>12673</v>
      </c>
      <c r="B731" s="304" t="s">
        <v>12674</v>
      </c>
      <c r="C731" s="303" t="s">
        <v>12679</v>
      </c>
      <c r="D731" s="304" t="s">
        <v>12680</v>
      </c>
    </row>
    <row r="732" spans="1:4" ht="14.1" customHeight="1" x14ac:dyDescent="0.25">
      <c r="A732" s="303" t="s">
        <v>12673</v>
      </c>
      <c r="B732" s="304" t="s">
        <v>12674</v>
      </c>
      <c r="C732" s="303" t="s">
        <v>12681</v>
      </c>
      <c r="D732" s="304" t="s">
        <v>12682</v>
      </c>
    </row>
    <row r="733" spans="1:4" ht="14.1" customHeight="1" x14ac:dyDescent="0.25">
      <c r="A733" s="303" t="s">
        <v>12683</v>
      </c>
      <c r="B733" s="304" t="s">
        <v>12684</v>
      </c>
      <c r="C733" s="303" t="s">
        <v>12685</v>
      </c>
      <c r="D733" s="304" t="s">
        <v>12686</v>
      </c>
    </row>
    <row r="734" spans="1:4" ht="14.1" customHeight="1" x14ac:dyDescent="0.25">
      <c r="A734" s="303" t="s">
        <v>12687</v>
      </c>
      <c r="B734" s="304" t="s">
        <v>12688</v>
      </c>
      <c r="C734" s="303" t="s">
        <v>12689</v>
      </c>
      <c r="D734" s="304" t="s">
        <v>12690</v>
      </c>
    </row>
    <row r="735" spans="1:4" ht="14.1" customHeight="1" x14ac:dyDescent="0.25">
      <c r="A735" s="303" t="s">
        <v>12691</v>
      </c>
      <c r="B735" s="304" t="s">
        <v>12692</v>
      </c>
      <c r="C735" s="303" t="s">
        <v>12693</v>
      </c>
      <c r="D735" s="304" t="s">
        <v>12694</v>
      </c>
    </row>
    <row r="736" spans="1:4" ht="14.1" customHeight="1" x14ac:dyDescent="0.25">
      <c r="A736" s="303" t="s">
        <v>12695</v>
      </c>
      <c r="B736" s="304" t="s">
        <v>12696</v>
      </c>
      <c r="C736" s="303" t="s">
        <v>12697</v>
      </c>
      <c r="D736" s="304" t="s">
        <v>12698</v>
      </c>
    </row>
    <row r="737" spans="1:4" ht="14.1" customHeight="1" x14ac:dyDescent="0.25">
      <c r="A737" s="303" t="s">
        <v>12695</v>
      </c>
      <c r="B737" s="304" t="s">
        <v>12696</v>
      </c>
      <c r="C737" s="303" t="s">
        <v>12699</v>
      </c>
      <c r="D737" s="304" t="s">
        <v>12700</v>
      </c>
    </row>
    <row r="738" spans="1:4" ht="14.1" customHeight="1" x14ac:dyDescent="0.25">
      <c r="A738" s="303" t="s">
        <v>12695</v>
      </c>
      <c r="B738" s="304" t="s">
        <v>12696</v>
      </c>
      <c r="C738" s="303" t="s">
        <v>12701</v>
      </c>
      <c r="D738" s="304" t="s">
        <v>11849</v>
      </c>
    </row>
    <row r="739" spans="1:4" ht="14.1" customHeight="1" x14ac:dyDescent="0.25">
      <c r="A739" s="303" t="s">
        <v>12695</v>
      </c>
      <c r="B739" s="304" t="s">
        <v>12696</v>
      </c>
      <c r="C739" s="303" t="s">
        <v>12702</v>
      </c>
      <c r="D739" s="304" t="s">
        <v>12703</v>
      </c>
    </row>
    <row r="740" spans="1:4" ht="14.1" customHeight="1" x14ac:dyDescent="0.25">
      <c r="A740" s="303" t="s">
        <v>12704</v>
      </c>
      <c r="B740" s="304" t="s">
        <v>12705</v>
      </c>
      <c r="C740" s="303" t="s">
        <v>12706</v>
      </c>
      <c r="D740" s="304" t="s">
        <v>12707</v>
      </c>
    </row>
    <row r="741" spans="1:4" ht="14.1" customHeight="1" x14ac:dyDescent="0.25">
      <c r="A741" s="303" t="s">
        <v>12704</v>
      </c>
      <c r="B741" s="304" t="s">
        <v>12705</v>
      </c>
      <c r="C741" s="303" t="s">
        <v>12708</v>
      </c>
      <c r="D741" s="304" t="s">
        <v>12709</v>
      </c>
    </row>
    <row r="742" spans="1:4" ht="14.1" customHeight="1" x14ac:dyDescent="0.25">
      <c r="A742" s="303" t="s">
        <v>12704</v>
      </c>
      <c r="B742" s="304" t="s">
        <v>12705</v>
      </c>
      <c r="C742" s="303" t="s">
        <v>12710</v>
      </c>
      <c r="D742" s="304" t="s">
        <v>12711</v>
      </c>
    </row>
    <row r="743" spans="1:4" ht="14.1" customHeight="1" x14ac:dyDescent="0.25">
      <c r="A743" s="303" t="s">
        <v>12704</v>
      </c>
      <c r="B743" s="304" t="s">
        <v>12705</v>
      </c>
      <c r="C743" s="303" t="s">
        <v>12712</v>
      </c>
      <c r="D743" s="304" t="s">
        <v>12713</v>
      </c>
    </row>
    <row r="744" spans="1:4" ht="14.1" customHeight="1" x14ac:dyDescent="0.25">
      <c r="A744" s="303" t="s">
        <v>12704</v>
      </c>
      <c r="B744" s="304" t="s">
        <v>12705</v>
      </c>
      <c r="C744" s="303" t="s">
        <v>12714</v>
      </c>
      <c r="D744" s="304" t="s">
        <v>12715</v>
      </c>
    </row>
    <row r="745" spans="1:4" ht="14.1" customHeight="1" x14ac:dyDescent="0.25">
      <c r="A745" s="303" t="s">
        <v>12704</v>
      </c>
      <c r="B745" s="304" t="s">
        <v>12705</v>
      </c>
      <c r="C745" s="303" t="s">
        <v>12716</v>
      </c>
      <c r="D745" s="304" t="s">
        <v>12717</v>
      </c>
    </row>
    <row r="746" spans="1:4" ht="14.1" customHeight="1" x14ac:dyDescent="0.25">
      <c r="A746" s="303" t="s">
        <v>12718</v>
      </c>
      <c r="B746" s="304" t="s">
        <v>12719</v>
      </c>
      <c r="C746" s="303" t="s">
        <v>12720</v>
      </c>
      <c r="D746" s="304" t="s">
        <v>11213</v>
      </c>
    </row>
    <row r="747" spans="1:4" ht="14.1" customHeight="1" x14ac:dyDescent="0.25">
      <c r="A747" s="303" t="s">
        <v>12718</v>
      </c>
      <c r="B747" s="304" t="s">
        <v>12719</v>
      </c>
      <c r="C747" s="303" t="s">
        <v>12721</v>
      </c>
      <c r="D747" s="304" t="s">
        <v>12722</v>
      </c>
    </row>
    <row r="748" spans="1:4" ht="14.1" customHeight="1" x14ac:dyDescent="0.25">
      <c r="A748" s="303" t="s">
        <v>12718</v>
      </c>
      <c r="B748" s="304" t="s">
        <v>12719</v>
      </c>
      <c r="C748" s="303" t="s">
        <v>12723</v>
      </c>
      <c r="D748" s="304" t="s">
        <v>12724</v>
      </c>
    </row>
    <row r="749" spans="1:4" ht="14.1" customHeight="1" x14ac:dyDescent="0.25">
      <c r="A749" s="303" t="s">
        <v>12718</v>
      </c>
      <c r="B749" s="304" t="s">
        <v>12719</v>
      </c>
      <c r="C749" s="303" t="s">
        <v>12725</v>
      </c>
      <c r="D749" s="304" t="s">
        <v>12726</v>
      </c>
    </row>
    <row r="750" spans="1:4" ht="14.1" customHeight="1" x14ac:dyDescent="0.25">
      <c r="A750" s="303" t="s">
        <v>12718</v>
      </c>
      <c r="B750" s="304" t="s">
        <v>12719</v>
      </c>
      <c r="C750" s="303" t="s">
        <v>12727</v>
      </c>
      <c r="D750" s="304" t="s">
        <v>12728</v>
      </c>
    </row>
    <row r="751" spans="1:4" ht="14.1" customHeight="1" x14ac:dyDescent="0.25">
      <c r="A751" s="303" t="s">
        <v>12718</v>
      </c>
      <c r="B751" s="304" t="s">
        <v>12719</v>
      </c>
      <c r="C751" s="303" t="s">
        <v>12729</v>
      </c>
      <c r="D751" s="304" t="s">
        <v>12730</v>
      </c>
    </row>
    <row r="752" spans="1:4" ht="14.1" customHeight="1" x14ac:dyDescent="0.25">
      <c r="A752" s="303" t="s">
        <v>12718</v>
      </c>
      <c r="B752" s="304" t="s">
        <v>12719</v>
      </c>
      <c r="C752" s="303" t="s">
        <v>12731</v>
      </c>
      <c r="D752" s="304" t="s">
        <v>12732</v>
      </c>
    </row>
    <row r="753" spans="1:4" ht="14.1" customHeight="1" x14ac:dyDescent="0.25">
      <c r="A753" s="303" t="s">
        <v>12718</v>
      </c>
      <c r="B753" s="304" t="s">
        <v>12719</v>
      </c>
      <c r="C753" s="303" t="s">
        <v>12733</v>
      </c>
      <c r="D753" s="304" t="s">
        <v>12734</v>
      </c>
    </row>
    <row r="754" spans="1:4" ht="14.1" customHeight="1" x14ac:dyDescent="0.25">
      <c r="A754" s="303" t="s">
        <v>12718</v>
      </c>
      <c r="B754" s="304" t="s">
        <v>12719</v>
      </c>
      <c r="C754" s="303" t="s">
        <v>12735</v>
      </c>
      <c r="D754" s="304" t="s">
        <v>12736</v>
      </c>
    </row>
    <row r="755" spans="1:4" ht="14.1" customHeight="1" x14ac:dyDescent="0.25">
      <c r="A755" s="303" t="s">
        <v>12737</v>
      </c>
      <c r="B755" s="304" t="s">
        <v>12738</v>
      </c>
      <c r="C755" s="303" t="s">
        <v>12739</v>
      </c>
      <c r="D755" s="304" t="s">
        <v>12740</v>
      </c>
    </row>
    <row r="756" spans="1:4" ht="14.1" customHeight="1" x14ac:dyDescent="0.25">
      <c r="A756" s="303" t="s">
        <v>12741</v>
      </c>
      <c r="B756" s="304" t="s">
        <v>12742</v>
      </c>
      <c r="C756" s="303" t="s">
        <v>12743</v>
      </c>
      <c r="D756" s="304" t="s">
        <v>12744</v>
      </c>
    </row>
    <row r="757" spans="1:4" ht="14.1" customHeight="1" x14ac:dyDescent="0.25">
      <c r="A757" s="303" t="s">
        <v>12741</v>
      </c>
      <c r="B757" s="304" t="s">
        <v>12742</v>
      </c>
      <c r="C757" s="303" t="s">
        <v>12745</v>
      </c>
      <c r="D757" s="304" t="s">
        <v>12746</v>
      </c>
    </row>
    <row r="758" spans="1:4" ht="14.1" customHeight="1" x14ac:dyDescent="0.25">
      <c r="A758" s="303" t="s">
        <v>12741</v>
      </c>
      <c r="B758" s="304" t="s">
        <v>12742</v>
      </c>
      <c r="C758" s="303" t="s">
        <v>12747</v>
      </c>
      <c r="D758" s="304" t="s">
        <v>12748</v>
      </c>
    </row>
    <row r="759" spans="1:4" ht="14.1" customHeight="1" x14ac:dyDescent="0.25">
      <c r="A759" s="303" t="s">
        <v>12741</v>
      </c>
      <c r="B759" s="304" t="s">
        <v>12742</v>
      </c>
      <c r="C759" s="303" t="s">
        <v>12749</v>
      </c>
      <c r="D759" s="304" t="s">
        <v>11849</v>
      </c>
    </row>
    <row r="760" spans="1:4" ht="14.1" customHeight="1" x14ac:dyDescent="0.25">
      <c r="A760" s="303" t="s">
        <v>12741</v>
      </c>
      <c r="B760" s="304" t="s">
        <v>12742</v>
      </c>
      <c r="C760" s="303" t="s">
        <v>12750</v>
      </c>
      <c r="D760" s="304" t="s">
        <v>12751</v>
      </c>
    </row>
    <row r="761" spans="1:4" ht="14.1" customHeight="1" x14ac:dyDescent="0.25">
      <c r="A761" s="303" t="s">
        <v>12752</v>
      </c>
      <c r="B761" s="304" t="s">
        <v>12753</v>
      </c>
      <c r="C761" s="303" t="s">
        <v>12754</v>
      </c>
      <c r="D761" s="304" t="s">
        <v>12755</v>
      </c>
    </row>
    <row r="762" spans="1:4" ht="14.1" customHeight="1" x14ac:dyDescent="0.25">
      <c r="A762" s="303" t="s">
        <v>12756</v>
      </c>
      <c r="B762" s="304" t="s">
        <v>12757</v>
      </c>
      <c r="C762" s="303" t="s">
        <v>10992</v>
      </c>
      <c r="D762" s="304" t="s">
        <v>12758</v>
      </c>
    </row>
    <row r="763" spans="1:4" ht="14.1" customHeight="1" x14ac:dyDescent="0.25">
      <c r="A763" s="303" t="s">
        <v>12756</v>
      </c>
      <c r="B763" s="304" t="s">
        <v>12757</v>
      </c>
      <c r="C763" s="303" t="s">
        <v>12759</v>
      </c>
      <c r="D763" s="304" t="s">
        <v>12760</v>
      </c>
    </row>
    <row r="764" spans="1:4" ht="14.1" customHeight="1" x14ac:dyDescent="0.25">
      <c r="A764" s="303" t="s">
        <v>12756</v>
      </c>
      <c r="B764" s="304" t="s">
        <v>12757</v>
      </c>
      <c r="C764" s="303" t="s">
        <v>12761</v>
      </c>
      <c r="D764" s="304" t="s">
        <v>12762</v>
      </c>
    </row>
    <row r="765" spans="1:4" ht="14.1" customHeight="1" x14ac:dyDescent="0.25">
      <c r="A765" s="303" t="s">
        <v>12756</v>
      </c>
      <c r="B765" s="304" t="s">
        <v>12757</v>
      </c>
      <c r="C765" s="303" t="s">
        <v>12763</v>
      </c>
      <c r="D765" s="304" t="s">
        <v>11914</v>
      </c>
    </row>
    <row r="766" spans="1:4" ht="14.1" customHeight="1" x14ac:dyDescent="0.25">
      <c r="A766" s="303" t="s">
        <v>12756</v>
      </c>
      <c r="B766" s="304" t="s">
        <v>12757</v>
      </c>
      <c r="C766" s="303" t="s">
        <v>12764</v>
      </c>
      <c r="D766" s="304" t="s">
        <v>12765</v>
      </c>
    </row>
    <row r="767" spans="1:4" ht="14.1" customHeight="1" x14ac:dyDescent="0.25">
      <c r="A767" s="303" t="s">
        <v>12756</v>
      </c>
      <c r="B767" s="304" t="s">
        <v>12757</v>
      </c>
      <c r="C767" s="303" t="s">
        <v>12766</v>
      </c>
      <c r="D767" s="304" t="s">
        <v>12767</v>
      </c>
    </row>
    <row r="768" spans="1:4" ht="14.1" customHeight="1" x14ac:dyDescent="0.25">
      <c r="A768" s="303" t="s">
        <v>12756</v>
      </c>
      <c r="B768" s="304" t="s">
        <v>12757</v>
      </c>
      <c r="C768" s="303" t="s">
        <v>12768</v>
      </c>
      <c r="D768" s="304" t="s">
        <v>12769</v>
      </c>
    </row>
    <row r="769" spans="1:4" ht="14.1" customHeight="1" x14ac:dyDescent="0.25">
      <c r="A769" s="303" t="s">
        <v>12756</v>
      </c>
      <c r="B769" s="304" t="s">
        <v>12757</v>
      </c>
      <c r="C769" s="303" t="s">
        <v>12770</v>
      </c>
      <c r="D769" s="304" t="s">
        <v>12771</v>
      </c>
    </row>
    <row r="770" spans="1:4" ht="14.1" customHeight="1" x14ac:dyDescent="0.25">
      <c r="A770" s="303" t="s">
        <v>12772</v>
      </c>
      <c r="B770" s="304" t="s">
        <v>12773</v>
      </c>
      <c r="C770" s="303" t="s">
        <v>12774</v>
      </c>
      <c r="D770" s="304" t="s">
        <v>12775</v>
      </c>
    </row>
    <row r="771" spans="1:4" ht="14.1" customHeight="1" x14ac:dyDescent="0.25">
      <c r="A771" s="303" t="s">
        <v>12776</v>
      </c>
      <c r="B771" s="304" t="s">
        <v>12777</v>
      </c>
      <c r="C771" s="303" t="s">
        <v>12778</v>
      </c>
      <c r="D771" s="304" t="s">
        <v>12779</v>
      </c>
    </row>
    <row r="772" spans="1:4" ht="14.1" customHeight="1" x14ac:dyDescent="0.25">
      <c r="A772" s="303" t="s">
        <v>12780</v>
      </c>
      <c r="B772" s="304" t="s">
        <v>12781</v>
      </c>
      <c r="C772" s="303" t="s">
        <v>12782</v>
      </c>
      <c r="D772" s="304" t="s">
        <v>12783</v>
      </c>
    </row>
    <row r="773" spans="1:4" ht="14.1" customHeight="1" x14ac:dyDescent="0.25">
      <c r="A773" s="303" t="s">
        <v>12784</v>
      </c>
      <c r="B773" s="304" t="s">
        <v>12785</v>
      </c>
      <c r="C773" s="303" t="s">
        <v>12786</v>
      </c>
      <c r="D773" s="304" t="s">
        <v>12787</v>
      </c>
    </row>
    <row r="774" spans="1:4" ht="14.1" customHeight="1" x14ac:dyDescent="0.25">
      <c r="A774" s="303" t="s">
        <v>12784</v>
      </c>
      <c r="B774" s="304" t="s">
        <v>12785</v>
      </c>
      <c r="C774" s="303" t="s">
        <v>12788</v>
      </c>
      <c r="D774" s="304" t="s">
        <v>12789</v>
      </c>
    </row>
    <row r="775" spans="1:4" ht="14.1" customHeight="1" x14ac:dyDescent="0.25">
      <c r="A775" s="303" t="s">
        <v>12784</v>
      </c>
      <c r="B775" s="304" t="s">
        <v>12785</v>
      </c>
      <c r="C775" s="303" t="s">
        <v>12790</v>
      </c>
      <c r="D775" s="304" t="s">
        <v>12791</v>
      </c>
    </row>
    <row r="776" spans="1:4" ht="14.1" customHeight="1" x14ac:dyDescent="0.25">
      <c r="A776" s="303" t="s">
        <v>12792</v>
      </c>
      <c r="B776" s="304" t="s">
        <v>12793</v>
      </c>
      <c r="C776" s="303" t="s">
        <v>12794</v>
      </c>
      <c r="D776" s="304" t="s">
        <v>12795</v>
      </c>
    </row>
    <row r="777" spans="1:4" ht="14.1" customHeight="1" x14ac:dyDescent="0.25">
      <c r="A777" s="303" t="s">
        <v>12792</v>
      </c>
      <c r="B777" s="304" t="s">
        <v>12793</v>
      </c>
      <c r="C777" s="303" t="s">
        <v>12796</v>
      </c>
      <c r="D777" s="304" t="s">
        <v>12797</v>
      </c>
    </row>
    <row r="778" spans="1:4" ht="14.1" customHeight="1" x14ac:dyDescent="0.25">
      <c r="A778" s="303" t="s">
        <v>12792</v>
      </c>
      <c r="B778" s="304" t="s">
        <v>12793</v>
      </c>
      <c r="C778" s="303" t="s">
        <v>12798</v>
      </c>
      <c r="D778" s="304" t="s">
        <v>12799</v>
      </c>
    </row>
    <row r="779" spans="1:4" ht="14.1" customHeight="1" x14ac:dyDescent="0.25">
      <c r="A779" s="303" t="s">
        <v>12792</v>
      </c>
      <c r="B779" s="304" t="s">
        <v>12793</v>
      </c>
      <c r="C779" s="303" t="s">
        <v>12800</v>
      </c>
      <c r="D779" s="304" t="s">
        <v>12801</v>
      </c>
    </row>
    <row r="780" spans="1:4" ht="14.1" customHeight="1" x14ac:dyDescent="0.25">
      <c r="A780" s="303" t="s">
        <v>7660</v>
      </c>
      <c r="B780" s="304" t="s">
        <v>12802</v>
      </c>
      <c r="C780" s="303" t="s">
        <v>12803</v>
      </c>
      <c r="D780" s="304" t="s">
        <v>12804</v>
      </c>
    </row>
    <row r="781" spans="1:4" ht="14.1" customHeight="1" x14ac:dyDescent="0.25">
      <c r="A781" s="303" t="s">
        <v>7660</v>
      </c>
      <c r="B781" s="304" t="s">
        <v>12802</v>
      </c>
      <c r="C781" s="303" t="s">
        <v>12805</v>
      </c>
      <c r="D781" s="304" t="s">
        <v>12806</v>
      </c>
    </row>
    <row r="782" spans="1:4" ht="14.1" customHeight="1" x14ac:dyDescent="0.25">
      <c r="A782" s="303" t="s">
        <v>7660</v>
      </c>
      <c r="B782" s="304" t="s">
        <v>12802</v>
      </c>
      <c r="C782" s="303" t="s">
        <v>12807</v>
      </c>
      <c r="D782" s="304" t="s">
        <v>12808</v>
      </c>
    </row>
    <row r="783" spans="1:4" ht="14.1" customHeight="1" x14ac:dyDescent="0.25">
      <c r="A783" s="303" t="s">
        <v>7660</v>
      </c>
      <c r="B783" s="304" t="s">
        <v>12802</v>
      </c>
      <c r="C783" s="303" t="s">
        <v>12809</v>
      </c>
      <c r="D783" s="304" t="s">
        <v>12810</v>
      </c>
    </row>
    <row r="784" spans="1:4" ht="14.1" customHeight="1" x14ac:dyDescent="0.25">
      <c r="A784" s="303" t="s">
        <v>7660</v>
      </c>
      <c r="B784" s="304" t="s">
        <v>12802</v>
      </c>
      <c r="C784" s="303" t="s">
        <v>12811</v>
      </c>
      <c r="D784" s="304" t="s">
        <v>12812</v>
      </c>
    </row>
    <row r="785" spans="1:4" ht="14.1" customHeight="1" x14ac:dyDescent="0.25">
      <c r="A785" s="303" t="s">
        <v>7660</v>
      </c>
      <c r="B785" s="304" t="s">
        <v>12802</v>
      </c>
      <c r="C785" s="303" t="s">
        <v>12813</v>
      </c>
      <c r="D785" s="304" t="s">
        <v>12814</v>
      </c>
    </row>
    <row r="786" spans="1:4" ht="14.1" customHeight="1" x14ac:dyDescent="0.25">
      <c r="A786" s="303" t="s">
        <v>7660</v>
      </c>
      <c r="B786" s="304" t="s">
        <v>12802</v>
      </c>
      <c r="C786" s="303" t="s">
        <v>12815</v>
      </c>
      <c r="D786" s="304" t="s">
        <v>12816</v>
      </c>
    </row>
    <row r="787" spans="1:4" ht="14.1" customHeight="1" x14ac:dyDescent="0.25">
      <c r="A787" s="303" t="s">
        <v>7660</v>
      </c>
      <c r="B787" s="304" t="s">
        <v>12802</v>
      </c>
      <c r="C787" s="303" t="s">
        <v>12817</v>
      </c>
      <c r="D787" s="304" t="s">
        <v>12818</v>
      </c>
    </row>
    <row r="788" spans="1:4" ht="14.1" customHeight="1" x14ac:dyDescent="0.25">
      <c r="A788" s="303" t="s">
        <v>7660</v>
      </c>
      <c r="B788" s="304" t="s">
        <v>12802</v>
      </c>
      <c r="C788" s="303" t="s">
        <v>12819</v>
      </c>
      <c r="D788" s="304" t="s">
        <v>12820</v>
      </c>
    </row>
    <row r="789" spans="1:4" ht="14.1" customHeight="1" x14ac:dyDescent="0.25">
      <c r="A789" s="303" t="s">
        <v>7660</v>
      </c>
      <c r="B789" s="304" t="s">
        <v>12802</v>
      </c>
      <c r="C789" s="303" t="s">
        <v>12821</v>
      </c>
      <c r="D789" s="304" t="s">
        <v>12822</v>
      </c>
    </row>
    <row r="790" spans="1:4" ht="14.1" customHeight="1" x14ac:dyDescent="0.25">
      <c r="A790" s="303" t="s">
        <v>7660</v>
      </c>
      <c r="B790" s="304" t="s">
        <v>12802</v>
      </c>
      <c r="C790" s="303" t="s">
        <v>12823</v>
      </c>
      <c r="D790" s="304" t="s">
        <v>12824</v>
      </c>
    </row>
    <row r="791" spans="1:4" ht="14.1" customHeight="1" x14ac:dyDescent="0.25">
      <c r="A791" s="303" t="s">
        <v>7660</v>
      </c>
      <c r="B791" s="304" t="s">
        <v>12802</v>
      </c>
      <c r="C791" s="303" t="s">
        <v>12825</v>
      </c>
      <c r="D791" s="304" t="s">
        <v>12826</v>
      </c>
    </row>
    <row r="792" spans="1:4" ht="14.1" customHeight="1" x14ac:dyDescent="0.25">
      <c r="A792" s="303" t="s">
        <v>7660</v>
      </c>
      <c r="B792" s="304" t="s">
        <v>12802</v>
      </c>
      <c r="C792" s="303" t="s">
        <v>12827</v>
      </c>
      <c r="D792" s="304" t="s">
        <v>11227</v>
      </c>
    </row>
    <row r="793" spans="1:4" ht="14.1" customHeight="1" x14ac:dyDescent="0.25">
      <c r="A793" s="303" t="s">
        <v>7660</v>
      </c>
      <c r="B793" s="304" t="s">
        <v>12802</v>
      </c>
      <c r="C793" s="303" t="s">
        <v>12828</v>
      </c>
      <c r="D793" s="304" t="s">
        <v>12829</v>
      </c>
    </row>
    <row r="794" spans="1:4" ht="14.1" customHeight="1" x14ac:dyDescent="0.25">
      <c r="A794" s="303" t="s">
        <v>7660</v>
      </c>
      <c r="B794" s="304" t="s">
        <v>12802</v>
      </c>
      <c r="C794" s="303" t="s">
        <v>12830</v>
      </c>
      <c r="D794" s="304" t="s">
        <v>12831</v>
      </c>
    </row>
    <row r="795" spans="1:4" ht="14.1" customHeight="1" x14ac:dyDescent="0.25">
      <c r="A795" s="303" t="s">
        <v>7660</v>
      </c>
      <c r="B795" s="304" t="s">
        <v>12802</v>
      </c>
      <c r="C795" s="303" t="s">
        <v>12832</v>
      </c>
      <c r="D795" s="304" t="s">
        <v>12833</v>
      </c>
    </row>
    <row r="796" spans="1:4" ht="14.1" customHeight="1" x14ac:dyDescent="0.25">
      <c r="A796" s="303" t="s">
        <v>7660</v>
      </c>
      <c r="B796" s="304" t="s">
        <v>12802</v>
      </c>
      <c r="C796" s="303" t="s">
        <v>12834</v>
      </c>
      <c r="D796" s="304" t="s">
        <v>11246</v>
      </c>
    </row>
    <row r="797" spans="1:4" ht="14.1" customHeight="1" x14ac:dyDescent="0.25">
      <c r="A797" s="303" t="s">
        <v>7660</v>
      </c>
      <c r="B797" s="304" t="s">
        <v>12802</v>
      </c>
      <c r="C797" s="303" t="s">
        <v>12835</v>
      </c>
      <c r="D797" s="304" t="s">
        <v>12836</v>
      </c>
    </row>
    <row r="798" spans="1:4" ht="14.1" customHeight="1" x14ac:dyDescent="0.25">
      <c r="A798" s="303" t="s">
        <v>7660</v>
      </c>
      <c r="B798" s="304" t="s">
        <v>12802</v>
      </c>
      <c r="C798" s="303" t="s">
        <v>12837</v>
      </c>
      <c r="D798" s="304" t="s">
        <v>12838</v>
      </c>
    </row>
    <row r="799" spans="1:4" ht="14.1" customHeight="1" x14ac:dyDescent="0.25">
      <c r="A799" s="303" t="s">
        <v>7660</v>
      </c>
      <c r="B799" s="304" t="s">
        <v>12802</v>
      </c>
      <c r="C799" s="303" t="s">
        <v>12839</v>
      </c>
      <c r="D799" s="304" t="s">
        <v>12840</v>
      </c>
    </row>
    <row r="800" spans="1:4" ht="14.1" customHeight="1" x14ac:dyDescent="0.25">
      <c r="A800" s="303" t="s">
        <v>7660</v>
      </c>
      <c r="B800" s="304" t="s">
        <v>12802</v>
      </c>
      <c r="C800" s="303" t="s">
        <v>12841</v>
      </c>
      <c r="D800" s="304" t="s">
        <v>12842</v>
      </c>
    </row>
    <row r="801" spans="1:4" ht="14.1" customHeight="1" x14ac:dyDescent="0.25">
      <c r="A801" s="303" t="s">
        <v>7660</v>
      </c>
      <c r="B801" s="304" t="s">
        <v>12802</v>
      </c>
      <c r="C801" s="303" t="s">
        <v>12843</v>
      </c>
      <c r="D801" s="304" t="s">
        <v>12844</v>
      </c>
    </row>
    <row r="802" spans="1:4" ht="14.1" customHeight="1" x14ac:dyDescent="0.25">
      <c r="A802" s="303" t="s">
        <v>7660</v>
      </c>
      <c r="B802" s="304" t="s">
        <v>12802</v>
      </c>
      <c r="C802" s="303" t="s">
        <v>12845</v>
      </c>
      <c r="D802" s="304" t="s">
        <v>12846</v>
      </c>
    </row>
    <row r="803" spans="1:4" ht="14.1" customHeight="1" x14ac:dyDescent="0.25">
      <c r="A803" s="303" t="s">
        <v>7660</v>
      </c>
      <c r="B803" s="304" t="s">
        <v>12802</v>
      </c>
      <c r="C803" s="303" t="s">
        <v>12847</v>
      </c>
      <c r="D803" s="304" t="s">
        <v>12848</v>
      </c>
    </row>
    <row r="804" spans="1:4" ht="14.1" customHeight="1" x14ac:dyDescent="0.25">
      <c r="A804" s="303" t="s">
        <v>7660</v>
      </c>
      <c r="B804" s="304" t="s">
        <v>12802</v>
      </c>
      <c r="C804" s="303" t="s">
        <v>12849</v>
      </c>
      <c r="D804" s="304" t="s">
        <v>12850</v>
      </c>
    </row>
    <row r="805" spans="1:4" ht="14.1" customHeight="1" x14ac:dyDescent="0.25">
      <c r="A805" s="303" t="s">
        <v>7660</v>
      </c>
      <c r="B805" s="304" t="s">
        <v>12802</v>
      </c>
      <c r="C805" s="303" t="s">
        <v>12851</v>
      </c>
      <c r="D805" s="304" t="s">
        <v>12852</v>
      </c>
    </row>
    <row r="806" spans="1:4" ht="14.1" customHeight="1" x14ac:dyDescent="0.25">
      <c r="A806" s="303" t="s">
        <v>7660</v>
      </c>
      <c r="B806" s="304" t="s">
        <v>12802</v>
      </c>
      <c r="C806" s="303" t="s">
        <v>12853</v>
      </c>
      <c r="D806" s="304" t="s">
        <v>12854</v>
      </c>
    </row>
    <row r="807" spans="1:4" ht="14.1" customHeight="1" x14ac:dyDescent="0.25">
      <c r="A807" s="303" t="s">
        <v>7660</v>
      </c>
      <c r="B807" s="304" t="s">
        <v>12802</v>
      </c>
      <c r="C807" s="303" t="s">
        <v>10957</v>
      </c>
      <c r="D807" s="304" t="s">
        <v>12855</v>
      </c>
    </row>
    <row r="808" spans="1:4" ht="14.1" customHeight="1" x14ac:dyDescent="0.25">
      <c r="A808" s="303" t="s">
        <v>7660</v>
      </c>
      <c r="B808" s="304" t="s">
        <v>12802</v>
      </c>
      <c r="C808" s="303" t="s">
        <v>12856</v>
      </c>
      <c r="D808" s="304" t="s">
        <v>12857</v>
      </c>
    </row>
    <row r="809" spans="1:4" ht="14.1" customHeight="1" x14ac:dyDescent="0.25">
      <c r="A809" s="303" t="s">
        <v>7660</v>
      </c>
      <c r="B809" s="304" t="s">
        <v>12802</v>
      </c>
      <c r="C809" s="303" t="s">
        <v>12858</v>
      </c>
      <c r="D809" s="304" t="s">
        <v>12859</v>
      </c>
    </row>
    <row r="810" spans="1:4" ht="14.1" customHeight="1" x14ac:dyDescent="0.25">
      <c r="A810" s="303" t="s">
        <v>7528</v>
      </c>
      <c r="B810" s="304" t="s">
        <v>12860</v>
      </c>
      <c r="C810" s="303" t="s">
        <v>12861</v>
      </c>
      <c r="D810" s="304" t="s">
        <v>12862</v>
      </c>
    </row>
    <row r="811" spans="1:4" ht="14.1" customHeight="1" x14ac:dyDescent="0.25">
      <c r="A811" s="303" t="s">
        <v>7528</v>
      </c>
      <c r="B811" s="304" t="s">
        <v>12860</v>
      </c>
      <c r="C811" s="303" t="s">
        <v>12863</v>
      </c>
      <c r="D811" s="304" t="s">
        <v>12864</v>
      </c>
    </row>
    <row r="812" spans="1:4" ht="14.1" customHeight="1" x14ac:dyDescent="0.25">
      <c r="A812" s="303" t="s">
        <v>7528</v>
      </c>
      <c r="B812" s="304" t="s">
        <v>12860</v>
      </c>
      <c r="C812" s="303" t="s">
        <v>12865</v>
      </c>
      <c r="D812" s="304" t="s">
        <v>12866</v>
      </c>
    </row>
    <row r="813" spans="1:4" ht="14.1" customHeight="1" x14ac:dyDescent="0.25">
      <c r="A813" s="303" t="s">
        <v>7528</v>
      </c>
      <c r="B813" s="304" t="s">
        <v>12860</v>
      </c>
      <c r="C813" s="303" t="s">
        <v>12867</v>
      </c>
      <c r="D813" s="304" t="s">
        <v>12868</v>
      </c>
    </row>
    <row r="814" spans="1:4" ht="14.1" customHeight="1" x14ac:dyDescent="0.25">
      <c r="A814" s="303" t="s">
        <v>7528</v>
      </c>
      <c r="B814" s="304" t="s">
        <v>12860</v>
      </c>
      <c r="C814" s="303" t="s">
        <v>12869</v>
      </c>
      <c r="D814" s="304" t="s">
        <v>12870</v>
      </c>
    </row>
    <row r="815" spans="1:4" ht="14.1" customHeight="1" x14ac:dyDescent="0.25">
      <c r="A815" s="303" t="s">
        <v>7528</v>
      </c>
      <c r="B815" s="304" t="s">
        <v>12860</v>
      </c>
      <c r="C815" s="303" t="s">
        <v>12871</v>
      </c>
      <c r="D815" s="304" t="s">
        <v>12097</v>
      </c>
    </row>
    <row r="816" spans="1:4" ht="14.1" customHeight="1" x14ac:dyDescent="0.25">
      <c r="A816" s="303" t="s">
        <v>7528</v>
      </c>
      <c r="B816" s="304" t="s">
        <v>12860</v>
      </c>
      <c r="C816" s="303" t="s">
        <v>12872</v>
      </c>
      <c r="D816" s="304" t="s">
        <v>12873</v>
      </c>
    </row>
    <row r="817" spans="1:4" ht="14.1" customHeight="1" x14ac:dyDescent="0.25">
      <c r="A817" s="303" t="s">
        <v>7528</v>
      </c>
      <c r="B817" s="304" t="s">
        <v>12860</v>
      </c>
      <c r="C817" s="303" t="s">
        <v>12874</v>
      </c>
      <c r="D817" s="304" t="s">
        <v>12875</v>
      </c>
    </row>
    <row r="818" spans="1:4" ht="14.1" customHeight="1" x14ac:dyDescent="0.25">
      <c r="A818" s="303" t="s">
        <v>7528</v>
      </c>
      <c r="B818" s="304" t="s">
        <v>12860</v>
      </c>
      <c r="C818" s="303" t="s">
        <v>12876</v>
      </c>
      <c r="D818" s="304" t="s">
        <v>12877</v>
      </c>
    </row>
    <row r="819" spans="1:4" ht="14.1" customHeight="1" x14ac:dyDescent="0.25">
      <c r="A819" s="303" t="s">
        <v>7528</v>
      </c>
      <c r="B819" s="304" t="s">
        <v>12860</v>
      </c>
      <c r="C819" s="303" t="s">
        <v>12878</v>
      </c>
      <c r="D819" s="304" t="s">
        <v>12879</v>
      </c>
    </row>
    <row r="820" spans="1:4" ht="14.1" customHeight="1" x14ac:dyDescent="0.25">
      <c r="A820" s="303" t="s">
        <v>7528</v>
      </c>
      <c r="B820" s="304" t="s">
        <v>12860</v>
      </c>
      <c r="C820" s="303" t="s">
        <v>12880</v>
      </c>
      <c r="D820" s="304" t="s">
        <v>12881</v>
      </c>
    </row>
    <row r="821" spans="1:4" ht="14.1" customHeight="1" x14ac:dyDescent="0.25">
      <c r="A821" s="303" t="s">
        <v>7528</v>
      </c>
      <c r="B821" s="304" t="s">
        <v>12860</v>
      </c>
      <c r="C821" s="303" t="s">
        <v>12882</v>
      </c>
      <c r="D821" s="304" t="s">
        <v>12883</v>
      </c>
    </row>
    <row r="822" spans="1:4" ht="14.1" customHeight="1" x14ac:dyDescent="0.25">
      <c r="A822" s="303" t="s">
        <v>7528</v>
      </c>
      <c r="B822" s="304" t="s">
        <v>12860</v>
      </c>
      <c r="C822" s="303" t="s">
        <v>12884</v>
      </c>
      <c r="D822" s="304" t="s">
        <v>12885</v>
      </c>
    </row>
    <row r="823" spans="1:4" ht="14.1" customHeight="1" x14ac:dyDescent="0.25">
      <c r="A823" s="303" t="s">
        <v>7528</v>
      </c>
      <c r="B823" s="304" t="s">
        <v>12860</v>
      </c>
      <c r="C823" s="303" t="s">
        <v>12886</v>
      </c>
      <c r="D823" s="304" t="s">
        <v>12887</v>
      </c>
    </row>
    <row r="824" spans="1:4" ht="14.1" customHeight="1" x14ac:dyDescent="0.25">
      <c r="A824" s="303" t="s">
        <v>7541</v>
      </c>
      <c r="B824" s="304" t="s">
        <v>12888</v>
      </c>
      <c r="C824" s="303" t="s">
        <v>12889</v>
      </c>
      <c r="D824" s="304" t="s">
        <v>12890</v>
      </c>
    </row>
    <row r="825" spans="1:4" ht="14.1" customHeight="1" x14ac:dyDescent="0.25">
      <c r="A825" s="303" t="s">
        <v>7541</v>
      </c>
      <c r="B825" s="304" t="s">
        <v>12888</v>
      </c>
      <c r="C825" s="303" t="s">
        <v>12891</v>
      </c>
      <c r="D825" s="304" t="s">
        <v>12892</v>
      </c>
    </row>
    <row r="826" spans="1:4" ht="14.1" customHeight="1" x14ac:dyDescent="0.25">
      <c r="A826" s="303" t="s">
        <v>7541</v>
      </c>
      <c r="B826" s="304" t="s">
        <v>12888</v>
      </c>
      <c r="C826" s="303" t="s">
        <v>12893</v>
      </c>
      <c r="D826" s="304" t="s">
        <v>12894</v>
      </c>
    </row>
    <row r="827" spans="1:4" ht="14.1" customHeight="1" x14ac:dyDescent="0.25">
      <c r="A827" s="303" t="s">
        <v>12895</v>
      </c>
      <c r="B827" s="304" t="s">
        <v>12896</v>
      </c>
      <c r="C827" s="303" t="s">
        <v>12897</v>
      </c>
      <c r="D827" s="304" t="s">
        <v>12898</v>
      </c>
    </row>
    <row r="828" spans="1:4" ht="14.1" customHeight="1" x14ac:dyDescent="0.25">
      <c r="A828" s="303" t="s">
        <v>12895</v>
      </c>
      <c r="B828" s="304" t="s">
        <v>12896</v>
      </c>
      <c r="C828" s="303" t="s">
        <v>12899</v>
      </c>
      <c r="D828" s="304" t="s">
        <v>12900</v>
      </c>
    </row>
    <row r="829" spans="1:4" ht="14.1" customHeight="1" x14ac:dyDescent="0.25">
      <c r="A829" s="303" t="s">
        <v>12901</v>
      </c>
      <c r="B829" s="304" t="s">
        <v>12902</v>
      </c>
      <c r="C829" s="303" t="s">
        <v>12903</v>
      </c>
      <c r="D829" s="304" t="s">
        <v>12904</v>
      </c>
    </row>
    <row r="830" spans="1:4" ht="14.1" customHeight="1" x14ac:dyDescent="0.25">
      <c r="A830" s="303" t="s">
        <v>12901</v>
      </c>
      <c r="B830" s="304" t="s">
        <v>12902</v>
      </c>
      <c r="C830" s="303" t="s">
        <v>12905</v>
      </c>
      <c r="D830" s="304" t="s">
        <v>12906</v>
      </c>
    </row>
    <row r="831" spans="1:4" ht="14.1" customHeight="1" x14ac:dyDescent="0.25">
      <c r="A831" s="303" t="s">
        <v>12901</v>
      </c>
      <c r="B831" s="304" t="s">
        <v>12902</v>
      </c>
      <c r="C831" s="303" t="s">
        <v>12907</v>
      </c>
      <c r="D831" s="304" t="s">
        <v>12908</v>
      </c>
    </row>
    <row r="832" spans="1:4" ht="14.1" customHeight="1" x14ac:dyDescent="0.25">
      <c r="A832" s="303" t="s">
        <v>12901</v>
      </c>
      <c r="B832" s="304" t="s">
        <v>12902</v>
      </c>
      <c r="C832" s="303" t="s">
        <v>12909</v>
      </c>
      <c r="D832" s="304" t="s">
        <v>12910</v>
      </c>
    </row>
    <row r="833" spans="1:4" ht="14.1" customHeight="1" x14ac:dyDescent="0.25">
      <c r="A833" s="303" t="s">
        <v>12901</v>
      </c>
      <c r="B833" s="304" t="s">
        <v>12902</v>
      </c>
      <c r="C833" s="303" t="s">
        <v>12911</v>
      </c>
      <c r="D833" s="304" t="s">
        <v>12912</v>
      </c>
    </row>
    <row r="834" spans="1:4" ht="14.1" customHeight="1" x14ac:dyDescent="0.25">
      <c r="A834" s="303" t="s">
        <v>12901</v>
      </c>
      <c r="B834" s="304" t="s">
        <v>12902</v>
      </c>
      <c r="C834" s="303" t="s">
        <v>12913</v>
      </c>
      <c r="D834" s="304" t="s">
        <v>12914</v>
      </c>
    </row>
    <row r="835" spans="1:4" ht="14.1" customHeight="1" x14ac:dyDescent="0.25">
      <c r="A835" s="303" t="s">
        <v>12901</v>
      </c>
      <c r="B835" s="304" t="s">
        <v>12902</v>
      </c>
      <c r="C835" s="303" t="s">
        <v>12915</v>
      </c>
      <c r="D835" s="304" t="s">
        <v>12916</v>
      </c>
    </row>
    <row r="836" spans="1:4" ht="14.1" customHeight="1" x14ac:dyDescent="0.25">
      <c r="A836" s="303" t="s">
        <v>12901</v>
      </c>
      <c r="B836" s="304" t="s">
        <v>12902</v>
      </c>
      <c r="C836" s="303" t="s">
        <v>12917</v>
      </c>
      <c r="D836" s="304" t="s">
        <v>12918</v>
      </c>
    </row>
    <row r="837" spans="1:4" ht="14.1" customHeight="1" x14ac:dyDescent="0.25">
      <c r="A837" s="303" t="s">
        <v>12919</v>
      </c>
      <c r="B837" s="304" t="s">
        <v>12920</v>
      </c>
      <c r="C837" s="303" t="s">
        <v>12921</v>
      </c>
      <c r="D837" s="304" t="s">
        <v>12922</v>
      </c>
    </row>
    <row r="838" spans="1:4" ht="14.1" customHeight="1" x14ac:dyDescent="0.25">
      <c r="A838" s="303" t="s">
        <v>12923</v>
      </c>
      <c r="B838" s="304" t="s">
        <v>12924</v>
      </c>
      <c r="C838" s="303" t="s">
        <v>12925</v>
      </c>
      <c r="D838" s="304" t="s">
        <v>12926</v>
      </c>
    </row>
    <row r="839" spans="1:4" ht="14.1" customHeight="1" x14ac:dyDescent="0.25">
      <c r="A839" s="303" t="s">
        <v>12923</v>
      </c>
      <c r="B839" s="304" t="s">
        <v>12924</v>
      </c>
      <c r="C839" s="303" t="s">
        <v>10959</v>
      </c>
      <c r="D839" s="304" t="s">
        <v>12927</v>
      </c>
    </row>
    <row r="840" spans="1:4" ht="14.1" customHeight="1" x14ac:dyDescent="0.25">
      <c r="A840" s="303" t="s">
        <v>7495</v>
      </c>
      <c r="B840" s="304" t="s">
        <v>12928</v>
      </c>
      <c r="C840" s="303" t="s">
        <v>12929</v>
      </c>
      <c r="D840" s="304" t="s">
        <v>12930</v>
      </c>
    </row>
    <row r="841" spans="1:4" ht="14.1" customHeight="1" x14ac:dyDescent="0.25">
      <c r="A841" s="303" t="s">
        <v>7495</v>
      </c>
      <c r="B841" s="304" t="s">
        <v>12928</v>
      </c>
      <c r="C841" s="303" t="s">
        <v>12931</v>
      </c>
      <c r="D841" s="304" t="s">
        <v>12932</v>
      </c>
    </row>
    <row r="842" spans="1:4" ht="14.1" customHeight="1" x14ac:dyDescent="0.25">
      <c r="A842" s="303" t="s">
        <v>7495</v>
      </c>
      <c r="B842" s="304" t="s">
        <v>12928</v>
      </c>
      <c r="C842" s="303" t="s">
        <v>12933</v>
      </c>
      <c r="D842" s="304" t="s">
        <v>12934</v>
      </c>
    </row>
    <row r="843" spans="1:4" ht="14.1" customHeight="1" x14ac:dyDescent="0.25">
      <c r="A843" s="303" t="s">
        <v>12935</v>
      </c>
      <c r="B843" s="304" t="s">
        <v>12936</v>
      </c>
      <c r="C843" s="303" t="s">
        <v>12937</v>
      </c>
      <c r="D843" s="304" t="s">
        <v>12938</v>
      </c>
    </row>
    <row r="844" spans="1:4" ht="14.1" customHeight="1" x14ac:dyDescent="0.25">
      <c r="A844" s="303" t="s">
        <v>12939</v>
      </c>
      <c r="B844" s="304" t="s">
        <v>12940</v>
      </c>
      <c r="C844" s="303" t="s">
        <v>12941</v>
      </c>
      <c r="D844" s="304" t="s">
        <v>12942</v>
      </c>
    </row>
    <row r="845" spans="1:4" ht="14.1" customHeight="1" x14ac:dyDescent="0.25">
      <c r="A845" s="303" t="s">
        <v>12939</v>
      </c>
      <c r="B845" s="304" t="s">
        <v>12940</v>
      </c>
      <c r="C845" s="303" t="s">
        <v>12943</v>
      </c>
      <c r="D845" s="304" t="s">
        <v>12944</v>
      </c>
    </row>
    <row r="846" spans="1:4" ht="14.1" customHeight="1" x14ac:dyDescent="0.25">
      <c r="A846" s="303" t="s">
        <v>12945</v>
      </c>
      <c r="B846" s="304" t="s">
        <v>12946</v>
      </c>
      <c r="C846" s="303" t="s">
        <v>12947</v>
      </c>
      <c r="D846" s="304" t="s">
        <v>12948</v>
      </c>
    </row>
    <row r="847" spans="1:4" s="388" customFormat="1" ht="14.1" customHeight="1" x14ac:dyDescent="0.25">
      <c r="A847" s="389" t="s">
        <v>12949</v>
      </c>
      <c r="B847" s="376" t="s">
        <v>12950</v>
      </c>
      <c r="C847" s="375" t="s">
        <v>12951</v>
      </c>
      <c r="D847" s="376" t="s">
        <v>12952</v>
      </c>
    </row>
    <row r="848" spans="1:4" ht="14.1" customHeight="1" x14ac:dyDescent="0.25">
      <c r="A848" s="303" t="s">
        <v>12953</v>
      </c>
      <c r="B848" s="304" t="s">
        <v>12954</v>
      </c>
      <c r="C848" s="303" t="s">
        <v>12955</v>
      </c>
      <c r="D848" s="304" t="s">
        <v>12956</v>
      </c>
    </row>
    <row r="849" spans="1:4" ht="14.1" customHeight="1" x14ac:dyDescent="0.25">
      <c r="A849" s="303" t="s">
        <v>12953</v>
      </c>
      <c r="B849" s="304" t="s">
        <v>12954</v>
      </c>
      <c r="C849" s="303" t="s">
        <v>12957</v>
      </c>
      <c r="D849" s="304" t="s">
        <v>12958</v>
      </c>
    </row>
    <row r="850" spans="1:4" ht="14.1" customHeight="1" x14ac:dyDescent="0.25">
      <c r="A850" s="303" t="s">
        <v>12953</v>
      </c>
      <c r="B850" s="304" t="s">
        <v>12954</v>
      </c>
      <c r="C850" s="303" t="s">
        <v>12959</v>
      </c>
      <c r="D850" s="304" t="s">
        <v>12960</v>
      </c>
    </row>
    <row r="851" spans="1:4" ht="14.1" customHeight="1" x14ac:dyDescent="0.25">
      <c r="A851" s="303" t="s">
        <v>12953</v>
      </c>
      <c r="B851" s="304" t="s">
        <v>12954</v>
      </c>
      <c r="C851" s="303" t="s">
        <v>12961</v>
      </c>
      <c r="D851" s="304" t="s">
        <v>12962</v>
      </c>
    </row>
    <row r="852" spans="1:4" ht="14.1" customHeight="1" x14ac:dyDescent="0.25">
      <c r="A852" s="303" t="s">
        <v>12953</v>
      </c>
      <c r="B852" s="304" t="s">
        <v>12954</v>
      </c>
      <c r="C852" s="303" t="s">
        <v>12963</v>
      </c>
      <c r="D852" s="304" t="s">
        <v>12964</v>
      </c>
    </row>
    <row r="853" spans="1:4" ht="14.1" customHeight="1" x14ac:dyDescent="0.25">
      <c r="A853" s="303" t="s">
        <v>12953</v>
      </c>
      <c r="B853" s="304" t="s">
        <v>12954</v>
      </c>
      <c r="C853" s="303" t="s">
        <v>12965</v>
      </c>
      <c r="D853" s="304" t="s">
        <v>12966</v>
      </c>
    </row>
    <row r="854" spans="1:4" ht="14.1" customHeight="1" x14ac:dyDescent="0.25">
      <c r="A854" s="303" t="s">
        <v>12953</v>
      </c>
      <c r="B854" s="304" t="s">
        <v>12954</v>
      </c>
      <c r="C854" s="303" t="s">
        <v>12967</v>
      </c>
      <c r="D854" s="304" t="s">
        <v>12968</v>
      </c>
    </row>
    <row r="855" spans="1:4" ht="14.1" customHeight="1" x14ac:dyDescent="0.25">
      <c r="A855" s="303" t="s">
        <v>12953</v>
      </c>
      <c r="B855" s="304" t="s">
        <v>12954</v>
      </c>
      <c r="C855" s="303" t="s">
        <v>12969</v>
      </c>
      <c r="D855" s="304" t="s">
        <v>12970</v>
      </c>
    </row>
    <row r="856" spans="1:4" ht="14.1" customHeight="1" x14ac:dyDescent="0.25">
      <c r="A856" s="303" t="s">
        <v>7481</v>
      </c>
      <c r="B856" s="304" t="s">
        <v>12971</v>
      </c>
      <c r="C856" s="303" t="s">
        <v>12972</v>
      </c>
      <c r="D856" s="304" t="s">
        <v>12973</v>
      </c>
    </row>
    <row r="857" spans="1:4" ht="14.1" customHeight="1" x14ac:dyDescent="0.25">
      <c r="A857" s="303" t="s">
        <v>7481</v>
      </c>
      <c r="B857" s="304" t="s">
        <v>12971</v>
      </c>
      <c r="C857" s="303" t="s">
        <v>12974</v>
      </c>
      <c r="D857" s="304" t="s">
        <v>12975</v>
      </c>
    </row>
    <row r="858" spans="1:4" ht="14.1" customHeight="1" x14ac:dyDescent="0.25">
      <c r="A858" s="303" t="s">
        <v>7481</v>
      </c>
      <c r="B858" s="304" t="s">
        <v>12971</v>
      </c>
      <c r="C858" s="303" t="s">
        <v>12976</v>
      </c>
      <c r="D858" s="304" t="s">
        <v>12977</v>
      </c>
    </row>
    <row r="859" spans="1:4" ht="14.1" customHeight="1" x14ac:dyDescent="0.25">
      <c r="A859" s="303" t="s">
        <v>12978</v>
      </c>
      <c r="B859" s="304" t="s">
        <v>12979</v>
      </c>
      <c r="C859" s="303" t="s">
        <v>12980</v>
      </c>
      <c r="D859" s="304" t="s">
        <v>12981</v>
      </c>
    </row>
    <row r="860" spans="1:4" ht="14.1" customHeight="1" x14ac:dyDescent="0.25">
      <c r="A860" s="303" t="s">
        <v>7674</v>
      </c>
      <c r="B860" s="304" t="s">
        <v>12982</v>
      </c>
      <c r="C860" s="303" t="s">
        <v>12983</v>
      </c>
      <c r="D860" s="304" t="s">
        <v>12984</v>
      </c>
    </row>
    <row r="861" spans="1:4" ht="14.1" customHeight="1" x14ac:dyDescent="0.25">
      <c r="A861" s="303" t="s">
        <v>7674</v>
      </c>
      <c r="B861" s="304" t="s">
        <v>12982</v>
      </c>
      <c r="C861" s="303" t="s">
        <v>12985</v>
      </c>
      <c r="D861" s="304" t="s">
        <v>12986</v>
      </c>
    </row>
    <row r="862" spans="1:4" ht="14.1" customHeight="1" x14ac:dyDescent="0.25">
      <c r="A862" s="303" t="s">
        <v>7674</v>
      </c>
      <c r="B862" s="304" t="s">
        <v>12982</v>
      </c>
      <c r="C862" s="303" t="s">
        <v>12987</v>
      </c>
      <c r="D862" s="304" t="s">
        <v>12988</v>
      </c>
    </row>
    <row r="863" spans="1:4" ht="14.1" customHeight="1" x14ac:dyDescent="0.25">
      <c r="A863" s="303" t="s">
        <v>7674</v>
      </c>
      <c r="B863" s="304" t="s">
        <v>12982</v>
      </c>
      <c r="C863" s="303" t="s">
        <v>12989</v>
      </c>
      <c r="D863" s="304" t="s">
        <v>12990</v>
      </c>
    </row>
    <row r="864" spans="1:4" ht="14.1" customHeight="1" x14ac:dyDescent="0.25">
      <c r="A864" s="303" t="s">
        <v>7674</v>
      </c>
      <c r="B864" s="304" t="s">
        <v>12982</v>
      </c>
      <c r="C864" s="303" t="s">
        <v>12991</v>
      </c>
      <c r="D864" s="304" t="s">
        <v>12992</v>
      </c>
    </row>
    <row r="865" spans="1:4" ht="14.1" customHeight="1" x14ac:dyDescent="0.25">
      <c r="A865" s="303" t="s">
        <v>7674</v>
      </c>
      <c r="B865" s="304" t="s">
        <v>12982</v>
      </c>
      <c r="C865" s="303" t="s">
        <v>12993</v>
      </c>
      <c r="D865" s="304" t="s">
        <v>12994</v>
      </c>
    </row>
    <row r="866" spans="1:4" ht="14.1" customHeight="1" x14ac:dyDescent="0.25">
      <c r="A866" s="374" t="s">
        <v>7468</v>
      </c>
      <c r="B866" s="378" t="s">
        <v>11805</v>
      </c>
      <c r="C866" s="375" t="s">
        <v>11810</v>
      </c>
      <c r="D866" s="376" t="s">
        <v>11811</v>
      </c>
    </row>
    <row r="867" spans="1:4" ht="14.1" customHeight="1" x14ac:dyDescent="0.25">
      <c r="A867" s="303" t="s">
        <v>7674</v>
      </c>
      <c r="B867" s="304" t="s">
        <v>12982</v>
      </c>
      <c r="C867" s="303" t="s">
        <v>12995</v>
      </c>
      <c r="D867" s="304" t="s">
        <v>12996</v>
      </c>
    </row>
    <row r="868" spans="1:4" ht="14.1" customHeight="1" x14ac:dyDescent="0.25">
      <c r="A868" s="303" t="s">
        <v>12997</v>
      </c>
      <c r="B868" s="304" t="s">
        <v>12998</v>
      </c>
      <c r="C868" s="303" t="s">
        <v>12999</v>
      </c>
      <c r="D868" s="304" t="s">
        <v>13000</v>
      </c>
    </row>
    <row r="869" spans="1:4" ht="14.1" customHeight="1" x14ac:dyDescent="0.25">
      <c r="A869" s="303" t="s">
        <v>12997</v>
      </c>
      <c r="B869" s="304" t="s">
        <v>12998</v>
      </c>
      <c r="C869" s="303" t="s">
        <v>13001</v>
      </c>
      <c r="D869" s="304" t="s">
        <v>13002</v>
      </c>
    </row>
    <row r="870" spans="1:4" ht="14.1" customHeight="1" x14ac:dyDescent="0.25">
      <c r="A870" s="303" t="s">
        <v>12997</v>
      </c>
      <c r="B870" s="304" t="s">
        <v>12998</v>
      </c>
      <c r="C870" s="303" t="s">
        <v>13003</v>
      </c>
      <c r="D870" s="304" t="s">
        <v>13004</v>
      </c>
    </row>
    <row r="871" spans="1:4" ht="14.1" customHeight="1" x14ac:dyDescent="0.25">
      <c r="A871" s="303" t="s">
        <v>12997</v>
      </c>
      <c r="B871" s="304" t="s">
        <v>12998</v>
      </c>
      <c r="C871" s="303" t="s">
        <v>13005</v>
      </c>
      <c r="D871" s="304" t="s">
        <v>13006</v>
      </c>
    </row>
    <row r="872" spans="1:4" ht="14.1" customHeight="1" x14ac:dyDescent="0.25">
      <c r="A872" s="303" t="s">
        <v>12997</v>
      </c>
      <c r="B872" s="304" t="s">
        <v>12998</v>
      </c>
      <c r="C872" s="303" t="s">
        <v>13007</v>
      </c>
      <c r="D872" s="304" t="s">
        <v>13008</v>
      </c>
    </row>
    <row r="873" spans="1:4" ht="14.1" customHeight="1" x14ac:dyDescent="0.25">
      <c r="A873" s="303" t="s">
        <v>13009</v>
      </c>
      <c r="B873" s="304" t="s">
        <v>13010</v>
      </c>
      <c r="C873" s="303" t="s">
        <v>13011</v>
      </c>
      <c r="D873" s="304" t="s">
        <v>13012</v>
      </c>
    </row>
    <row r="874" spans="1:4" ht="14.1" customHeight="1" x14ac:dyDescent="0.25">
      <c r="A874" s="303" t="s">
        <v>13009</v>
      </c>
      <c r="B874" s="304" t="s">
        <v>13010</v>
      </c>
      <c r="C874" s="303" t="s">
        <v>13013</v>
      </c>
      <c r="D874" s="304" t="s">
        <v>13014</v>
      </c>
    </row>
    <row r="875" spans="1:4" ht="14.1" customHeight="1" x14ac:dyDescent="0.25">
      <c r="A875" s="303" t="s">
        <v>13009</v>
      </c>
      <c r="B875" s="304" t="s">
        <v>13010</v>
      </c>
      <c r="C875" s="303" t="s">
        <v>13015</v>
      </c>
      <c r="D875" s="304" t="s">
        <v>11266</v>
      </c>
    </row>
    <row r="876" spans="1:4" ht="14.1" customHeight="1" x14ac:dyDescent="0.25">
      <c r="A876" s="303" t="s">
        <v>13009</v>
      </c>
      <c r="B876" s="304" t="s">
        <v>13010</v>
      </c>
      <c r="C876" s="303" t="s">
        <v>13016</v>
      </c>
      <c r="D876" s="304" t="s">
        <v>13017</v>
      </c>
    </row>
    <row r="877" spans="1:4" ht="14.1" customHeight="1" x14ac:dyDescent="0.25">
      <c r="A877" s="303" t="s">
        <v>13009</v>
      </c>
      <c r="B877" s="304" t="s">
        <v>13010</v>
      </c>
      <c r="C877" s="303" t="s">
        <v>13018</v>
      </c>
      <c r="D877" s="304" t="s">
        <v>13019</v>
      </c>
    </row>
    <row r="878" spans="1:4" ht="14.1" customHeight="1" x14ac:dyDescent="0.25">
      <c r="A878" s="303" t="s">
        <v>13009</v>
      </c>
      <c r="B878" s="304" t="s">
        <v>13010</v>
      </c>
      <c r="C878" s="303" t="s">
        <v>13020</v>
      </c>
      <c r="D878" s="304" t="s">
        <v>13021</v>
      </c>
    </row>
    <row r="879" spans="1:4" ht="14.1" customHeight="1" x14ac:dyDescent="0.25">
      <c r="A879" s="303" t="s">
        <v>13009</v>
      </c>
      <c r="B879" s="304" t="s">
        <v>13010</v>
      </c>
      <c r="C879" s="303" t="s">
        <v>13022</v>
      </c>
      <c r="D879" s="304" t="s">
        <v>13023</v>
      </c>
    </row>
    <row r="880" spans="1:4" ht="14.1" customHeight="1" x14ac:dyDescent="0.25">
      <c r="A880" s="372" t="s">
        <v>12038</v>
      </c>
      <c r="B880" s="304" t="s">
        <v>12039</v>
      </c>
      <c r="C880" s="303" t="s">
        <v>12131</v>
      </c>
      <c r="D880" s="377" t="s">
        <v>13527</v>
      </c>
    </row>
    <row r="881" spans="1:4" ht="14.1" customHeight="1" x14ac:dyDescent="0.25">
      <c r="A881" s="372" t="s">
        <v>7526</v>
      </c>
      <c r="B881" s="304" t="s">
        <v>12282</v>
      </c>
      <c r="C881" s="303" t="s">
        <v>12305</v>
      </c>
      <c r="D881" s="377" t="s">
        <v>13528</v>
      </c>
    </row>
    <row r="882" spans="1:4" ht="14.1" customHeight="1" x14ac:dyDescent="0.25">
      <c r="A882" s="303" t="s">
        <v>13009</v>
      </c>
      <c r="B882" s="304" t="s">
        <v>13010</v>
      </c>
      <c r="C882" s="303" t="s">
        <v>13024</v>
      </c>
      <c r="D882" s="304" t="s">
        <v>13025</v>
      </c>
    </row>
    <row r="883" spans="1:4" ht="14.1" customHeight="1" x14ac:dyDescent="0.25">
      <c r="A883" s="303" t="s">
        <v>13026</v>
      </c>
      <c r="B883" s="304" t="s">
        <v>13027</v>
      </c>
      <c r="C883" s="303" t="s">
        <v>13028</v>
      </c>
      <c r="D883" s="304" t="s">
        <v>13029</v>
      </c>
    </row>
    <row r="884" spans="1:4" ht="14.1" customHeight="1" x14ac:dyDescent="0.25">
      <c r="A884" s="303" t="s">
        <v>13026</v>
      </c>
      <c r="B884" s="304" t="s">
        <v>13027</v>
      </c>
      <c r="C884" s="303" t="s">
        <v>13030</v>
      </c>
      <c r="D884" s="304" t="s">
        <v>13031</v>
      </c>
    </row>
    <row r="885" spans="1:4" ht="14.1" customHeight="1" x14ac:dyDescent="0.25">
      <c r="A885" s="303" t="s">
        <v>13026</v>
      </c>
      <c r="B885" s="304" t="s">
        <v>13027</v>
      </c>
      <c r="C885" s="303" t="s">
        <v>13032</v>
      </c>
      <c r="D885" s="304" t="s">
        <v>13033</v>
      </c>
    </row>
    <row r="886" spans="1:4" ht="14.1" customHeight="1" x14ac:dyDescent="0.25">
      <c r="A886" s="303" t="s">
        <v>13026</v>
      </c>
      <c r="B886" s="304" t="s">
        <v>13027</v>
      </c>
      <c r="C886" s="303" t="s">
        <v>13034</v>
      </c>
      <c r="D886" s="304" t="s">
        <v>13035</v>
      </c>
    </row>
    <row r="887" spans="1:4" ht="14.1" customHeight="1" x14ac:dyDescent="0.25">
      <c r="A887" s="303" t="s">
        <v>13026</v>
      </c>
      <c r="B887" s="304" t="s">
        <v>13027</v>
      </c>
      <c r="C887" s="303" t="s">
        <v>13036</v>
      </c>
      <c r="D887" s="304" t="s">
        <v>13037</v>
      </c>
    </row>
    <row r="888" spans="1:4" ht="14.1" customHeight="1" x14ac:dyDescent="0.25">
      <c r="A888" s="374" t="s">
        <v>12600</v>
      </c>
      <c r="B888" s="378" t="s">
        <v>12601</v>
      </c>
      <c r="C888" s="375" t="s">
        <v>12645</v>
      </c>
      <c r="D888" s="376" t="s">
        <v>12646</v>
      </c>
    </row>
    <row r="889" spans="1:4" ht="14.1" customHeight="1" x14ac:dyDescent="0.25">
      <c r="A889" s="303" t="s">
        <v>13026</v>
      </c>
      <c r="B889" s="304" t="s">
        <v>13027</v>
      </c>
      <c r="C889" s="303" t="s">
        <v>13038</v>
      </c>
      <c r="D889" s="304" t="s">
        <v>13039</v>
      </c>
    </row>
    <row r="890" spans="1:4" ht="14.1" customHeight="1" x14ac:dyDescent="0.25">
      <c r="A890" s="303" t="s">
        <v>13040</v>
      </c>
      <c r="B890" s="304" t="s">
        <v>13041</v>
      </c>
      <c r="C890" s="303" t="s">
        <v>13042</v>
      </c>
      <c r="D890" s="304" t="s">
        <v>13043</v>
      </c>
    </row>
    <row r="891" spans="1:4" ht="14.1" customHeight="1" x14ac:dyDescent="0.25">
      <c r="A891" s="303" t="s">
        <v>13040</v>
      </c>
      <c r="B891" s="304" t="s">
        <v>13041</v>
      </c>
      <c r="C891" s="303" t="s">
        <v>13044</v>
      </c>
      <c r="D891" s="304" t="s">
        <v>12836</v>
      </c>
    </row>
    <row r="892" spans="1:4" ht="14.1" customHeight="1" x14ac:dyDescent="0.25">
      <c r="A892" s="303" t="s">
        <v>13040</v>
      </c>
      <c r="B892" s="304" t="s">
        <v>13041</v>
      </c>
      <c r="C892" s="303" t="s">
        <v>13045</v>
      </c>
      <c r="D892" s="304" t="s">
        <v>13046</v>
      </c>
    </row>
    <row r="893" spans="1:4" ht="14.1" customHeight="1" x14ac:dyDescent="0.25">
      <c r="A893" s="303" t="s">
        <v>13047</v>
      </c>
      <c r="B893" s="304" t="s">
        <v>13048</v>
      </c>
      <c r="C893" s="303" t="s">
        <v>13049</v>
      </c>
      <c r="D893" s="304" t="s">
        <v>13050</v>
      </c>
    </row>
    <row r="894" spans="1:4" ht="14.1" customHeight="1" x14ac:dyDescent="0.25">
      <c r="A894" s="303" t="s">
        <v>13047</v>
      </c>
      <c r="B894" s="304" t="s">
        <v>13048</v>
      </c>
      <c r="C894" s="303" t="s">
        <v>13051</v>
      </c>
      <c r="D894" s="304" t="s">
        <v>13052</v>
      </c>
    </row>
    <row r="895" spans="1:4" ht="14.1" customHeight="1" x14ac:dyDescent="0.25">
      <c r="A895" s="303" t="s">
        <v>13047</v>
      </c>
      <c r="B895" s="304" t="s">
        <v>13048</v>
      </c>
      <c r="C895" s="303" t="s">
        <v>13053</v>
      </c>
      <c r="D895" s="304" t="s">
        <v>12502</v>
      </c>
    </row>
    <row r="896" spans="1:4" ht="14.1" customHeight="1" x14ac:dyDescent="0.25">
      <c r="A896" s="303" t="s">
        <v>13047</v>
      </c>
      <c r="B896" s="304" t="s">
        <v>13048</v>
      </c>
      <c r="C896" s="303" t="s">
        <v>13054</v>
      </c>
      <c r="D896" s="304" t="s">
        <v>13055</v>
      </c>
    </row>
    <row r="897" spans="1:4" ht="14.1" customHeight="1" x14ac:dyDescent="0.25">
      <c r="A897" s="303" t="s">
        <v>13047</v>
      </c>
      <c r="B897" s="304" t="s">
        <v>13048</v>
      </c>
      <c r="C897" s="303" t="s">
        <v>13056</v>
      </c>
      <c r="D897" s="304" t="s">
        <v>13057</v>
      </c>
    </row>
    <row r="898" spans="1:4" ht="14.1" customHeight="1" x14ac:dyDescent="0.25">
      <c r="A898" s="303" t="s">
        <v>13047</v>
      </c>
      <c r="B898" s="304" t="s">
        <v>13048</v>
      </c>
      <c r="C898" s="303" t="s">
        <v>13058</v>
      </c>
      <c r="D898" s="304" t="s">
        <v>13059</v>
      </c>
    </row>
    <row r="899" spans="1:4" ht="14.1" customHeight="1" x14ac:dyDescent="0.25">
      <c r="A899" s="303" t="s">
        <v>13060</v>
      </c>
      <c r="B899" s="304" t="s">
        <v>13061</v>
      </c>
      <c r="C899" s="303" t="s">
        <v>13062</v>
      </c>
      <c r="D899" s="304" t="s">
        <v>13063</v>
      </c>
    </row>
    <row r="900" spans="1:4" ht="14.1" customHeight="1" x14ac:dyDescent="0.25">
      <c r="A900" s="303" t="s">
        <v>13060</v>
      </c>
      <c r="B900" s="304" t="s">
        <v>13061</v>
      </c>
      <c r="C900" s="303" t="s">
        <v>13064</v>
      </c>
      <c r="D900" s="304" t="s">
        <v>13065</v>
      </c>
    </row>
    <row r="901" spans="1:4" ht="14.1" customHeight="1" x14ac:dyDescent="0.25">
      <c r="A901" s="303" t="s">
        <v>13060</v>
      </c>
      <c r="B901" s="304" t="s">
        <v>13061</v>
      </c>
      <c r="C901" s="303" t="s">
        <v>13066</v>
      </c>
      <c r="D901" s="304" t="s">
        <v>13067</v>
      </c>
    </row>
    <row r="902" spans="1:4" ht="14.1" customHeight="1" x14ac:dyDescent="0.25">
      <c r="A902" s="303" t="s">
        <v>13060</v>
      </c>
      <c r="B902" s="304" t="s">
        <v>13061</v>
      </c>
      <c r="C902" s="303" t="s">
        <v>13068</v>
      </c>
      <c r="D902" s="304" t="s">
        <v>13069</v>
      </c>
    </row>
    <row r="903" spans="1:4" ht="14.1" customHeight="1" x14ac:dyDescent="0.25">
      <c r="A903" s="303" t="s">
        <v>13060</v>
      </c>
      <c r="B903" s="304" t="s">
        <v>13061</v>
      </c>
      <c r="C903" s="303" t="s">
        <v>13070</v>
      </c>
      <c r="D903" s="304" t="s">
        <v>13071</v>
      </c>
    </row>
    <row r="904" spans="1:4" ht="14.1" customHeight="1" x14ac:dyDescent="0.25">
      <c r="A904" s="374" t="s">
        <v>12600</v>
      </c>
      <c r="B904" s="378" t="s">
        <v>12601</v>
      </c>
      <c r="C904" s="375" t="s">
        <v>12649</v>
      </c>
      <c r="D904" s="376" t="s">
        <v>12650</v>
      </c>
    </row>
    <row r="905" spans="1:4" ht="14.1" customHeight="1" x14ac:dyDescent="0.25">
      <c r="A905" s="303" t="s">
        <v>13060</v>
      </c>
      <c r="B905" s="304" t="s">
        <v>13061</v>
      </c>
      <c r="C905" s="303" t="s">
        <v>13072</v>
      </c>
      <c r="D905" s="304" t="s">
        <v>13073</v>
      </c>
    </row>
    <row r="906" spans="1:4" ht="14.1" customHeight="1" x14ac:dyDescent="0.25">
      <c r="A906" s="303" t="s">
        <v>13074</v>
      </c>
      <c r="B906" s="304" t="s">
        <v>13075</v>
      </c>
      <c r="C906" s="303" t="s">
        <v>13076</v>
      </c>
      <c r="D906" s="304" t="s">
        <v>13077</v>
      </c>
    </row>
    <row r="907" spans="1:4" ht="14.1" customHeight="1" x14ac:dyDescent="0.25">
      <c r="A907" s="303" t="s">
        <v>13074</v>
      </c>
      <c r="B907" s="304" t="s">
        <v>13075</v>
      </c>
      <c r="C907" s="303" t="s">
        <v>13078</v>
      </c>
      <c r="D907" s="304" t="s">
        <v>13079</v>
      </c>
    </row>
    <row r="908" spans="1:4" ht="14.1" customHeight="1" x14ac:dyDescent="0.25">
      <c r="A908" s="303" t="s">
        <v>13074</v>
      </c>
      <c r="B908" s="304" t="s">
        <v>13075</v>
      </c>
      <c r="C908" s="303" t="s">
        <v>13080</v>
      </c>
      <c r="D908" s="304" t="s">
        <v>13081</v>
      </c>
    </row>
    <row r="909" spans="1:4" ht="14.1" customHeight="1" x14ac:dyDescent="0.25">
      <c r="A909" s="303" t="s">
        <v>13074</v>
      </c>
      <c r="B909" s="304" t="s">
        <v>13075</v>
      </c>
      <c r="C909" s="303" t="s">
        <v>13082</v>
      </c>
      <c r="D909" s="304" t="s">
        <v>13083</v>
      </c>
    </row>
    <row r="910" spans="1:4" ht="14.1" customHeight="1" x14ac:dyDescent="0.25">
      <c r="A910" s="303" t="s">
        <v>13084</v>
      </c>
      <c r="B910" s="304" t="s">
        <v>13085</v>
      </c>
      <c r="C910" s="303" t="s">
        <v>13086</v>
      </c>
      <c r="D910" s="304" t="s">
        <v>13087</v>
      </c>
    </row>
    <row r="911" spans="1:4" ht="14.1" customHeight="1" x14ac:dyDescent="0.25">
      <c r="A911" s="303" t="s">
        <v>13088</v>
      </c>
      <c r="B911" s="304" t="s">
        <v>13089</v>
      </c>
      <c r="C911" s="303" t="s">
        <v>13090</v>
      </c>
      <c r="D911" s="304" t="s">
        <v>13091</v>
      </c>
    </row>
    <row r="912" spans="1:4" ht="14.1" customHeight="1" x14ac:dyDescent="0.25">
      <c r="A912" s="303" t="s">
        <v>13092</v>
      </c>
      <c r="B912" s="304" t="s">
        <v>13093</v>
      </c>
      <c r="C912" s="303" t="s">
        <v>10998</v>
      </c>
      <c r="D912" s="304" t="s">
        <v>13094</v>
      </c>
    </row>
    <row r="913" spans="1:4" ht="14.1" customHeight="1" x14ac:dyDescent="0.25">
      <c r="A913" s="303" t="s">
        <v>13092</v>
      </c>
      <c r="B913" s="304" t="s">
        <v>13093</v>
      </c>
      <c r="C913" s="303" t="s">
        <v>13095</v>
      </c>
      <c r="D913" s="304" t="s">
        <v>13096</v>
      </c>
    </row>
    <row r="914" spans="1:4" ht="14.1" customHeight="1" x14ac:dyDescent="0.25">
      <c r="A914" s="303" t="s">
        <v>13092</v>
      </c>
      <c r="B914" s="304" t="s">
        <v>13093</v>
      </c>
      <c r="C914" s="303" t="s">
        <v>13097</v>
      </c>
      <c r="D914" s="304" t="s">
        <v>13098</v>
      </c>
    </row>
    <row r="915" spans="1:4" ht="14.1" customHeight="1" x14ac:dyDescent="0.25">
      <c r="A915" s="303" t="s">
        <v>13092</v>
      </c>
      <c r="B915" s="304" t="s">
        <v>13093</v>
      </c>
      <c r="C915" s="303" t="s">
        <v>13099</v>
      </c>
      <c r="D915" s="304" t="s">
        <v>13100</v>
      </c>
    </row>
    <row r="916" spans="1:4" ht="14.1" customHeight="1" x14ac:dyDescent="0.25">
      <c r="A916" s="303" t="s">
        <v>13092</v>
      </c>
      <c r="B916" s="304" t="s">
        <v>13093</v>
      </c>
      <c r="C916" s="303" t="s">
        <v>13101</v>
      </c>
      <c r="D916" s="304" t="s">
        <v>13102</v>
      </c>
    </row>
    <row r="917" spans="1:4" ht="14.1" customHeight="1" x14ac:dyDescent="0.25">
      <c r="A917" s="303" t="s">
        <v>13092</v>
      </c>
      <c r="B917" s="304" t="s">
        <v>13093</v>
      </c>
      <c r="C917" s="303" t="s">
        <v>13103</v>
      </c>
      <c r="D917" s="304" t="s">
        <v>13104</v>
      </c>
    </row>
    <row r="918" spans="1:4" ht="14.1" customHeight="1" x14ac:dyDescent="0.25">
      <c r="A918" s="303" t="s">
        <v>13092</v>
      </c>
      <c r="B918" s="304" t="s">
        <v>13093</v>
      </c>
      <c r="C918" s="303" t="s">
        <v>13105</v>
      </c>
      <c r="D918" s="304" t="s">
        <v>13106</v>
      </c>
    </row>
    <row r="919" spans="1:4" ht="14.1" customHeight="1" x14ac:dyDescent="0.25">
      <c r="A919" s="303" t="s">
        <v>13092</v>
      </c>
      <c r="B919" s="304" t="s">
        <v>13093</v>
      </c>
      <c r="C919" s="303" t="s">
        <v>11020</v>
      </c>
      <c r="D919" s="304" t="s">
        <v>13107</v>
      </c>
    </row>
    <row r="920" spans="1:4" ht="14.1" customHeight="1" x14ac:dyDescent="0.25">
      <c r="A920" s="303" t="s">
        <v>13108</v>
      </c>
      <c r="B920" s="304" t="s">
        <v>13109</v>
      </c>
      <c r="C920" s="303" t="s">
        <v>13110</v>
      </c>
      <c r="D920" s="304" t="s">
        <v>13111</v>
      </c>
    </row>
    <row r="921" spans="1:4" ht="14.1" customHeight="1" x14ac:dyDescent="0.25">
      <c r="A921" s="303" t="s">
        <v>13112</v>
      </c>
      <c r="B921" s="304" t="s">
        <v>13113</v>
      </c>
      <c r="C921" s="303" t="s">
        <v>13114</v>
      </c>
      <c r="D921" s="304" t="s">
        <v>13115</v>
      </c>
    </row>
    <row r="922" spans="1:4" ht="14.1" customHeight="1" x14ac:dyDescent="0.25">
      <c r="A922" s="303" t="s">
        <v>13112</v>
      </c>
      <c r="B922" s="304" t="s">
        <v>13113</v>
      </c>
      <c r="C922" s="303" t="s">
        <v>13116</v>
      </c>
      <c r="D922" s="304" t="s">
        <v>13117</v>
      </c>
    </row>
    <row r="923" spans="1:4" ht="14.1" customHeight="1" x14ac:dyDescent="0.25">
      <c r="A923" s="303" t="s">
        <v>13118</v>
      </c>
      <c r="B923" s="304" t="s">
        <v>13119</v>
      </c>
      <c r="C923" s="303" t="s">
        <v>13120</v>
      </c>
      <c r="D923" s="304" t="s">
        <v>13121</v>
      </c>
    </row>
    <row r="924" spans="1:4" ht="14.1" customHeight="1" x14ac:dyDescent="0.25">
      <c r="A924" s="303" t="s">
        <v>13122</v>
      </c>
      <c r="B924" s="304" t="s">
        <v>13123</v>
      </c>
      <c r="C924" s="303" t="s">
        <v>13124</v>
      </c>
      <c r="D924" s="304" t="s">
        <v>13125</v>
      </c>
    </row>
    <row r="925" spans="1:4" ht="14.1" customHeight="1" x14ac:dyDescent="0.25">
      <c r="A925" s="372" t="s">
        <v>13126</v>
      </c>
      <c r="B925" s="304" t="s">
        <v>13127</v>
      </c>
      <c r="C925" s="303" t="s">
        <v>13128</v>
      </c>
      <c r="D925" s="377" t="s">
        <v>13526</v>
      </c>
    </row>
    <row r="926" spans="1:4" ht="14.1" customHeight="1" x14ac:dyDescent="0.25">
      <c r="A926" s="303" t="s">
        <v>13129</v>
      </c>
      <c r="B926" s="304" t="s">
        <v>13130</v>
      </c>
      <c r="C926" s="303" t="s">
        <v>13131</v>
      </c>
      <c r="D926" s="304" t="s">
        <v>13132</v>
      </c>
    </row>
    <row r="927" spans="1:4" ht="14.1" customHeight="1" x14ac:dyDescent="0.25">
      <c r="A927" s="303" t="s">
        <v>13133</v>
      </c>
      <c r="B927" s="304" t="s">
        <v>13134</v>
      </c>
      <c r="C927" s="303" t="s">
        <v>13135</v>
      </c>
      <c r="D927" s="304" t="s">
        <v>13136</v>
      </c>
    </row>
    <row r="928" spans="1:4" ht="14.1" customHeight="1" x14ac:dyDescent="0.25">
      <c r="A928" s="303" t="s">
        <v>13133</v>
      </c>
      <c r="B928" s="304" t="s">
        <v>13134</v>
      </c>
      <c r="C928" s="303" t="s">
        <v>13137</v>
      </c>
      <c r="D928" s="304" t="s">
        <v>13138</v>
      </c>
    </row>
    <row r="929" spans="1:4" ht="14.1" customHeight="1" x14ac:dyDescent="0.25">
      <c r="A929" s="303" t="s">
        <v>7395</v>
      </c>
      <c r="B929" s="304" t="s">
        <v>13139</v>
      </c>
      <c r="C929" s="303" t="s">
        <v>13140</v>
      </c>
      <c r="D929" s="304" t="s">
        <v>13141</v>
      </c>
    </row>
    <row r="930" spans="1:4" ht="14.1" customHeight="1" x14ac:dyDescent="0.25">
      <c r="A930" s="303" t="s">
        <v>7543</v>
      </c>
      <c r="B930" s="304" t="s">
        <v>13142</v>
      </c>
      <c r="C930" s="303" t="s">
        <v>13143</v>
      </c>
      <c r="D930" s="304" t="s">
        <v>13144</v>
      </c>
    </row>
    <row r="931" spans="1:4" ht="14.1" customHeight="1" x14ac:dyDescent="0.25">
      <c r="A931" s="303" t="s">
        <v>7543</v>
      </c>
      <c r="B931" s="304" t="s">
        <v>13142</v>
      </c>
      <c r="C931" s="303" t="s">
        <v>13145</v>
      </c>
      <c r="D931" s="304" t="s">
        <v>13146</v>
      </c>
    </row>
    <row r="932" spans="1:4" ht="14.1" customHeight="1" x14ac:dyDescent="0.25">
      <c r="A932" s="303" t="s">
        <v>7543</v>
      </c>
      <c r="B932" s="304" t="s">
        <v>13142</v>
      </c>
      <c r="C932" s="303" t="s">
        <v>13147</v>
      </c>
      <c r="D932" s="304" t="s">
        <v>13148</v>
      </c>
    </row>
    <row r="933" spans="1:4" ht="14.1" customHeight="1" x14ac:dyDescent="0.25">
      <c r="A933" s="303" t="s">
        <v>13149</v>
      </c>
      <c r="B933" s="304" t="s">
        <v>13150</v>
      </c>
      <c r="C933" s="303" t="s">
        <v>13151</v>
      </c>
      <c r="D933" s="304" t="s">
        <v>13152</v>
      </c>
    </row>
    <row r="934" spans="1:4" ht="14.1" customHeight="1" x14ac:dyDescent="0.25">
      <c r="A934" s="303" t="s">
        <v>13149</v>
      </c>
      <c r="B934" s="304" t="s">
        <v>13150</v>
      </c>
      <c r="C934" s="303" t="s">
        <v>13153</v>
      </c>
      <c r="D934" s="304" t="s">
        <v>13154</v>
      </c>
    </row>
    <row r="935" spans="1:4" ht="14.1" customHeight="1" x14ac:dyDescent="0.25">
      <c r="A935" s="303" t="s">
        <v>13149</v>
      </c>
      <c r="B935" s="304" t="s">
        <v>13150</v>
      </c>
      <c r="C935" s="303" t="s">
        <v>13155</v>
      </c>
      <c r="D935" s="304" t="s">
        <v>13156</v>
      </c>
    </row>
    <row r="936" spans="1:4" ht="14.1" customHeight="1" x14ac:dyDescent="0.25">
      <c r="A936" s="303" t="s">
        <v>13149</v>
      </c>
      <c r="B936" s="304" t="s">
        <v>13150</v>
      </c>
      <c r="C936" s="303" t="s">
        <v>13157</v>
      </c>
      <c r="D936" s="304" t="s">
        <v>13158</v>
      </c>
    </row>
    <row r="937" spans="1:4" ht="14.1" customHeight="1" x14ac:dyDescent="0.25">
      <c r="A937" s="303" t="s">
        <v>13149</v>
      </c>
      <c r="B937" s="304" t="s">
        <v>13150</v>
      </c>
      <c r="C937" s="303" t="s">
        <v>13159</v>
      </c>
      <c r="D937" s="304" t="s">
        <v>13160</v>
      </c>
    </row>
    <row r="938" spans="1:4" ht="14.1" customHeight="1" x14ac:dyDescent="0.25">
      <c r="A938" s="303" t="s">
        <v>13149</v>
      </c>
      <c r="B938" s="304" t="s">
        <v>13150</v>
      </c>
      <c r="C938" s="303" t="s">
        <v>13161</v>
      </c>
      <c r="D938" s="304" t="s">
        <v>13162</v>
      </c>
    </row>
    <row r="939" spans="1:4" ht="14.1" customHeight="1" x14ac:dyDescent="0.25">
      <c r="A939" s="303" t="s">
        <v>13149</v>
      </c>
      <c r="B939" s="304" t="s">
        <v>13150</v>
      </c>
      <c r="C939" s="303" t="s">
        <v>13163</v>
      </c>
      <c r="D939" s="304" t="s">
        <v>13164</v>
      </c>
    </row>
    <row r="940" spans="1:4" ht="14.1" customHeight="1" x14ac:dyDescent="0.25">
      <c r="A940" s="303" t="s">
        <v>13149</v>
      </c>
      <c r="B940" s="304" t="s">
        <v>13150</v>
      </c>
      <c r="C940" s="303" t="s">
        <v>13165</v>
      </c>
      <c r="D940" s="304" t="s">
        <v>12213</v>
      </c>
    </row>
    <row r="941" spans="1:4" ht="14.1" customHeight="1" x14ac:dyDescent="0.25">
      <c r="A941" s="303" t="s">
        <v>13149</v>
      </c>
      <c r="B941" s="304" t="s">
        <v>13150</v>
      </c>
      <c r="C941" s="303" t="s">
        <v>13166</v>
      </c>
      <c r="D941" s="304" t="s">
        <v>13167</v>
      </c>
    </row>
    <row r="942" spans="1:4" ht="14.1" customHeight="1" x14ac:dyDescent="0.25">
      <c r="A942" s="303" t="s">
        <v>13149</v>
      </c>
      <c r="B942" s="304" t="s">
        <v>13150</v>
      </c>
      <c r="C942" s="303" t="s">
        <v>13168</v>
      </c>
      <c r="D942" s="304" t="s">
        <v>11421</v>
      </c>
    </row>
    <row r="943" spans="1:4" ht="14.1" customHeight="1" x14ac:dyDescent="0.25">
      <c r="A943" s="303" t="s">
        <v>13149</v>
      </c>
      <c r="B943" s="304" t="s">
        <v>13150</v>
      </c>
      <c r="C943" s="303" t="s">
        <v>13169</v>
      </c>
      <c r="D943" s="304" t="s">
        <v>13170</v>
      </c>
    </row>
    <row r="944" spans="1:4" ht="14.1" customHeight="1" x14ac:dyDescent="0.25">
      <c r="A944" s="303" t="s">
        <v>13149</v>
      </c>
      <c r="B944" s="304" t="s">
        <v>13150</v>
      </c>
      <c r="C944" s="303" t="s">
        <v>13171</v>
      </c>
      <c r="D944" s="304" t="s">
        <v>13172</v>
      </c>
    </row>
    <row r="945" spans="1:4" ht="14.1" customHeight="1" x14ac:dyDescent="0.25">
      <c r="A945" s="303" t="s">
        <v>13149</v>
      </c>
      <c r="B945" s="304" t="s">
        <v>13150</v>
      </c>
      <c r="C945" s="303" t="s">
        <v>13173</v>
      </c>
      <c r="D945" s="304" t="s">
        <v>13174</v>
      </c>
    </row>
    <row r="946" spans="1:4" ht="14.1" customHeight="1" x14ac:dyDescent="0.25">
      <c r="A946" s="303" t="s">
        <v>13149</v>
      </c>
      <c r="B946" s="304" t="s">
        <v>13150</v>
      </c>
      <c r="C946" s="303" t="s">
        <v>13175</v>
      </c>
      <c r="D946" s="304" t="s">
        <v>13176</v>
      </c>
    </row>
    <row r="947" spans="1:4" ht="14.1" customHeight="1" x14ac:dyDescent="0.25">
      <c r="A947" s="303" t="s">
        <v>13149</v>
      </c>
      <c r="B947" s="304" t="s">
        <v>13150</v>
      </c>
      <c r="C947" s="303" t="s">
        <v>13177</v>
      </c>
      <c r="D947" s="304" t="s">
        <v>13178</v>
      </c>
    </row>
    <row r="948" spans="1:4" ht="14.1" customHeight="1" x14ac:dyDescent="0.25">
      <c r="A948" s="303" t="s">
        <v>13149</v>
      </c>
      <c r="B948" s="304" t="s">
        <v>13150</v>
      </c>
      <c r="C948" s="303" t="s">
        <v>13179</v>
      </c>
      <c r="D948" s="304" t="s">
        <v>13180</v>
      </c>
    </row>
    <row r="949" spans="1:4" ht="14.1" customHeight="1" x14ac:dyDescent="0.25">
      <c r="A949" s="303" t="s">
        <v>13149</v>
      </c>
      <c r="B949" s="304" t="s">
        <v>13150</v>
      </c>
      <c r="C949" s="303" t="s">
        <v>13181</v>
      </c>
      <c r="D949" s="304" t="s">
        <v>13182</v>
      </c>
    </row>
    <row r="950" spans="1:4" ht="14.1" customHeight="1" x14ac:dyDescent="0.25">
      <c r="A950" s="303" t="s">
        <v>13149</v>
      </c>
      <c r="B950" s="304" t="s">
        <v>13150</v>
      </c>
      <c r="C950" s="303" t="s">
        <v>13183</v>
      </c>
      <c r="D950" s="304" t="s">
        <v>13184</v>
      </c>
    </row>
    <row r="951" spans="1:4" ht="14.1" customHeight="1" x14ac:dyDescent="0.25">
      <c r="A951" s="303" t="s">
        <v>13149</v>
      </c>
      <c r="B951" s="304" t="s">
        <v>13150</v>
      </c>
      <c r="C951" s="303" t="s">
        <v>13185</v>
      </c>
      <c r="D951" s="304" t="s">
        <v>13186</v>
      </c>
    </row>
    <row r="952" spans="1:4" ht="14.1" customHeight="1" x14ac:dyDescent="0.25">
      <c r="A952" s="303" t="s">
        <v>13149</v>
      </c>
      <c r="B952" s="304" t="s">
        <v>13150</v>
      </c>
      <c r="C952" s="303" t="s">
        <v>13187</v>
      </c>
      <c r="D952" s="304" t="s">
        <v>13188</v>
      </c>
    </row>
    <row r="953" spans="1:4" ht="14.1" customHeight="1" x14ac:dyDescent="0.25">
      <c r="A953" s="303" t="s">
        <v>13149</v>
      </c>
      <c r="B953" s="304" t="s">
        <v>13150</v>
      </c>
      <c r="C953" s="303" t="s">
        <v>13189</v>
      </c>
      <c r="D953" s="304" t="s">
        <v>13190</v>
      </c>
    </row>
    <row r="954" spans="1:4" ht="14.1" customHeight="1" x14ac:dyDescent="0.25">
      <c r="A954" s="303" t="s">
        <v>13149</v>
      </c>
      <c r="B954" s="304" t="s">
        <v>13150</v>
      </c>
      <c r="C954" s="303" t="s">
        <v>13191</v>
      </c>
      <c r="D954" s="304" t="s">
        <v>13192</v>
      </c>
    </row>
    <row r="955" spans="1:4" ht="14.1" customHeight="1" x14ac:dyDescent="0.25">
      <c r="A955" s="303" t="s">
        <v>13193</v>
      </c>
      <c r="B955" s="304" t="s">
        <v>13194</v>
      </c>
      <c r="C955" s="303" t="s">
        <v>13195</v>
      </c>
      <c r="D955" s="304" t="s">
        <v>13196</v>
      </c>
    </row>
    <row r="956" spans="1:4" ht="14.1" customHeight="1" x14ac:dyDescent="0.25">
      <c r="A956" s="303" t="s">
        <v>13193</v>
      </c>
      <c r="B956" s="304" t="s">
        <v>13194</v>
      </c>
      <c r="C956" s="303" t="s">
        <v>13197</v>
      </c>
      <c r="D956" s="304" t="s">
        <v>13198</v>
      </c>
    </row>
    <row r="957" spans="1:4" ht="14.1" customHeight="1" x14ac:dyDescent="0.25">
      <c r="A957" s="303" t="s">
        <v>7514</v>
      </c>
      <c r="B957" s="304" t="s">
        <v>13199</v>
      </c>
      <c r="C957" s="303" t="s">
        <v>11004</v>
      </c>
      <c r="D957" s="304" t="s">
        <v>13200</v>
      </c>
    </row>
    <row r="958" spans="1:4" ht="14.1" customHeight="1" x14ac:dyDescent="0.25">
      <c r="A958" s="303" t="s">
        <v>7514</v>
      </c>
      <c r="B958" s="304" t="s">
        <v>13199</v>
      </c>
      <c r="C958" s="303" t="s">
        <v>13201</v>
      </c>
      <c r="D958" s="304" t="s">
        <v>13202</v>
      </c>
    </row>
    <row r="959" spans="1:4" ht="14.1" customHeight="1" x14ac:dyDescent="0.25">
      <c r="A959" s="303" t="s">
        <v>7514</v>
      </c>
      <c r="B959" s="304" t="s">
        <v>13199</v>
      </c>
      <c r="C959" s="303" t="s">
        <v>11016</v>
      </c>
      <c r="D959" s="304" t="s">
        <v>13203</v>
      </c>
    </row>
    <row r="960" spans="1:4" ht="14.1" customHeight="1" x14ac:dyDescent="0.25">
      <c r="A960" s="303" t="s">
        <v>13204</v>
      </c>
      <c r="B960" s="304" t="s">
        <v>13205</v>
      </c>
      <c r="C960" s="303" t="s">
        <v>11040</v>
      </c>
      <c r="D960" s="304" t="s">
        <v>13206</v>
      </c>
    </row>
    <row r="961" spans="1:4" ht="14.1" customHeight="1" x14ac:dyDescent="0.25">
      <c r="A961" s="303" t="s">
        <v>13204</v>
      </c>
      <c r="B961" s="304" t="s">
        <v>13205</v>
      </c>
      <c r="C961" s="303" t="s">
        <v>13207</v>
      </c>
      <c r="D961" s="304" t="s">
        <v>13208</v>
      </c>
    </row>
    <row r="962" spans="1:4" ht="14.1" customHeight="1" x14ac:dyDescent="0.25">
      <c r="A962" s="303" t="s">
        <v>13204</v>
      </c>
      <c r="B962" s="304" t="s">
        <v>13205</v>
      </c>
      <c r="C962" s="303" t="s">
        <v>13209</v>
      </c>
      <c r="D962" s="304" t="s">
        <v>13210</v>
      </c>
    </row>
    <row r="963" spans="1:4" ht="14.1" customHeight="1" x14ac:dyDescent="0.25">
      <c r="A963" s="303" t="s">
        <v>13204</v>
      </c>
      <c r="B963" s="304" t="s">
        <v>13205</v>
      </c>
      <c r="C963" s="303" t="s">
        <v>13211</v>
      </c>
      <c r="D963" s="304" t="s">
        <v>13212</v>
      </c>
    </row>
    <row r="964" spans="1:4" ht="14.1" customHeight="1" x14ac:dyDescent="0.25">
      <c r="A964" s="303" t="s">
        <v>13204</v>
      </c>
      <c r="B964" s="304" t="s">
        <v>13205</v>
      </c>
      <c r="C964" s="303" t="s">
        <v>13213</v>
      </c>
      <c r="D964" s="304" t="s">
        <v>13214</v>
      </c>
    </row>
    <row r="965" spans="1:4" ht="14.1" customHeight="1" x14ac:dyDescent="0.25">
      <c r="A965" s="303" t="s">
        <v>13204</v>
      </c>
      <c r="B965" s="304" t="s">
        <v>13205</v>
      </c>
      <c r="C965" s="303" t="s">
        <v>13215</v>
      </c>
      <c r="D965" s="304" t="s">
        <v>13216</v>
      </c>
    </row>
    <row r="966" spans="1:4" ht="14.1" customHeight="1" x14ac:dyDescent="0.25">
      <c r="A966" s="303" t="s">
        <v>13204</v>
      </c>
      <c r="B966" s="304" t="s">
        <v>13205</v>
      </c>
      <c r="C966" s="303" t="s">
        <v>13217</v>
      </c>
      <c r="D966" s="304" t="s">
        <v>13218</v>
      </c>
    </row>
    <row r="967" spans="1:4" ht="14.1" customHeight="1" x14ac:dyDescent="0.25">
      <c r="A967" s="303" t="s">
        <v>13204</v>
      </c>
      <c r="B967" s="304" t="s">
        <v>13205</v>
      </c>
      <c r="C967" s="303" t="s">
        <v>13219</v>
      </c>
      <c r="D967" s="304" t="s">
        <v>13220</v>
      </c>
    </row>
    <row r="968" spans="1:4" ht="14.1" customHeight="1" x14ac:dyDescent="0.25">
      <c r="A968" s="303" t="s">
        <v>13204</v>
      </c>
      <c r="B968" s="304" t="s">
        <v>13205</v>
      </c>
      <c r="C968" s="303" t="s">
        <v>13221</v>
      </c>
      <c r="D968" s="304" t="s">
        <v>13222</v>
      </c>
    </row>
    <row r="969" spans="1:4" ht="14.1" customHeight="1" x14ac:dyDescent="0.25">
      <c r="A969" s="303" t="s">
        <v>13204</v>
      </c>
      <c r="B969" s="304" t="s">
        <v>13205</v>
      </c>
      <c r="C969" s="303" t="s">
        <v>13223</v>
      </c>
      <c r="D969" s="304" t="s">
        <v>13224</v>
      </c>
    </row>
    <row r="970" spans="1:4" ht="14.1" customHeight="1" x14ac:dyDescent="0.25">
      <c r="A970" s="303" t="s">
        <v>13204</v>
      </c>
      <c r="B970" s="304" t="s">
        <v>13205</v>
      </c>
      <c r="C970" s="303" t="s">
        <v>13225</v>
      </c>
      <c r="D970" s="304" t="s">
        <v>13226</v>
      </c>
    </row>
    <row r="971" spans="1:4" ht="14.1" customHeight="1" x14ac:dyDescent="0.25">
      <c r="A971" s="303" t="s">
        <v>13204</v>
      </c>
      <c r="B971" s="304" t="s">
        <v>13205</v>
      </c>
      <c r="C971" s="303" t="s">
        <v>13227</v>
      </c>
      <c r="D971" s="304" t="s">
        <v>13228</v>
      </c>
    </row>
    <row r="972" spans="1:4" ht="14.1" customHeight="1" x14ac:dyDescent="0.25">
      <c r="A972" s="303" t="s">
        <v>13204</v>
      </c>
      <c r="B972" s="304" t="s">
        <v>13205</v>
      </c>
      <c r="C972" s="303" t="s">
        <v>13229</v>
      </c>
      <c r="D972" s="304" t="s">
        <v>13230</v>
      </c>
    </row>
    <row r="973" spans="1:4" ht="14.1" customHeight="1" x14ac:dyDescent="0.25">
      <c r="A973" s="303" t="s">
        <v>13204</v>
      </c>
      <c r="B973" s="304" t="s">
        <v>13205</v>
      </c>
      <c r="C973" s="303" t="s">
        <v>13231</v>
      </c>
      <c r="D973" s="304" t="s">
        <v>13232</v>
      </c>
    </row>
    <row r="974" spans="1:4" ht="14.1" customHeight="1" x14ac:dyDescent="0.25">
      <c r="A974" s="303" t="s">
        <v>13204</v>
      </c>
      <c r="B974" s="304" t="s">
        <v>13205</v>
      </c>
      <c r="C974" s="303" t="s">
        <v>13233</v>
      </c>
      <c r="D974" s="304" t="s">
        <v>13234</v>
      </c>
    </row>
    <row r="975" spans="1:4" ht="14.1" customHeight="1" x14ac:dyDescent="0.25">
      <c r="A975" s="303" t="s">
        <v>13204</v>
      </c>
      <c r="B975" s="304" t="s">
        <v>13205</v>
      </c>
      <c r="C975" s="303" t="s">
        <v>13235</v>
      </c>
      <c r="D975" s="304" t="s">
        <v>13236</v>
      </c>
    </row>
    <row r="976" spans="1:4" ht="14.1" customHeight="1" x14ac:dyDescent="0.25">
      <c r="A976" s="303" t="s">
        <v>13237</v>
      </c>
      <c r="B976" s="304" t="s">
        <v>13238</v>
      </c>
      <c r="C976" s="303" t="s">
        <v>13239</v>
      </c>
      <c r="D976" s="304" t="s">
        <v>13240</v>
      </c>
    </row>
    <row r="977" spans="1:4" ht="14.1" customHeight="1" x14ac:dyDescent="0.25">
      <c r="A977" s="303" t="s">
        <v>13241</v>
      </c>
      <c r="B977" s="304" t="s">
        <v>13242</v>
      </c>
      <c r="C977" s="303" t="s">
        <v>13243</v>
      </c>
      <c r="D977" s="304" t="s">
        <v>13244</v>
      </c>
    </row>
    <row r="978" spans="1:4" ht="14.1" customHeight="1" x14ac:dyDescent="0.25">
      <c r="A978" s="303" t="s">
        <v>13245</v>
      </c>
      <c r="B978" s="304" t="s">
        <v>13246</v>
      </c>
      <c r="C978" s="303" t="s">
        <v>13247</v>
      </c>
      <c r="D978" s="304" t="s">
        <v>13248</v>
      </c>
    </row>
    <row r="979" spans="1:4" ht="14.1" customHeight="1" x14ac:dyDescent="0.25">
      <c r="A979" s="303" t="s">
        <v>13245</v>
      </c>
      <c r="B979" s="304" t="s">
        <v>13246</v>
      </c>
      <c r="C979" s="303" t="s">
        <v>10996</v>
      </c>
      <c r="D979" s="304" t="s">
        <v>13249</v>
      </c>
    </row>
    <row r="980" spans="1:4" ht="14.1" customHeight="1" x14ac:dyDescent="0.25">
      <c r="A980" s="303" t="s">
        <v>13245</v>
      </c>
      <c r="B980" s="304" t="s">
        <v>13246</v>
      </c>
      <c r="C980" s="303" t="s">
        <v>13250</v>
      </c>
      <c r="D980" s="304" t="s">
        <v>13251</v>
      </c>
    </row>
    <row r="981" spans="1:4" ht="14.1" customHeight="1" x14ac:dyDescent="0.25">
      <c r="A981" s="303" t="s">
        <v>13252</v>
      </c>
      <c r="B981" s="304" t="s">
        <v>13253</v>
      </c>
      <c r="C981" s="303" t="s">
        <v>13254</v>
      </c>
      <c r="D981" s="304" t="s">
        <v>13255</v>
      </c>
    </row>
    <row r="982" spans="1:4" ht="14.1" customHeight="1" x14ac:dyDescent="0.25">
      <c r="A982" s="303" t="s">
        <v>13252</v>
      </c>
      <c r="B982" s="304" t="s">
        <v>13253</v>
      </c>
      <c r="C982" s="303" t="s">
        <v>13256</v>
      </c>
      <c r="D982" s="304" t="s">
        <v>13257</v>
      </c>
    </row>
    <row r="983" spans="1:4" ht="14.1" customHeight="1" x14ac:dyDescent="0.25">
      <c r="A983" s="303" t="s">
        <v>13252</v>
      </c>
      <c r="B983" s="304" t="s">
        <v>13253</v>
      </c>
      <c r="C983" s="303" t="s">
        <v>13258</v>
      </c>
      <c r="D983" s="304" t="s">
        <v>13259</v>
      </c>
    </row>
    <row r="984" spans="1:4" ht="14.1" customHeight="1" x14ac:dyDescent="0.25">
      <c r="A984" s="303" t="s">
        <v>13252</v>
      </c>
      <c r="B984" s="304" t="s">
        <v>13253</v>
      </c>
      <c r="C984" s="303" t="s">
        <v>13260</v>
      </c>
      <c r="D984" s="304" t="s">
        <v>13261</v>
      </c>
    </row>
    <row r="985" spans="1:4" ht="14.1" customHeight="1" x14ac:dyDescent="0.25">
      <c r="A985" s="303" t="s">
        <v>13252</v>
      </c>
      <c r="B985" s="304" t="s">
        <v>13253</v>
      </c>
      <c r="C985" s="303" t="s">
        <v>13262</v>
      </c>
      <c r="D985" s="304" t="s">
        <v>13263</v>
      </c>
    </row>
    <row r="986" spans="1:4" ht="14.1" customHeight="1" x14ac:dyDescent="0.25">
      <c r="A986" s="303" t="s">
        <v>13252</v>
      </c>
      <c r="B986" s="304" t="s">
        <v>13253</v>
      </c>
      <c r="C986" s="303" t="s">
        <v>13264</v>
      </c>
      <c r="D986" s="304" t="s">
        <v>13265</v>
      </c>
    </row>
    <row r="987" spans="1:4" ht="14.1" customHeight="1" x14ac:dyDescent="0.25">
      <c r="A987" s="303" t="s">
        <v>13252</v>
      </c>
      <c r="B987" s="304" t="s">
        <v>13253</v>
      </c>
      <c r="C987" s="303" t="s">
        <v>13266</v>
      </c>
      <c r="D987" s="304" t="s">
        <v>13267</v>
      </c>
    </row>
    <row r="988" spans="1:4" ht="14.1" customHeight="1" x14ac:dyDescent="0.25">
      <c r="A988" s="303" t="s">
        <v>7467</v>
      </c>
      <c r="B988" s="304" t="s">
        <v>13268</v>
      </c>
      <c r="C988" s="303" t="s">
        <v>13269</v>
      </c>
      <c r="D988" s="304" t="s">
        <v>13270</v>
      </c>
    </row>
    <row r="989" spans="1:4" ht="14.1" customHeight="1" x14ac:dyDescent="0.25">
      <c r="A989" s="303" t="s">
        <v>7467</v>
      </c>
      <c r="B989" s="304" t="s">
        <v>13268</v>
      </c>
      <c r="C989" s="303" t="s">
        <v>13271</v>
      </c>
      <c r="D989" s="304" t="s">
        <v>13272</v>
      </c>
    </row>
    <row r="990" spans="1:4" ht="14.1" customHeight="1" x14ac:dyDescent="0.25">
      <c r="A990" s="303" t="s">
        <v>7467</v>
      </c>
      <c r="B990" s="304" t="s">
        <v>13268</v>
      </c>
      <c r="C990" s="303" t="s">
        <v>13273</v>
      </c>
      <c r="D990" s="304" t="s">
        <v>13274</v>
      </c>
    </row>
    <row r="991" spans="1:4" ht="14.1" customHeight="1" x14ac:dyDescent="0.25">
      <c r="A991" s="303" t="s">
        <v>7467</v>
      </c>
      <c r="B991" s="304" t="s">
        <v>13268</v>
      </c>
      <c r="C991" s="303" t="s">
        <v>13275</v>
      </c>
      <c r="D991" s="304" t="s">
        <v>13276</v>
      </c>
    </row>
    <row r="992" spans="1:4" ht="14.1" customHeight="1" x14ac:dyDescent="0.25">
      <c r="A992" s="303" t="s">
        <v>7467</v>
      </c>
      <c r="B992" s="304" t="s">
        <v>13268</v>
      </c>
      <c r="C992" s="303" t="s">
        <v>13277</v>
      </c>
      <c r="D992" s="304" t="s">
        <v>13278</v>
      </c>
    </row>
    <row r="993" spans="1:4" ht="14.1" customHeight="1" x14ac:dyDescent="0.25">
      <c r="A993" s="303" t="s">
        <v>13279</v>
      </c>
      <c r="B993" s="304" t="s">
        <v>13280</v>
      </c>
      <c r="C993" s="303" t="s">
        <v>13281</v>
      </c>
      <c r="D993" s="304" t="s">
        <v>13282</v>
      </c>
    </row>
    <row r="994" spans="1:4" ht="14.1" customHeight="1" x14ac:dyDescent="0.25">
      <c r="A994" s="303" t="s">
        <v>13279</v>
      </c>
      <c r="B994" s="304" t="s">
        <v>13280</v>
      </c>
      <c r="C994" s="303" t="s">
        <v>13283</v>
      </c>
      <c r="D994" s="304" t="s">
        <v>13284</v>
      </c>
    </row>
    <row r="995" spans="1:4" ht="14.1" customHeight="1" x14ac:dyDescent="0.25">
      <c r="A995" s="303" t="s">
        <v>13279</v>
      </c>
      <c r="B995" s="304" t="s">
        <v>13280</v>
      </c>
      <c r="C995" s="303" t="s">
        <v>13285</v>
      </c>
      <c r="D995" s="304" t="s">
        <v>13286</v>
      </c>
    </row>
    <row r="996" spans="1:4" ht="14.1" customHeight="1" x14ac:dyDescent="0.25">
      <c r="A996" s="303" t="s">
        <v>13279</v>
      </c>
      <c r="B996" s="304" t="s">
        <v>13280</v>
      </c>
      <c r="C996" s="303" t="s">
        <v>13287</v>
      </c>
      <c r="D996" s="304" t="s">
        <v>13288</v>
      </c>
    </row>
    <row r="997" spans="1:4" ht="14.1" customHeight="1" x14ac:dyDescent="0.25">
      <c r="A997" s="303" t="s">
        <v>13279</v>
      </c>
      <c r="B997" s="304" t="s">
        <v>13280</v>
      </c>
      <c r="C997" s="303" t="s">
        <v>13289</v>
      </c>
      <c r="D997" s="304" t="s">
        <v>13290</v>
      </c>
    </row>
    <row r="998" spans="1:4" ht="14.1" customHeight="1" x14ac:dyDescent="0.25">
      <c r="A998" s="303" t="s">
        <v>13279</v>
      </c>
      <c r="B998" s="304" t="s">
        <v>13280</v>
      </c>
      <c r="C998" s="303" t="s">
        <v>13291</v>
      </c>
      <c r="D998" s="304" t="s">
        <v>13292</v>
      </c>
    </row>
    <row r="999" spans="1:4" ht="14.1" customHeight="1" x14ac:dyDescent="0.25">
      <c r="A999" s="303" t="s">
        <v>13279</v>
      </c>
      <c r="B999" s="304" t="s">
        <v>13280</v>
      </c>
      <c r="C999" s="303" t="s">
        <v>13293</v>
      </c>
      <c r="D999" s="304" t="s">
        <v>13294</v>
      </c>
    </row>
    <row r="1000" spans="1:4" ht="14.1" customHeight="1" x14ac:dyDescent="0.25">
      <c r="A1000" s="303" t="s">
        <v>13279</v>
      </c>
      <c r="B1000" s="304" t="s">
        <v>13280</v>
      </c>
      <c r="C1000" s="303" t="s">
        <v>13295</v>
      </c>
      <c r="D1000" s="304" t="s">
        <v>13296</v>
      </c>
    </row>
    <row r="1001" spans="1:4" ht="14.1" customHeight="1" x14ac:dyDescent="0.25">
      <c r="A1001" s="303" t="s">
        <v>7497</v>
      </c>
      <c r="B1001" s="304" t="s">
        <v>13297</v>
      </c>
      <c r="C1001" s="303" t="s">
        <v>13298</v>
      </c>
      <c r="D1001" s="304" t="s">
        <v>13299</v>
      </c>
    </row>
    <row r="1002" spans="1:4" ht="14.1" customHeight="1" x14ac:dyDescent="0.25">
      <c r="A1002" s="303" t="s">
        <v>7497</v>
      </c>
      <c r="B1002" s="304" t="s">
        <v>13297</v>
      </c>
      <c r="C1002" s="303" t="s">
        <v>13300</v>
      </c>
      <c r="D1002" s="304" t="s">
        <v>13301</v>
      </c>
    </row>
    <row r="1003" spans="1:4" ht="14.1" customHeight="1" x14ac:dyDescent="0.25">
      <c r="A1003" s="303" t="s">
        <v>7497</v>
      </c>
      <c r="B1003" s="304" t="s">
        <v>13297</v>
      </c>
      <c r="C1003" s="303" t="s">
        <v>13302</v>
      </c>
      <c r="D1003" s="304" t="s">
        <v>13303</v>
      </c>
    </row>
    <row r="1004" spans="1:4" ht="14.1" customHeight="1" x14ac:dyDescent="0.25">
      <c r="A1004" s="303" t="s">
        <v>7497</v>
      </c>
      <c r="B1004" s="304" t="s">
        <v>13297</v>
      </c>
      <c r="C1004" s="303" t="s">
        <v>13304</v>
      </c>
      <c r="D1004" s="304" t="s">
        <v>13305</v>
      </c>
    </row>
    <row r="1005" spans="1:4" ht="14.1" customHeight="1" x14ac:dyDescent="0.25">
      <c r="A1005" s="303" t="s">
        <v>7497</v>
      </c>
      <c r="B1005" s="304" t="s">
        <v>13297</v>
      </c>
      <c r="C1005" s="303" t="s">
        <v>13306</v>
      </c>
      <c r="D1005" s="304" t="s">
        <v>13307</v>
      </c>
    </row>
    <row r="1006" spans="1:4" ht="14.1" customHeight="1" x14ac:dyDescent="0.25">
      <c r="A1006" s="303" t="s">
        <v>13308</v>
      </c>
      <c r="B1006" s="304" t="s">
        <v>13309</v>
      </c>
      <c r="C1006" s="303" t="s">
        <v>13310</v>
      </c>
      <c r="D1006" s="304" t="s">
        <v>13311</v>
      </c>
    </row>
    <row r="1007" spans="1:4" ht="14.1" customHeight="1" x14ac:dyDescent="0.25">
      <c r="A1007" s="303" t="s">
        <v>13308</v>
      </c>
      <c r="B1007" s="304" t="s">
        <v>13309</v>
      </c>
      <c r="C1007" s="303" t="s">
        <v>13312</v>
      </c>
      <c r="D1007" s="304" t="s">
        <v>13313</v>
      </c>
    </row>
    <row r="1008" spans="1:4" ht="14.1" customHeight="1" x14ac:dyDescent="0.25">
      <c r="A1008" s="303" t="s">
        <v>13308</v>
      </c>
      <c r="B1008" s="304" t="s">
        <v>13309</v>
      </c>
      <c r="C1008" s="303" t="s">
        <v>13314</v>
      </c>
      <c r="D1008" s="304" t="s">
        <v>13315</v>
      </c>
    </row>
    <row r="1009" spans="1:4" ht="14.1" customHeight="1" x14ac:dyDescent="0.25">
      <c r="A1009" s="303" t="s">
        <v>13308</v>
      </c>
      <c r="B1009" s="304" t="s">
        <v>13309</v>
      </c>
      <c r="C1009" s="303" t="s">
        <v>13316</v>
      </c>
      <c r="D1009" s="304" t="s">
        <v>13317</v>
      </c>
    </row>
    <row r="1010" spans="1:4" ht="14.1" customHeight="1" x14ac:dyDescent="0.25">
      <c r="A1010" s="303" t="s">
        <v>13318</v>
      </c>
      <c r="B1010" s="304" t="s">
        <v>13319</v>
      </c>
      <c r="C1010" s="303" t="s">
        <v>13320</v>
      </c>
      <c r="D1010" s="304" t="s">
        <v>13321</v>
      </c>
    </row>
    <row r="1011" spans="1:4" ht="14.1" customHeight="1" x14ac:dyDescent="0.25">
      <c r="A1011" s="303" t="s">
        <v>7544</v>
      </c>
      <c r="B1011" s="304" t="s">
        <v>13322</v>
      </c>
      <c r="C1011" s="303" t="s">
        <v>13323</v>
      </c>
      <c r="D1011" s="304" t="s">
        <v>13324</v>
      </c>
    </row>
    <row r="1012" spans="1:4" ht="14.1" customHeight="1" x14ac:dyDescent="0.25">
      <c r="A1012" s="303" t="s">
        <v>7544</v>
      </c>
      <c r="B1012" s="304" t="s">
        <v>13322</v>
      </c>
      <c r="C1012" s="303" t="s">
        <v>13325</v>
      </c>
      <c r="D1012" s="304" t="s">
        <v>13326</v>
      </c>
    </row>
    <row r="1013" spans="1:4" ht="14.1" customHeight="1" x14ac:dyDescent="0.25">
      <c r="A1013" s="303" t="s">
        <v>7544</v>
      </c>
      <c r="B1013" s="304" t="s">
        <v>13322</v>
      </c>
      <c r="C1013" s="303" t="s">
        <v>13327</v>
      </c>
      <c r="D1013" s="304" t="s">
        <v>13328</v>
      </c>
    </row>
    <row r="1014" spans="1:4" ht="14.1" customHeight="1" x14ac:dyDescent="0.25">
      <c r="A1014" s="303" t="s">
        <v>13329</v>
      </c>
      <c r="B1014" s="304" t="s">
        <v>13330</v>
      </c>
      <c r="C1014" s="303" t="s">
        <v>13331</v>
      </c>
      <c r="D1014" s="304" t="s">
        <v>13332</v>
      </c>
    </row>
    <row r="1015" spans="1:4" ht="14.1" customHeight="1" x14ac:dyDescent="0.25">
      <c r="A1015" s="303" t="s">
        <v>13329</v>
      </c>
      <c r="B1015" s="304" t="s">
        <v>13330</v>
      </c>
      <c r="C1015" s="303" t="s">
        <v>13333</v>
      </c>
      <c r="D1015" s="304" t="s">
        <v>13334</v>
      </c>
    </row>
    <row r="1016" spans="1:4" ht="14.1" customHeight="1" x14ac:dyDescent="0.25">
      <c r="A1016" s="303" t="s">
        <v>13329</v>
      </c>
      <c r="B1016" s="304" t="s">
        <v>13330</v>
      </c>
      <c r="C1016" s="303" t="s">
        <v>13335</v>
      </c>
      <c r="D1016" s="304" t="s">
        <v>11849</v>
      </c>
    </row>
    <row r="1017" spans="1:4" ht="14.1" customHeight="1" x14ac:dyDescent="0.25">
      <c r="A1017" s="303" t="s">
        <v>13329</v>
      </c>
      <c r="B1017" s="304" t="s">
        <v>13330</v>
      </c>
      <c r="C1017" s="303" t="s">
        <v>13336</v>
      </c>
      <c r="D1017" s="304" t="s">
        <v>13337</v>
      </c>
    </row>
    <row r="1018" spans="1:4" ht="14.1" customHeight="1" x14ac:dyDescent="0.25">
      <c r="A1018" s="303" t="s">
        <v>13329</v>
      </c>
      <c r="B1018" s="304" t="s">
        <v>13330</v>
      </c>
      <c r="C1018" s="303" t="s">
        <v>13338</v>
      </c>
      <c r="D1018" s="304" t="s">
        <v>13339</v>
      </c>
    </row>
    <row r="1019" spans="1:4" ht="14.1" customHeight="1" x14ac:dyDescent="0.25">
      <c r="A1019" s="303" t="s">
        <v>13340</v>
      </c>
      <c r="B1019" s="304" t="s">
        <v>13341</v>
      </c>
      <c r="C1019" s="303" t="s">
        <v>13342</v>
      </c>
      <c r="D1019" s="304" t="s">
        <v>13343</v>
      </c>
    </row>
    <row r="1020" spans="1:4" ht="14.1" customHeight="1" x14ac:dyDescent="0.25">
      <c r="C1020" s="302" t="s">
        <v>6518</v>
      </c>
      <c r="D1020" s="308" t="s">
        <v>6519</v>
      </c>
    </row>
    <row r="1021" spans="1:4" ht="14.1" customHeight="1" x14ac:dyDescent="0.25">
      <c r="C1021" s="302" t="s">
        <v>6543</v>
      </c>
      <c r="D1021" s="308" t="s">
        <v>6544</v>
      </c>
    </row>
    <row r="1022" spans="1:4" ht="14.1" customHeight="1" x14ac:dyDescent="0.25">
      <c r="C1022" s="302" t="s">
        <v>6539</v>
      </c>
      <c r="D1022" s="308" t="s">
        <v>6540</v>
      </c>
    </row>
    <row r="1023" spans="1:4" ht="14.1" customHeight="1" x14ac:dyDescent="0.25">
      <c r="C1023" s="302" t="s">
        <v>6545</v>
      </c>
      <c r="D1023" s="308" t="s">
        <v>6546</v>
      </c>
    </row>
    <row r="1024" spans="1:4" ht="14.1" customHeight="1" x14ac:dyDescent="0.25">
      <c r="C1024" s="302" t="s">
        <v>6521</v>
      </c>
      <c r="D1024" s="308" t="s">
        <v>6522</v>
      </c>
    </row>
    <row r="1025" spans="3:4" ht="14.1" customHeight="1" x14ac:dyDescent="0.25">
      <c r="C1025" s="302" t="s">
        <v>6533</v>
      </c>
      <c r="D1025" s="308" t="s">
        <v>6534</v>
      </c>
    </row>
    <row r="1026" spans="3:4" ht="14.1" customHeight="1" x14ac:dyDescent="0.25">
      <c r="C1026" s="302" t="s">
        <v>6529</v>
      </c>
      <c r="D1026" s="308" t="s">
        <v>6530</v>
      </c>
    </row>
    <row r="1027" spans="3:4" ht="14.1" customHeight="1" x14ac:dyDescent="0.25">
      <c r="C1027" s="302" t="s">
        <v>79</v>
      </c>
      <c r="D1027" s="308" t="s">
        <v>6547</v>
      </c>
    </row>
    <row r="1028" spans="3:4" ht="14.1" customHeight="1" x14ac:dyDescent="0.25">
      <c r="C1028" s="302" t="s">
        <v>6523</v>
      </c>
      <c r="D1028" s="308" t="s">
        <v>6524</v>
      </c>
    </row>
    <row r="1029" spans="3:4" ht="14.1" customHeight="1" x14ac:dyDescent="0.25">
      <c r="C1029" s="302" t="s">
        <v>6525</v>
      </c>
      <c r="D1029" s="308" t="s">
        <v>6526</v>
      </c>
    </row>
    <row r="1030" spans="3:4" ht="14.1" customHeight="1" x14ac:dyDescent="0.25">
      <c r="C1030" s="302" t="s">
        <v>6527</v>
      </c>
      <c r="D1030" s="308" t="s">
        <v>6528</v>
      </c>
    </row>
    <row r="1031" spans="3:4" ht="14.1" customHeight="1" x14ac:dyDescent="0.25">
      <c r="C1031" s="302" t="s">
        <v>6537</v>
      </c>
      <c r="D1031" s="308" t="s">
        <v>6538</v>
      </c>
    </row>
    <row r="1032" spans="3:4" ht="14.1" customHeight="1" x14ac:dyDescent="0.25">
      <c r="C1032" s="302" t="s">
        <v>6535</v>
      </c>
      <c r="D1032" s="308" t="s">
        <v>6536</v>
      </c>
    </row>
    <row r="1033" spans="3:4" ht="14.1" customHeight="1" x14ac:dyDescent="0.25">
      <c r="C1033" s="302" t="s">
        <v>6531</v>
      </c>
      <c r="D1033" s="308" t="s">
        <v>6532</v>
      </c>
    </row>
    <row r="1034" spans="3:4" ht="14.1" customHeight="1" x14ac:dyDescent="0.25">
      <c r="C1034" s="302" t="s">
        <v>6541</v>
      </c>
      <c r="D1034" s="308" t="s">
        <v>6542</v>
      </c>
    </row>
    <row r="1035" spans="3:4" ht="14.1" customHeight="1" x14ac:dyDescent="0.25">
      <c r="C1035" s="302" t="s">
        <v>13344</v>
      </c>
      <c r="D1035" s="308" t="s">
        <v>13345</v>
      </c>
    </row>
    <row r="1036" spans="3:4" ht="14.1" customHeight="1" x14ac:dyDescent="0.25">
      <c r="C1036" s="302" t="s">
        <v>13346</v>
      </c>
      <c r="D1036" s="308" t="s">
        <v>13347</v>
      </c>
    </row>
  </sheetData>
  <autoFilter ref="A1:D1036" xr:uid="{CCB9D3C4-9906-48E3-8683-C41446B141A0}"/>
  <phoneticPr fontId="7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19EAF2D8E8C74E9803199F9372C72D" ma:contentTypeVersion="11" ma:contentTypeDescription="Create a new document." ma:contentTypeScope="" ma:versionID="2ac6fe5732597b7d90120071f1d407b1">
  <xsd:schema xmlns:xsd="http://www.w3.org/2001/XMLSchema" xmlns:xs="http://www.w3.org/2001/XMLSchema" xmlns:p="http://schemas.microsoft.com/office/2006/metadata/properties" xmlns:ns3="8aa95b25-4cf4-411c-b872-0793008a202a" xmlns:ns4="ede5e0c4-9c1f-437d-b26e-fe9742b78c2e" targetNamespace="http://schemas.microsoft.com/office/2006/metadata/properties" ma:root="true" ma:fieldsID="54c53ddc0728d2b6efb22fe3c2e11b83" ns3:_="" ns4:_="">
    <xsd:import namespace="8aa95b25-4cf4-411c-b872-0793008a202a"/>
    <xsd:import namespace="ede5e0c4-9c1f-437d-b26e-fe9742b78c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95b25-4cf4-411c-b872-0793008a20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5e0c4-9c1f-437d-b26e-fe9742b78c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13A89-262A-43BC-8653-54B89F3F49CD}">
  <ds:schemaRefs>
    <ds:schemaRef ds:uri="http://schemas.microsoft.com/office/2006/documentManagement/types"/>
    <ds:schemaRef ds:uri="http://purl.org/dc/terms/"/>
    <ds:schemaRef ds:uri="http://schemas.microsoft.com/office/2006/metadata/properties"/>
    <ds:schemaRef ds:uri="ede5e0c4-9c1f-437d-b26e-fe9742b78c2e"/>
    <ds:schemaRef ds:uri="http://purl.org/dc/dcmitype/"/>
    <ds:schemaRef ds:uri="http://purl.org/dc/elements/1.1/"/>
    <ds:schemaRef ds:uri="http://schemas.microsoft.com/office/infopath/2007/PartnerControls"/>
    <ds:schemaRef ds:uri="http://schemas.openxmlformats.org/package/2006/metadata/core-properties"/>
    <ds:schemaRef ds:uri="8aa95b25-4cf4-411c-b872-0793008a202a"/>
    <ds:schemaRef ds:uri="http://www.w3.org/XML/1998/namespace"/>
  </ds:schemaRefs>
</ds:datastoreItem>
</file>

<file path=customXml/itemProps2.xml><?xml version="1.0" encoding="utf-8"?>
<ds:datastoreItem xmlns:ds="http://schemas.openxmlformats.org/officeDocument/2006/customXml" ds:itemID="{91661B04-BD97-453A-9876-6D2D4D2728A6}">
  <ds:schemaRefs>
    <ds:schemaRef ds:uri="http://schemas.microsoft.com/sharepoint/v3/contenttype/forms"/>
  </ds:schemaRefs>
</ds:datastoreItem>
</file>

<file path=customXml/itemProps3.xml><?xml version="1.0" encoding="utf-8"?>
<ds:datastoreItem xmlns:ds="http://schemas.openxmlformats.org/officeDocument/2006/customXml" ds:itemID="{4693D502-83DF-4C0F-9E6B-3D3FED1E0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95b25-4cf4-411c-b872-0793008a202a"/>
    <ds:schemaRef ds:uri="ede5e0c4-9c1f-437d-b26e-fe9742b78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81</vt:i4>
      </vt:variant>
    </vt:vector>
  </HeadingPairs>
  <TitlesOfParts>
    <vt:vector size="91" baseType="lpstr">
      <vt:lpstr>Table of Contents</vt:lpstr>
      <vt:lpstr>Items Document Map</vt:lpstr>
      <vt:lpstr>Items Details</vt:lpstr>
      <vt:lpstr>Option Sets Map</vt:lpstr>
      <vt:lpstr>Option Sets Details</vt:lpstr>
      <vt:lpstr>IDCTE Certs</vt:lpstr>
      <vt:lpstr>Assignment Changes</vt:lpstr>
      <vt:lpstr>Assignment_Endorsements</vt:lpstr>
      <vt:lpstr>Districts and Schools</vt:lpstr>
      <vt:lpstr>Changes (after July)</vt:lpstr>
      <vt:lpstr>Account_Code</vt:lpstr>
      <vt:lpstr>Annual_School_Finance</vt:lpstr>
      <vt:lpstr>AssignmentCourse_Codes</vt:lpstr>
      <vt:lpstr>Border_Student</vt:lpstr>
      <vt:lpstr>Calendar_Type</vt:lpstr>
      <vt:lpstr>CIP_Codes</vt:lpstr>
      <vt:lpstr>College_Credit</vt:lpstr>
      <vt:lpstr>Content_Grade_Level</vt:lpstr>
      <vt:lpstr>Contract_Number</vt:lpstr>
      <vt:lpstr>Contract_Type</vt:lpstr>
      <vt:lpstr>Country</vt:lpstr>
      <vt:lpstr>Course_Exit_Reason</vt:lpstr>
      <vt:lpstr>Course_Type</vt:lpstr>
      <vt:lpstr>Day_Type</vt:lpstr>
      <vt:lpstr>Disciplinary_Action_Type</vt:lpstr>
      <vt:lpstr>Disciplinary_Actions</vt:lpstr>
      <vt:lpstr>District_Calendars</vt:lpstr>
      <vt:lpstr>Districts</vt:lpstr>
      <vt:lpstr>Early_Childhood_Determination</vt:lpstr>
      <vt:lpstr>Early_Childhood_Eligibility_Decision</vt:lpstr>
      <vt:lpstr>Early_Childhood_Refering_Agency</vt:lpstr>
      <vt:lpstr>Education_Degree</vt:lpstr>
      <vt:lpstr>Employment_Status</vt:lpstr>
      <vt:lpstr>Entry_Reasons</vt:lpstr>
      <vt:lpstr>Exceptionality</vt:lpstr>
      <vt:lpstr>Exit_Reasons</vt:lpstr>
      <vt:lpstr>Extra_Pay_Type</vt:lpstr>
      <vt:lpstr>Facility_Type</vt:lpstr>
      <vt:lpstr>Fiscal_Transparency</vt:lpstr>
      <vt:lpstr>Function_Code</vt:lpstr>
      <vt:lpstr>Fund_Number</vt:lpstr>
      <vt:lpstr>Funding_Source</vt:lpstr>
      <vt:lpstr>Gender</vt:lpstr>
      <vt:lpstr>Gifted_Exit_Reason</vt:lpstr>
      <vt:lpstr>Gifted_Students</vt:lpstr>
      <vt:lpstr>Grade_Level</vt:lpstr>
      <vt:lpstr>Higher_Ed_Institutions</vt:lpstr>
      <vt:lpstr>Homeless_Residence</vt:lpstr>
      <vt:lpstr>Idaho_Counties</vt:lpstr>
      <vt:lpstr>Idaho_Regions</vt:lpstr>
      <vt:lpstr>IDEA_Interim_Removal_Reason</vt:lpstr>
      <vt:lpstr>Improvement_Status</vt:lpstr>
      <vt:lpstr>Instructional_Setting</vt:lpstr>
      <vt:lpstr>Kindergarten_Session_Type</vt:lpstr>
      <vt:lpstr>Languages</vt:lpstr>
      <vt:lpstr>Lunch_Status</vt:lpstr>
      <vt:lpstr>Master_Course_Schedule</vt:lpstr>
      <vt:lpstr>Migrant_Program_Type</vt:lpstr>
      <vt:lpstr>Military_Connection</vt:lpstr>
      <vt:lpstr>Modified_Duration_Reason</vt:lpstr>
      <vt:lpstr>Object_Code</vt:lpstr>
      <vt:lpstr>Parapro_High_School_Degree</vt:lpstr>
      <vt:lpstr>Parapro_Type</vt:lpstr>
      <vt:lpstr>PH_School</vt:lpstr>
      <vt:lpstr>Phone_Type</vt:lpstr>
      <vt:lpstr>Program_Contact_Role</vt:lpstr>
      <vt:lpstr>Program_Contacts</vt:lpstr>
      <vt:lpstr>Program_Exit_Reason</vt:lpstr>
      <vt:lpstr>Program_Status_GT</vt:lpstr>
      <vt:lpstr>Program_Status_SE</vt:lpstr>
      <vt:lpstr>Provider_Schools</vt:lpstr>
      <vt:lpstr>Record_Type_ASF</vt:lpstr>
      <vt:lpstr>Record_Type_FTR</vt:lpstr>
      <vt:lpstr>Schools</vt:lpstr>
      <vt:lpstr>Special_Ed_Determination_late</vt:lpstr>
      <vt:lpstr>Special_Ed_Eligibility</vt:lpstr>
      <vt:lpstr>Special_Ed_Environment</vt:lpstr>
      <vt:lpstr>Special_Education_Students</vt:lpstr>
      <vt:lpstr>Staff_Assignments</vt:lpstr>
      <vt:lpstr>Staff_Demographics</vt:lpstr>
      <vt:lpstr>Staff_Exit_Reason</vt:lpstr>
      <vt:lpstr>State_Exception_Rule</vt:lpstr>
      <vt:lpstr>State_Province</vt:lpstr>
      <vt:lpstr>Student_Attendance</vt:lpstr>
      <vt:lpstr>Student_Course_Enrollment</vt:lpstr>
      <vt:lpstr>Student_Demographics</vt:lpstr>
      <vt:lpstr>Teaching_Role</vt:lpstr>
      <vt:lpstr>Undetermined_Reason</vt:lpstr>
      <vt:lpstr>Weapon_Type</vt:lpstr>
      <vt:lpstr>Yes_No</vt:lpstr>
      <vt:lpstr>Yes_No_NA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2012-05-31T14:56:14Z</dcterms:created>
  <dcterms:modified xsi:type="dcterms:W3CDTF">2022-11-07T23:01:18Z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0x0101001D19EAF2D8E8C74E9803199F9372C72D</vt:lpwstr>
  </property>
</Properties>
</file>